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"/>
    </mc:Choice>
  </mc:AlternateContent>
  <xr:revisionPtr revIDLastSave="0" documentId="13_ncr:1_{443EAA8D-1807-4C60-87F0-1971D08EEC97}" xr6:coauthVersionLast="34" xr6:coauthVersionMax="34" xr10:uidLastSave="{00000000-0000-0000-0000-000000000000}"/>
  <bookViews>
    <workbookView xWindow="0" yWindow="0" windowWidth="28800" windowHeight="12225" activeTab="1" xr2:uid="{2E7977DC-6DB9-4485-8D4E-88C4CB8319AE}"/>
  </bookViews>
  <sheets>
    <sheet name="2015Wetlands" sheetId="1" r:id="rId1"/>
    <sheet name="OldCoordinates" sheetId="6" r:id="rId2"/>
    <sheet name="NewP20s" sheetId="3" r:id="rId3"/>
    <sheet name="AllP20" sheetId="2" r:id="rId4"/>
    <sheet name="Crosswalk" sheetId="4" r:id="rId5"/>
    <sheet name="Class 1s" sheetId="8" r:id="rId6"/>
  </sheets>
  <externalReferences>
    <externalReference r:id="rId7"/>
  </externalReferences>
  <definedNames>
    <definedName name="_xlnm._FilterDatabase" localSheetId="5" hidden="1">'Class 1s'!$A$1:$L$62</definedName>
    <definedName name="_xlnm.Database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4" l="1"/>
  <c r="N5" i="4"/>
  <c r="N12" i="4"/>
  <c r="N13" i="4"/>
  <c r="N18" i="4"/>
  <c r="N19" i="4"/>
  <c r="N22" i="4"/>
  <c r="N29" i="4"/>
  <c r="N30" i="4"/>
  <c r="N31" i="4"/>
  <c r="N33" i="4"/>
  <c r="N34" i="4"/>
  <c r="N36" i="4"/>
  <c r="N38" i="4"/>
  <c r="N39" i="4"/>
  <c r="N44" i="4"/>
  <c r="N52" i="4"/>
  <c r="N61" i="4"/>
  <c r="N69" i="4"/>
  <c r="N80" i="4"/>
  <c r="N88" i="4"/>
  <c r="N96" i="4"/>
  <c r="N105" i="4"/>
  <c r="I108" i="4"/>
  <c r="C107" i="4"/>
  <c r="K35" i="4"/>
  <c r="N35" i="4" s="1"/>
  <c r="K42" i="4"/>
  <c r="N42" i="4" s="1"/>
  <c r="K43" i="4"/>
  <c r="N43" i="4" s="1"/>
  <c r="K47" i="4"/>
  <c r="N47" i="4" s="1"/>
  <c r="K73" i="4"/>
  <c r="N73" i="4" s="1"/>
  <c r="K93" i="4"/>
  <c r="N93" i="4" s="1"/>
  <c r="K96" i="4"/>
  <c r="K111" i="4"/>
  <c r="N111" i="4" s="1"/>
  <c r="K114" i="4"/>
  <c r="N114" i="4" s="1"/>
  <c r="I3" i="4"/>
  <c r="K3" i="4" s="1"/>
  <c r="N3" i="4" s="1"/>
  <c r="I4" i="4"/>
  <c r="I5" i="4"/>
  <c r="I6" i="4"/>
  <c r="K6" i="4" s="1"/>
  <c r="N6" i="4" s="1"/>
  <c r="I7" i="4"/>
  <c r="K7" i="4" s="1"/>
  <c r="N7" i="4" s="1"/>
  <c r="I8" i="4"/>
  <c r="K8" i="4" s="1"/>
  <c r="N8" i="4" s="1"/>
  <c r="I9" i="4"/>
  <c r="I10" i="4"/>
  <c r="K10" i="4" s="1"/>
  <c r="N10" i="4" s="1"/>
  <c r="I11" i="4"/>
  <c r="I12" i="4"/>
  <c r="I13" i="4"/>
  <c r="I14" i="4"/>
  <c r="K14" i="4" s="1"/>
  <c r="N14" i="4" s="1"/>
  <c r="I15" i="4"/>
  <c r="I16" i="4"/>
  <c r="K16" i="4" s="1"/>
  <c r="N16" i="4" s="1"/>
  <c r="I17" i="4"/>
  <c r="I18" i="4"/>
  <c r="I19" i="4"/>
  <c r="I20" i="4"/>
  <c r="K20" i="4" s="1"/>
  <c r="N20" i="4" s="1"/>
  <c r="I21" i="4"/>
  <c r="I22" i="4"/>
  <c r="I23" i="4"/>
  <c r="K23" i="4" s="1"/>
  <c r="N23" i="4" s="1"/>
  <c r="I24" i="4"/>
  <c r="I25" i="4"/>
  <c r="I26" i="4"/>
  <c r="I27" i="4"/>
  <c r="K27" i="4" s="1"/>
  <c r="N27" i="4" s="1"/>
  <c r="I28" i="4"/>
  <c r="I29" i="4"/>
  <c r="K29" i="4" s="1"/>
  <c r="I30" i="4"/>
  <c r="I31" i="4"/>
  <c r="I32" i="4"/>
  <c r="I33" i="4"/>
  <c r="K33" i="4" s="1"/>
  <c r="I34" i="4"/>
  <c r="I35" i="4"/>
  <c r="I36" i="4"/>
  <c r="I37" i="4"/>
  <c r="K37" i="4" s="1"/>
  <c r="N37" i="4" s="1"/>
  <c r="I38" i="4"/>
  <c r="I39" i="4"/>
  <c r="I40" i="4"/>
  <c r="I41" i="4"/>
  <c r="K41" i="4" s="1"/>
  <c r="N41" i="4" s="1"/>
  <c r="I42" i="4"/>
  <c r="I43" i="4"/>
  <c r="I44" i="4"/>
  <c r="K44" i="4" s="1"/>
  <c r="I45" i="4"/>
  <c r="K45" i="4" s="1"/>
  <c r="N45" i="4" s="1"/>
  <c r="I46" i="4"/>
  <c r="K46" i="4" s="1"/>
  <c r="N46" i="4" s="1"/>
  <c r="I47" i="4"/>
  <c r="I48" i="4"/>
  <c r="K48" i="4" s="1"/>
  <c r="N48" i="4" s="1"/>
  <c r="I49" i="4"/>
  <c r="K49" i="4" s="1"/>
  <c r="N49" i="4" s="1"/>
  <c r="I50" i="4"/>
  <c r="K50" i="4" s="1"/>
  <c r="N50" i="4" s="1"/>
  <c r="I51" i="4"/>
  <c r="K51" i="4" s="1"/>
  <c r="N51" i="4" s="1"/>
  <c r="I52" i="4"/>
  <c r="K52" i="4" s="1"/>
  <c r="I53" i="4"/>
  <c r="K53" i="4" s="1"/>
  <c r="N53" i="4" s="1"/>
  <c r="I54" i="4"/>
  <c r="K54" i="4" s="1"/>
  <c r="N54" i="4" s="1"/>
  <c r="I55" i="4"/>
  <c r="I56" i="4"/>
  <c r="K56" i="4" s="1"/>
  <c r="N56" i="4" s="1"/>
  <c r="I57" i="4"/>
  <c r="K57" i="4" s="1"/>
  <c r="N57" i="4" s="1"/>
  <c r="I58" i="4"/>
  <c r="I59" i="4"/>
  <c r="K59" i="4" s="1"/>
  <c r="N59" i="4" s="1"/>
  <c r="I60" i="4"/>
  <c r="I61" i="4"/>
  <c r="K61" i="4" s="1"/>
  <c r="I62" i="4"/>
  <c r="K62" i="4" s="1"/>
  <c r="N62" i="4" s="1"/>
  <c r="I63" i="4"/>
  <c r="I64" i="4"/>
  <c r="I65" i="4"/>
  <c r="I66" i="4"/>
  <c r="I67" i="4"/>
  <c r="I68" i="4"/>
  <c r="I69" i="4"/>
  <c r="I70" i="4"/>
  <c r="K70" i="4" s="1"/>
  <c r="N70" i="4" s="1"/>
  <c r="I71" i="4"/>
  <c r="I72" i="4"/>
  <c r="I73" i="4"/>
  <c r="I74" i="4"/>
  <c r="I75" i="4"/>
  <c r="I76" i="4"/>
  <c r="K76" i="4" s="1"/>
  <c r="N76" i="4" s="1"/>
  <c r="I77" i="4"/>
  <c r="K77" i="4" s="1"/>
  <c r="N77" i="4" s="1"/>
  <c r="I78" i="4"/>
  <c r="K78" i="4" s="1"/>
  <c r="N78" i="4" s="1"/>
  <c r="I79" i="4"/>
  <c r="K79" i="4" s="1"/>
  <c r="N79" i="4" s="1"/>
  <c r="I80" i="4"/>
  <c r="K80" i="4" s="1"/>
  <c r="I81" i="4"/>
  <c r="K81" i="4" s="1"/>
  <c r="N81" i="4" s="1"/>
  <c r="I82" i="4"/>
  <c r="K82" i="4" s="1"/>
  <c r="N82" i="4" s="1"/>
  <c r="I83" i="4"/>
  <c r="K83" i="4" s="1"/>
  <c r="N83" i="4" s="1"/>
  <c r="I84" i="4"/>
  <c r="K84" i="4" s="1"/>
  <c r="N84" i="4" s="1"/>
  <c r="I85" i="4"/>
  <c r="K85" i="4" s="1"/>
  <c r="N85" i="4" s="1"/>
  <c r="I86" i="4"/>
  <c r="I87" i="4"/>
  <c r="I88" i="4"/>
  <c r="K88" i="4" s="1"/>
  <c r="I89" i="4"/>
  <c r="K89" i="4" s="1"/>
  <c r="N89" i="4" s="1"/>
  <c r="I90" i="4"/>
  <c r="K90" i="4" s="1"/>
  <c r="N90" i="4" s="1"/>
  <c r="I91" i="4"/>
  <c r="K91" i="4" s="1"/>
  <c r="N91" i="4" s="1"/>
  <c r="I92" i="4"/>
  <c r="K92" i="4" s="1"/>
  <c r="N92" i="4" s="1"/>
  <c r="I93" i="4"/>
  <c r="I94" i="4"/>
  <c r="K94" i="4" s="1"/>
  <c r="N94" i="4" s="1"/>
  <c r="I95" i="4"/>
  <c r="K95" i="4" s="1"/>
  <c r="N95" i="4" s="1"/>
  <c r="I96" i="4"/>
  <c r="I97" i="4"/>
  <c r="K97" i="4" s="1"/>
  <c r="N97" i="4" s="1"/>
  <c r="I98" i="4"/>
  <c r="I99" i="4"/>
  <c r="K99" i="4" s="1"/>
  <c r="N99" i="4" s="1"/>
  <c r="I100" i="4"/>
  <c r="K100" i="4" s="1"/>
  <c r="N100" i="4" s="1"/>
  <c r="I101" i="4"/>
  <c r="K101" i="4" s="1"/>
  <c r="N101" i="4" s="1"/>
  <c r="I102" i="4"/>
  <c r="K102" i="4" s="1"/>
  <c r="N102" i="4" s="1"/>
  <c r="I103" i="4"/>
  <c r="I104" i="4"/>
  <c r="I105" i="4"/>
  <c r="K105" i="4" s="1"/>
  <c r="I106" i="4"/>
  <c r="K106" i="4" s="1"/>
  <c r="N106" i="4" s="1"/>
  <c r="I107" i="4"/>
  <c r="I109" i="4"/>
  <c r="K109" i="4" s="1"/>
  <c r="N109" i="4" s="1"/>
  <c r="I110" i="4"/>
  <c r="K110" i="4" s="1"/>
  <c r="N110" i="4" s="1"/>
  <c r="I111" i="4"/>
  <c r="I112" i="4"/>
  <c r="K112" i="4" s="1"/>
  <c r="N112" i="4" s="1"/>
  <c r="I113" i="4"/>
  <c r="K113" i="4" s="1"/>
  <c r="N113" i="4" s="1"/>
  <c r="I114" i="4"/>
  <c r="I115" i="4"/>
  <c r="K115" i="4" s="1"/>
  <c r="N115" i="4" s="1"/>
  <c r="I116" i="4"/>
  <c r="K116" i="4" s="1"/>
  <c r="N116" i="4" s="1"/>
  <c r="I117" i="4"/>
  <c r="I118" i="4"/>
  <c r="K118" i="4" s="1"/>
  <c r="N118" i="4" s="1"/>
  <c r="I119" i="4"/>
  <c r="I120" i="4"/>
  <c r="K120" i="4" s="1"/>
  <c r="N120" i="4" s="1"/>
  <c r="L3" i="4"/>
  <c r="L4" i="4"/>
  <c r="L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H58" i="8"/>
  <c r="K108" i="4" s="1"/>
  <c r="N108" i="4" s="1"/>
  <c r="H59" i="8"/>
  <c r="H60" i="8"/>
  <c r="H53" i="8"/>
  <c r="H31" i="8"/>
  <c r="K69" i="4" s="1"/>
  <c r="H55" i="8"/>
  <c r="K104" i="4" s="1"/>
  <c r="N104" i="4" s="1"/>
  <c r="H24" i="8"/>
  <c r="H9" i="8"/>
  <c r="K25" i="4" s="1"/>
  <c r="N25" i="4" s="1"/>
  <c r="H11" i="8"/>
  <c r="K11" i="4" s="1"/>
  <c r="N11" i="4" s="1"/>
  <c r="H13" i="8"/>
  <c r="K21" i="4" s="1"/>
  <c r="N21" i="4" s="1"/>
  <c r="H22" i="8"/>
  <c r="K55" i="4" s="1"/>
  <c r="N55" i="4" s="1"/>
  <c r="H19" i="8"/>
  <c r="K40" i="4" s="1"/>
  <c r="N40" i="4" s="1"/>
  <c r="H18" i="8"/>
  <c r="H16" i="8"/>
  <c r="K32" i="4" s="1"/>
  <c r="N32" i="4" s="1"/>
  <c r="H4" i="8"/>
  <c r="H12" i="8"/>
  <c r="K17" i="4" s="1"/>
  <c r="N17" i="4" s="1"/>
  <c r="H14" i="8"/>
  <c r="K15" i="4" s="1"/>
  <c r="N15" i="4" s="1"/>
  <c r="H23" i="8"/>
  <c r="K58" i="4" s="1"/>
  <c r="N58" i="4" s="1"/>
  <c r="H25" i="8"/>
  <c r="K60" i="4" s="1"/>
  <c r="N60" i="4" s="1"/>
  <c r="H54" i="8"/>
  <c r="K103" i="4" s="1"/>
  <c r="N103" i="4" s="1"/>
  <c r="H30" i="8"/>
  <c r="K63" i="4" s="1"/>
  <c r="N63" i="4" s="1"/>
  <c r="H38" i="8"/>
  <c r="H3" i="8"/>
  <c r="H5" i="8"/>
  <c r="H6" i="8"/>
  <c r="H26" i="8"/>
  <c r="H28" i="8"/>
  <c r="K67" i="4" s="1"/>
  <c r="N67" i="4" s="1"/>
  <c r="H32" i="8"/>
  <c r="H34" i="8"/>
  <c r="K72" i="4" s="1"/>
  <c r="N72" i="4" s="1"/>
  <c r="H35" i="8"/>
  <c r="K64" i="4" s="1"/>
  <c r="N64" i="4" s="1"/>
  <c r="H37" i="8"/>
  <c r="K74" i="4" s="1"/>
  <c r="N74" i="4" s="1"/>
  <c r="H47" i="8"/>
  <c r="K87" i="4" s="1"/>
  <c r="N87" i="4" s="1"/>
  <c r="H52" i="8"/>
  <c r="K98" i="4" s="1"/>
  <c r="N98" i="4" s="1"/>
  <c r="H46" i="8"/>
  <c r="K86" i="4" s="1"/>
  <c r="N86" i="4" s="1"/>
  <c r="H10" i="8"/>
  <c r="K26" i="4" s="1"/>
  <c r="N26" i="4" s="1"/>
  <c r="H56" i="8"/>
  <c r="H29" i="8"/>
  <c r="K68" i="4" s="1"/>
  <c r="N68" i="4" s="1"/>
  <c r="H27" i="8"/>
  <c r="K66" i="4" s="1"/>
  <c r="N66" i="4" s="1"/>
  <c r="H8" i="8"/>
  <c r="K24" i="4" s="1"/>
  <c r="N24" i="4" s="1"/>
  <c r="H42" i="8"/>
  <c r="K75" i="4" s="1"/>
  <c r="N75" i="4" s="1"/>
  <c r="H33" i="8"/>
  <c r="K71" i="4" s="1"/>
  <c r="N71" i="4" s="1"/>
  <c r="H15" i="8"/>
  <c r="K28" i="4" s="1"/>
  <c r="N28" i="4" s="1"/>
  <c r="H40" i="8"/>
  <c r="K65" i="4" s="1"/>
  <c r="N65" i="4" s="1"/>
  <c r="C4" i="4"/>
  <c r="C5" i="4"/>
  <c r="C6" i="4"/>
  <c r="L6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8" i="4"/>
  <c r="C109" i="4"/>
  <c r="C110" i="4"/>
  <c r="C112" i="4"/>
  <c r="C113" i="4"/>
  <c r="C115" i="4"/>
  <c r="C116" i="4"/>
  <c r="C117" i="4"/>
  <c r="C118" i="4"/>
  <c r="C119" i="4"/>
  <c r="C120" i="4"/>
  <c r="C3" i="4"/>
  <c r="K117" i="4" l="1"/>
  <c r="N117" i="4" s="1"/>
  <c r="K9" i="4"/>
  <c r="N9" i="4" s="1"/>
  <c r="K119" i="4"/>
  <c r="N119" i="4" s="1"/>
  <c r="D25" i="3" l="1"/>
  <c r="F25" i="3"/>
  <c r="H25" i="3"/>
  <c r="J25" i="3"/>
  <c r="L25" i="3"/>
  <c r="N25" i="3"/>
  <c r="D118" i="4" l="1"/>
  <c r="M118" i="4"/>
  <c r="D115" i="4"/>
  <c r="M115" i="4"/>
  <c r="D112" i="4"/>
  <c r="M112" i="4"/>
  <c r="D109" i="4"/>
  <c r="M109" i="4"/>
  <c r="D106" i="4"/>
  <c r="M106" i="4"/>
  <c r="D102" i="4"/>
  <c r="M102" i="4"/>
  <c r="D99" i="4"/>
  <c r="M99" i="4"/>
  <c r="F85" i="4"/>
  <c r="M85" i="4"/>
  <c r="D76" i="4"/>
  <c r="M76" i="4"/>
  <c r="D50" i="4"/>
  <c r="M50" i="4"/>
  <c r="D52" i="4"/>
  <c r="M52" i="4"/>
  <c r="D46" i="4"/>
  <c r="M46" i="4"/>
  <c r="D41" i="4"/>
  <c r="M41" i="4"/>
  <c r="D37" i="4"/>
  <c r="M37" i="4"/>
  <c r="D33" i="4"/>
  <c r="M33" i="4"/>
  <c r="D29" i="4"/>
  <c r="M29" i="4"/>
  <c r="D23" i="4"/>
  <c r="M2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4" i="4"/>
  <c r="M25" i="4"/>
  <c r="M26" i="4"/>
  <c r="M27" i="4"/>
  <c r="M28" i="4"/>
  <c r="M30" i="4"/>
  <c r="M31" i="4"/>
  <c r="M32" i="4"/>
  <c r="M34" i="4"/>
  <c r="M35" i="4"/>
  <c r="M36" i="4"/>
  <c r="M38" i="4"/>
  <c r="M39" i="4"/>
  <c r="M40" i="4"/>
  <c r="M42" i="4"/>
  <c r="M43" i="4"/>
  <c r="M44" i="4"/>
  <c r="M45" i="4"/>
  <c r="M47" i="4"/>
  <c r="M48" i="4"/>
  <c r="M49" i="4"/>
  <c r="M51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7" i="4"/>
  <c r="M78" i="4"/>
  <c r="M79" i="4"/>
  <c r="M80" i="4"/>
  <c r="M81" i="4"/>
  <c r="M82" i="4"/>
  <c r="M83" i="4"/>
  <c r="M84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100" i="4"/>
  <c r="M101" i="4"/>
  <c r="M103" i="4"/>
  <c r="M104" i="4"/>
  <c r="M105" i="4"/>
  <c r="M107" i="4"/>
  <c r="M108" i="4"/>
  <c r="M110" i="4"/>
  <c r="M111" i="4"/>
  <c r="M113" i="4"/>
  <c r="M114" i="4"/>
  <c r="M116" i="4"/>
  <c r="M117" i="4"/>
  <c r="M119" i="4"/>
  <c r="M120" i="4"/>
  <c r="M3" i="4"/>
  <c r="D16" i="4"/>
  <c r="D6" i="4"/>
  <c r="D10" i="4"/>
  <c r="D14" i="4"/>
  <c r="E20" i="4"/>
  <c r="G85" i="4" l="1"/>
  <c r="G112" i="4"/>
  <c r="G106" i="4"/>
  <c r="G118" i="4"/>
  <c r="F118" i="4"/>
  <c r="E99" i="4"/>
  <c r="E106" i="4"/>
  <c r="E112" i="4"/>
  <c r="E118" i="4"/>
  <c r="G102" i="4"/>
  <c r="G109" i="4"/>
  <c r="G115" i="4"/>
  <c r="H118" i="4"/>
  <c r="E102" i="4"/>
  <c r="E109" i="4"/>
  <c r="E115" i="4"/>
  <c r="H85" i="4"/>
  <c r="F115" i="4"/>
  <c r="D85" i="4"/>
  <c r="H115" i="4"/>
  <c r="E76" i="4"/>
  <c r="G99" i="4"/>
  <c r="F112" i="4"/>
  <c r="H112" i="4"/>
  <c r="E85" i="4"/>
  <c r="F109" i="4"/>
  <c r="H109" i="4"/>
  <c r="F106" i="4"/>
  <c r="H106" i="4"/>
  <c r="E46" i="4"/>
  <c r="E50" i="4"/>
  <c r="F102" i="4"/>
  <c r="G29" i="4"/>
  <c r="H102" i="4"/>
  <c r="F99" i="4"/>
  <c r="G76" i="4"/>
  <c r="H99" i="4"/>
  <c r="F50" i="4"/>
  <c r="G50" i="4"/>
  <c r="F37" i="4"/>
  <c r="G46" i="4"/>
  <c r="F76" i="4"/>
  <c r="H76" i="4"/>
  <c r="G37" i="4"/>
  <c r="E37" i="4"/>
  <c r="G52" i="4"/>
  <c r="H50" i="4"/>
  <c r="E41" i="4"/>
  <c r="E52" i="4"/>
  <c r="G41" i="4"/>
  <c r="F52" i="4"/>
  <c r="H52" i="4"/>
  <c r="F46" i="4"/>
  <c r="H46" i="4"/>
  <c r="F41" i="4"/>
  <c r="H41" i="4"/>
  <c r="F33" i="4"/>
  <c r="F29" i="4"/>
  <c r="E33" i="4"/>
  <c r="H37" i="4"/>
  <c r="G33" i="4"/>
  <c r="H33" i="4"/>
  <c r="E29" i="4"/>
  <c r="G23" i="4"/>
  <c r="H29" i="4"/>
  <c r="E16" i="4"/>
  <c r="E23" i="4"/>
  <c r="F23" i="4"/>
  <c r="H23" i="4"/>
  <c r="G16" i="4"/>
  <c r="E6" i="4"/>
  <c r="F16" i="4"/>
  <c r="H16" i="4"/>
  <c r="F6" i="4"/>
  <c r="G6" i="4"/>
  <c r="G10" i="4"/>
  <c r="F10" i="4"/>
  <c r="E10" i="4"/>
  <c r="H6" i="4"/>
  <c r="H10" i="4"/>
  <c r="D20" i="4"/>
  <c r="H20" i="4"/>
  <c r="G20" i="4"/>
  <c r="F14" i="4"/>
  <c r="G14" i="4"/>
  <c r="F20" i="4"/>
  <c r="E14" i="4"/>
  <c r="H14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H4" i="4"/>
  <c r="H5" i="4"/>
  <c r="D7" i="4"/>
  <c r="G8" i="4"/>
  <c r="H9" i="4"/>
  <c r="G12" i="4"/>
  <c r="H13" i="4"/>
  <c r="H17" i="4"/>
  <c r="D18" i="4"/>
  <c r="F19" i="4"/>
  <c r="H21" i="4"/>
  <c r="H24" i="4"/>
  <c r="D25" i="4"/>
  <c r="G26" i="4"/>
  <c r="H15" i="4"/>
  <c r="D30" i="4"/>
  <c r="G31" i="4"/>
  <c r="H32" i="4"/>
  <c r="H34" i="4"/>
  <c r="D35" i="4"/>
  <c r="G36" i="4"/>
  <c r="H38" i="4"/>
  <c r="H39" i="4"/>
  <c r="D40" i="4"/>
  <c r="F42" i="4"/>
  <c r="H43" i="4"/>
  <c r="H47" i="4"/>
  <c r="D48" i="4"/>
  <c r="G49" i="4"/>
  <c r="H51" i="4"/>
  <c r="H53" i="4"/>
  <c r="D54" i="4"/>
  <c r="H44" i="4"/>
  <c r="E45" i="4"/>
  <c r="D58" i="4"/>
  <c r="G59" i="4"/>
  <c r="H60" i="4"/>
  <c r="H61" i="4"/>
  <c r="D62" i="4"/>
  <c r="G63" i="4"/>
  <c r="H64" i="4"/>
  <c r="H65" i="4"/>
  <c r="D66" i="4"/>
  <c r="G67" i="4"/>
  <c r="H68" i="4"/>
  <c r="H69" i="4"/>
  <c r="D70" i="4"/>
  <c r="G71" i="4"/>
  <c r="H72" i="4"/>
  <c r="H73" i="4"/>
  <c r="G74" i="4"/>
  <c r="G75" i="4"/>
  <c r="H77" i="4"/>
  <c r="F78" i="4"/>
  <c r="G79" i="4"/>
  <c r="F80" i="4"/>
  <c r="H81" i="4"/>
  <c r="E82" i="4"/>
  <c r="G83" i="4"/>
  <c r="G84" i="4"/>
  <c r="H86" i="4"/>
  <c r="G88" i="4"/>
  <c r="G89" i="4"/>
  <c r="H90" i="4"/>
  <c r="F91" i="4"/>
  <c r="G92" i="4"/>
  <c r="G93" i="4"/>
  <c r="H94" i="4"/>
  <c r="H95" i="4"/>
  <c r="G97" i="4"/>
  <c r="H98" i="4"/>
  <c r="H100" i="4"/>
  <c r="G101" i="4"/>
  <c r="G103" i="4"/>
  <c r="H104" i="4"/>
  <c r="H105" i="4"/>
  <c r="G107" i="4"/>
  <c r="K107" i="4" s="1"/>
  <c r="N107" i="4" s="1"/>
  <c r="G108" i="4"/>
  <c r="H110" i="4"/>
  <c r="H111" i="4"/>
  <c r="G113" i="4"/>
  <c r="G114" i="4"/>
  <c r="H116" i="4"/>
  <c r="G117" i="4"/>
  <c r="G119" i="4"/>
  <c r="G120" i="4"/>
  <c r="H3" i="4"/>
  <c r="J33" i="4" l="1"/>
  <c r="F55" i="4"/>
  <c r="J16" i="4"/>
  <c r="J106" i="4"/>
  <c r="J99" i="4"/>
  <c r="J85" i="4"/>
  <c r="J109" i="4"/>
  <c r="J112" i="4"/>
  <c r="J50" i="4"/>
  <c r="J102" i="4"/>
  <c r="J118" i="4"/>
  <c r="J115" i="4"/>
  <c r="J46" i="4"/>
  <c r="J23" i="4"/>
  <c r="J76" i="4"/>
  <c r="J29" i="4"/>
  <c r="J52" i="4"/>
  <c r="J37" i="4"/>
  <c r="J41" i="4"/>
  <c r="J6" i="4"/>
  <c r="J10" i="4"/>
  <c r="J14" i="4"/>
  <c r="J20" i="4"/>
  <c r="D22" i="4"/>
  <c r="H22" i="4"/>
  <c r="G116" i="4"/>
  <c r="G98" i="4"/>
  <c r="G80" i="4"/>
  <c r="G42" i="4"/>
  <c r="G19" i="4"/>
  <c r="G110" i="4"/>
  <c r="G55" i="4"/>
  <c r="G104" i="4"/>
  <c r="G3" i="4"/>
  <c r="G111" i="4"/>
  <c r="G105" i="4"/>
  <c r="G100" i="4"/>
  <c r="G94" i="4"/>
  <c r="G90" i="4"/>
  <c r="G86" i="4"/>
  <c r="G81" i="4"/>
  <c r="G77" i="4"/>
  <c r="G72" i="4"/>
  <c r="G68" i="4"/>
  <c r="G64" i="4"/>
  <c r="G60" i="4"/>
  <c r="G44" i="4"/>
  <c r="G51" i="4"/>
  <c r="G43" i="4"/>
  <c r="G38" i="4"/>
  <c r="G32" i="4"/>
  <c r="G15" i="4"/>
  <c r="G21" i="4"/>
  <c r="G13" i="4"/>
  <c r="G9" i="4"/>
  <c r="G4" i="4"/>
  <c r="G70" i="4"/>
  <c r="G66" i="4"/>
  <c r="G62" i="4"/>
  <c r="G58" i="4"/>
  <c r="G54" i="4"/>
  <c r="G48" i="4"/>
  <c r="G40" i="4"/>
  <c r="G35" i="4"/>
  <c r="G30" i="4"/>
  <c r="G25" i="4"/>
  <c r="G18" i="4"/>
  <c r="G22" i="4"/>
  <c r="G7" i="4"/>
  <c r="G95" i="4"/>
  <c r="G91" i="4"/>
  <c r="G87" i="4"/>
  <c r="G82" i="4"/>
  <c r="G78" i="4"/>
  <c r="G73" i="4"/>
  <c r="G69" i="4"/>
  <c r="G65" i="4"/>
  <c r="G61" i="4"/>
  <c r="G45" i="4"/>
  <c r="G53" i="4"/>
  <c r="G47" i="4"/>
  <c r="G39" i="4"/>
  <c r="G34" i="4"/>
  <c r="G28" i="4"/>
  <c r="G24" i="4"/>
  <c r="G17" i="4"/>
  <c r="G11" i="4"/>
  <c r="G5" i="4"/>
  <c r="E51" i="4"/>
  <c r="F32" i="4"/>
  <c r="E32" i="4"/>
  <c r="E3" i="4"/>
  <c r="F51" i="4"/>
  <c r="E7" i="4"/>
  <c r="E105" i="4"/>
  <c r="E98" i="4"/>
  <c r="E64" i="4"/>
  <c r="E69" i="4"/>
  <c r="E66" i="4"/>
  <c r="E58" i="4"/>
  <c r="E21" i="4"/>
  <c r="E25" i="4"/>
  <c r="E9" i="4"/>
  <c r="F86" i="4"/>
  <c r="F74" i="4"/>
  <c r="F70" i="4"/>
  <c r="F40" i="4"/>
  <c r="F15" i="4"/>
  <c r="E91" i="4"/>
  <c r="E35" i="4"/>
  <c r="F3" i="4"/>
  <c r="F73" i="4"/>
  <c r="F35" i="4"/>
  <c r="F5" i="4"/>
  <c r="E68" i="4"/>
  <c r="E60" i="4"/>
  <c r="E43" i="4"/>
  <c r="F104" i="4"/>
  <c r="F72" i="4"/>
  <c r="F30" i="4"/>
  <c r="E48" i="4"/>
  <c r="E13" i="4"/>
  <c r="F48" i="4"/>
  <c r="F13" i="4"/>
  <c r="H91" i="4"/>
  <c r="E38" i="4"/>
  <c r="E22" i="4"/>
  <c r="F95" i="4"/>
  <c r="F38" i="4"/>
  <c r="F22" i="4"/>
  <c r="H82" i="4"/>
  <c r="F120" i="4"/>
  <c r="E120" i="4"/>
  <c r="F97" i="4"/>
  <c r="E97" i="4"/>
  <c r="H75" i="4"/>
  <c r="H67" i="4"/>
  <c r="H59" i="4"/>
  <c r="F49" i="4"/>
  <c r="E49" i="4"/>
  <c r="H49" i="4"/>
  <c r="F36" i="4"/>
  <c r="E36" i="4"/>
  <c r="H36" i="4"/>
  <c r="H26" i="4"/>
  <c r="F12" i="4"/>
  <c r="E12" i="4"/>
  <c r="H12" i="4"/>
  <c r="F67" i="4"/>
  <c r="F59" i="4"/>
  <c r="F26" i="4"/>
  <c r="E80" i="4"/>
  <c r="E55" i="4"/>
  <c r="F84" i="4"/>
  <c r="D119" i="4"/>
  <c r="H119" i="4"/>
  <c r="D113" i="4"/>
  <c r="H113" i="4"/>
  <c r="D107" i="4"/>
  <c r="H107" i="4"/>
  <c r="D101" i="4"/>
  <c r="H101" i="4"/>
  <c r="D96" i="4"/>
  <c r="D92" i="4"/>
  <c r="H92" i="4"/>
  <c r="F92" i="4"/>
  <c r="E92" i="4"/>
  <c r="D88" i="4"/>
  <c r="H88" i="4"/>
  <c r="F88" i="4"/>
  <c r="E88" i="4"/>
  <c r="D83" i="4"/>
  <c r="F83" i="4"/>
  <c r="E83" i="4"/>
  <c r="H83" i="4"/>
  <c r="D79" i="4"/>
  <c r="F79" i="4"/>
  <c r="E79" i="4"/>
  <c r="H79" i="4"/>
  <c r="D74" i="4"/>
  <c r="H74" i="4"/>
  <c r="E89" i="4"/>
  <c r="E78" i="4"/>
  <c r="F93" i="4"/>
  <c r="F82" i="4"/>
  <c r="F45" i="4"/>
  <c r="H120" i="4"/>
  <c r="H108" i="4"/>
  <c r="H97" i="4"/>
  <c r="H89" i="4"/>
  <c r="H78" i="4"/>
  <c r="E103" i="4"/>
  <c r="E87" i="4"/>
  <c r="E71" i="4"/>
  <c r="E28" i="4"/>
  <c r="F63" i="4"/>
  <c r="F61" i="4"/>
  <c r="F17" i="4"/>
  <c r="F24" i="4"/>
  <c r="E95" i="4"/>
  <c r="E84" i="4"/>
  <c r="E73" i="4"/>
  <c r="E5" i="4"/>
  <c r="H117" i="4"/>
  <c r="J117" i="4" s="1"/>
  <c r="H87" i="4"/>
  <c r="J87" i="4" s="1"/>
  <c r="H45" i="4"/>
  <c r="H11" i="4"/>
  <c r="J11" i="4" s="1"/>
  <c r="H80" i="4"/>
  <c r="H71" i="4"/>
  <c r="H63" i="4"/>
  <c r="H55" i="4"/>
  <c r="H42" i="4"/>
  <c r="F31" i="4"/>
  <c r="E31" i="4"/>
  <c r="H31" i="4"/>
  <c r="H19" i="4"/>
  <c r="F8" i="4"/>
  <c r="E8" i="4"/>
  <c r="H8" i="4"/>
  <c r="E75" i="4"/>
  <c r="F47" i="4"/>
  <c r="E47" i="4"/>
  <c r="J47" i="4"/>
  <c r="F39" i="4"/>
  <c r="E39" i="4"/>
  <c r="F34" i="4"/>
  <c r="E34" i="4"/>
  <c r="E11" i="4"/>
  <c r="F96" i="4"/>
  <c r="F65" i="4"/>
  <c r="F53" i="4"/>
  <c r="E93" i="4"/>
  <c r="E42" i="4"/>
  <c r="E19" i="4"/>
  <c r="F89" i="4"/>
  <c r="H114" i="4"/>
  <c r="H103" i="4"/>
  <c r="H93" i="4"/>
  <c r="H84" i="4"/>
  <c r="H28" i="4"/>
  <c r="J28" i="4" s="1"/>
  <c r="E86" i="4"/>
  <c r="E74" i="4"/>
  <c r="E70" i="4"/>
  <c r="E67" i="4"/>
  <c r="E59" i="4"/>
  <c r="E40" i="4"/>
  <c r="E15" i="4"/>
  <c r="E26" i="4"/>
  <c r="F103" i="4"/>
  <c r="F87" i="4"/>
  <c r="F71" i="4"/>
  <c r="F68" i="4"/>
  <c r="F60" i="4"/>
  <c r="F43" i="4"/>
  <c r="F28" i="4"/>
  <c r="F11" i="4"/>
  <c r="J65" i="4"/>
  <c r="J24" i="4"/>
  <c r="E81" i="4"/>
  <c r="E77" i="4"/>
  <c r="E44" i="4"/>
  <c r="E18" i="4"/>
  <c r="F81" i="4"/>
  <c r="F77" i="4"/>
  <c r="F44" i="4"/>
  <c r="F18" i="4"/>
  <c r="H70" i="4"/>
  <c r="H66" i="4"/>
  <c r="H62" i="4"/>
  <c r="H58" i="4"/>
  <c r="H54" i="4"/>
  <c r="H48" i="4"/>
  <c r="H40" i="4"/>
  <c r="H35" i="4"/>
  <c r="H30" i="4"/>
  <c r="H25" i="4"/>
  <c r="H18" i="4"/>
  <c r="H7" i="4"/>
  <c r="E104" i="4"/>
  <c r="E96" i="4"/>
  <c r="E65" i="4"/>
  <c r="E72" i="4"/>
  <c r="E63" i="4"/>
  <c r="E61" i="4"/>
  <c r="E53" i="4"/>
  <c r="E30" i="4"/>
  <c r="E17" i="4"/>
  <c r="E24" i="4"/>
  <c r="F7" i="4"/>
  <c r="F105" i="4"/>
  <c r="F98" i="4"/>
  <c r="F75" i="4"/>
  <c r="F64" i="4"/>
  <c r="F69" i="4"/>
  <c r="F66" i="4"/>
  <c r="F58" i="4"/>
  <c r="F21" i="4"/>
  <c r="F25" i="4"/>
  <c r="F9" i="4"/>
  <c r="J100" i="4"/>
  <c r="E94" i="4"/>
  <c r="E90" i="4"/>
  <c r="E62" i="4"/>
  <c r="E54" i="4"/>
  <c r="E4" i="4"/>
  <c r="F94" i="4"/>
  <c r="F90" i="4"/>
  <c r="F62" i="4"/>
  <c r="F54" i="4"/>
  <c r="F4" i="4"/>
  <c r="J95" i="4"/>
  <c r="J61" i="4"/>
  <c r="J17" i="4"/>
  <c r="J111" i="4"/>
  <c r="J73" i="4"/>
  <c r="J34" i="4"/>
  <c r="J105" i="4"/>
  <c r="J69" i="4"/>
  <c r="J53" i="4"/>
  <c r="J5" i="4"/>
  <c r="J3" i="4"/>
  <c r="J116" i="4"/>
  <c r="J110" i="4"/>
  <c r="J104" i="4"/>
  <c r="J98" i="4"/>
  <c r="J94" i="4"/>
  <c r="J90" i="4"/>
  <c r="J86" i="4"/>
  <c r="J81" i="4"/>
  <c r="J77" i="4"/>
  <c r="J72" i="4"/>
  <c r="J68" i="4"/>
  <c r="J64" i="4"/>
  <c r="J60" i="4"/>
  <c r="J51" i="4"/>
  <c r="J43" i="4"/>
  <c r="J15" i="4"/>
  <c r="J21" i="4"/>
  <c r="J13" i="4"/>
  <c r="J9" i="4"/>
  <c r="J4" i="4"/>
  <c r="D111" i="4"/>
  <c r="D34" i="4"/>
  <c r="D45" i="4"/>
  <c r="D91" i="4"/>
  <c r="D11" i="4"/>
  <c r="D73" i="4"/>
  <c r="D105" i="4"/>
  <c r="D87" i="4"/>
  <c r="D69" i="4"/>
  <c r="D53" i="4"/>
  <c r="D28" i="4"/>
  <c r="D5" i="4"/>
  <c r="D100" i="4"/>
  <c r="D82" i="4"/>
  <c r="D65" i="4"/>
  <c r="D47" i="4"/>
  <c r="D24" i="4"/>
  <c r="D117" i="4"/>
  <c r="D95" i="4"/>
  <c r="D78" i="4"/>
  <c r="D61" i="4"/>
  <c r="D39" i="4"/>
  <c r="D17" i="4"/>
  <c r="D3" i="4"/>
  <c r="D116" i="4"/>
  <c r="D110" i="4"/>
  <c r="D104" i="4"/>
  <c r="D98" i="4"/>
  <c r="D94" i="4"/>
  <c r="D90" i="4"/>
  <c r="D86" i="4"/>
  <c r="D81" i="4"/>
  <c r="D77" i="4"/>
  <c r="D72" i="4"/>
  <c r="D68" i="4"/>
  <c r="D64" i="4"/>
  <c r="D60" i="4"/>
  <c r="D44" i="4"/>
  <c r="D51" i="4"/>
  <c r="D43" i="4"/>
  <c r="D38" i="4"/>
  <c r="D32" i="4"/>
  <c r="D15" i="4"/>
  <c r="D21" i="4"/>
  <c r="D13" i="4"/>
  <c r="D9" i="4"/>
  <c r="D4" i="4"/>
  <c r="D120" i="4"/>
  <c r="D114" i="4"/>
  <c r="D108" i="4"/>
  <c r="D103" i="4"/>
  <c r="D97" i="4"/>
  <c r="D93" i="4"/>
  <c r="D89" i="4"/>
  <c r="D84" i="4"/>
  <c r="D80" i="4"/>
  <c r="D75" i="4"/>
  <c r="D71" i="4"/>
  <c r="D67" i="4"/>
  <c r="D63" i="4"/>
  <c r="D59" i="4"/>
  <c r="D55" i="4"/>
  <c r="D49" i="4"/>
  <c r="D42" i="4"/>
  <c r="D36" i="4"/>
  <c r="D31" i="4"/>
  <c r="D26" i="4"/>
  <c r="D19" i="4"/>
  <c r="D12" i="4"/>
  <c r="D8" i="4"/>
  <c r="N97" i="3"/>
  <c r="N93" i="3"/>
  <c r="N89" i="3"/>
  <c r="N88" i="3"/>
  <c r="N87" i="3"/>
  <c r="N86" i="3"/>
  <c r="N84" i="3"/>
  <c r="N66" i="3"/>
  <c r="N64" i="3"/>
  <c r="N63" i="3"/>
  <c r="N62" i="3"/>
  <c r="N61" i="3"/>
  <c r="N60" i="3"/>
  <c r="N59" i="3"/>
  <c r="N58" i="3"/>
  <c r="N57" i="3"/>
  <c r="N56" i="3"/>
  <c r="N55" i="3"/>
  <c r="N54" i="3"/>
  <c r="N53" i="3"/>
  <c r="N51" i="3"/>
  <c r="N50" i="3"/>
  <c r="N49" i="3"/>
  <c r="N47" i="3"/>
  <c r="N46" i="3"/>
  <c r="N45" i="3"/>
  <c r="N44" i="3"/>
  <c r="N41" i="3"/>
  <c r="N33" i="3"/>
  <c r="N30" i="3"/>
  <c r="N29" i="3"/>
  <c r="N23" i="3"/>
  <c r="N22" i="3"/>
  <c r="N21" i="3"/>
  <c r="N19" i="3"/>
  <c r="N17" i="3"/>
  <c r="N14" i="3"/>
  <c r="N12" i="3"/>
  <c r="N11" i="3"/>
  <c r="N10" i="3"/>
  <c r="N9" i="3"/>
  <c r="N8" i="3"/>
  <c r="N7" i="3"/>
  <c r="L97" i="3"/>
  <c r="L93" i="3"/>
  <c r="L89" i="3"/>
  <c r="L88" i="3"/>
  <c r="L87" i="3"/>
  <c r="L86" i="3"/>
  <c r="L84" i="3"/>
  <c r="L66" i="3"/>
  <c r="L64" i="3"/>
  <c r="L63" i="3"/>
  <c r="L62" i="3"/>
  <c r="L61" i="3"/>
  <c r="L60" i="3"/>
  <c r="L59" i="3"/>
  <c r="L58" i="3"/>
  <c r="L57" i="3"/>
  <c r="L56" i="3"/>
  <c r="L55" i="3"/>
  <c r="L54" i="3"/>
  <c r="L53" i="3"/>
  <c r="L51" i="3"/>
  <c r="L50" i="3"/>
  <c r="L49" i="3"/>
  <c r="L47" i="3"/>
  <c r="L46" i="3"/>
  <c r="L45" i="3"/>
  <c r="L44" i="3"/>
  <c r="L41" i="3"/>
  <c r="L33" i="3"/>
  <c r="L30" i="3"/>
  <c r="L29" i="3"/>
  <c r="L23" i="3"/>
  <c r="L22" i="3"/>
  <c r="L21" i="3"/>
  <c r="L19" i="3"/>
  <c r="L17" i="3"/>
  <c r="L14" i="3"/>
  <c r="L12" i="3"/>
  <c r="L11" i="3"/>
  <c r="L10" i="3"/>
  <c r="L9" i="3"/>
  <c r="L8" i="3"/>
  <c r="L7" i="3"/>
  <c r="J97" i="3"/>
  <c r="J93" i="3"/>
  <c r="J89" i="3"/>
  <c r="J88" i="3"/>
  <c r="J87" i="3"/>
  <c r="J86" i="3"/>
  <c r="J84" i="3"/>
  <c r="J66" i="3"/>
  <c r="J64" i="3"/>
  <c r="J63" i="3"/>
  <c r="J62" i="3"/>
  <c r="J61" i="3"/>
  <c r="J60" i="3"/>
  <c r="J59" i="3"/>
  <c r="J58" i="3"/>
  <c r="J57" i="3"/>
  <c r="J56" i="3"/>
  <c r="J55" i="3"/>
  <c r="J54" i="3"/>
  <c r="J53" i="3"/>
  <c r="J51" i="3"/>
  <c r="J50" i="3"/>
  <c r="J49" i="3"/>
  <c r="J47" i="3"/>
  <c r="J46" i="3"/>
  <c r="J45" i="3"/>
  <c r="J44" i="3"/>
  <c r="J41" i="3"/>
  <c r="J33" i="3"/>
  <c r="J30" i="3"/>
  <c r="J29" i="3"/>
  <c r="J23" i="3"/>
  <c r="J22" i="3"/>
  <c r="J21" i="3"/>
  <c r="J19" i="3"/>
  <c r="J17" i="3"/>
  <c r="J14" i="3"/>
  <c r="J12" i="3"/>
  <c r="J11" i="3"/>
  <c r="J10" i="3"/>
  <c r="J9" i="3"/>
  <c r="J8" i="3"/>
  <c r="J7" i="3"/>
  <c r="H97" i="3"/>
  <c r="H93" i="3"/>
  <c r="H89" i="3"/>
  <c r="H88" i="3"/>
  <c r="H87" i="3"/>
  <c r="H86" i="3"/>
  <c r="H84" i="3"/>
  <c r="H66" i="3"/>
  <c r="H64" i="3"/>
  <c r="H63" i="3"/>
  <c r="H62" i="3"/>
  <c r="H61" i="3"/>
  <c r="H60" i="3"/>
  <c r="H59" i="3"/>
  <c r="H58" i="3"/>
  <c r="H57" i="3"/>
  <c r="H56" i="3"/>
  <c r="H55" i="3"/>
  <c r="H54" i="3"/>
  <c r="H53" i="3"/>
  <c r="H51" i="3"/>
  <c r="H50" i="3"/>
  <c r="H49" i="3"/>
  <c r="H47" i="3"/>
  <c r="H46" i="3"/>
  <c r="H45" i="3"/>
  <c r="H44" i="3"/>
  <c r="H41" i="3"/>
  <c r="H33" i="3"/>
  <c r="H30" i="3"/>
  <c r="H29" i="3"/>
  <c r="H23" i="3"/>
  <c r="H22" i="3"/>
  <c r="H21" i="3"/>
  <c r="H19" i="3"/>
  <c r="H17" i="3"/>
  <c r="H14" i="3"/>
  <c r="H12" i="3"/>
  <c r="H11" i="3"/>
  <c r="H10" i="3"/>
  <c r="H9" i="3"/>
  <c r="H8" i="3"/>
  <c r="H7" i="3"/>
  <c r="F97" i="3"/>
  <c r="F93" i="3"/>
  <c r="F89" i="3"/>
  <c r="F88" i="3"/>
  <c r="F87" i="3"/>
  <c r="F86" i="3"/>
  <c r="F84" i="3"/>
  <c r="F66" i="3"/>
  <c r="F64" i="3"/>
  <c r="F63" i="3"/>
  <c r="F62" i="3"/>
  <c r="F61" i="3"/>
  <c r="F60" i="3"/>
  <c r="F59" i="3"/>
  <c r="F58" i="3"/>
  <c r="F57" i="3"/>
  <c r="F56" i="3"/>
  <c r="F55" i="3"/>
  <c r="F54" i="3"/>
  <c r="F53" i="3"/>
  <c r="F51" i="3"/>
  <c r="F50" i="3"/>
  <c r="F49" i="3"/>
  <c r="F47" i="3"/>
  <c r="F46" i="3"/>
  <c r="F45" i="3"/>
  <c r="F44" i="3"/>
  <c r="F41" i="3"/>
  <c r="F33" i="3"/>
  <c r="F30" i="3"/>
  <c r="F29" i="3"/>
  <c r="F23" i="3"/>
  <c r="F22" i="3"/>
  <c r="F21" i="3"/>
  <c r="F19" i="3"/>
  <c r="F17" i="3"/>
  <c r="F14" i="3"/>
  <c r="F12" i="3"/>
  <c r="F11" i="3"/>
  <c r="F10" i="3"/>
  <c r="F9" i="3"/>
  <c r="F8" i="3"/>
  <c r="F7" i="3"/>
  <c r="D97" i="3"/>
  <c r="D93" i="3"/>
  <c r="D89" i="3"/>
  <c r="D88" i="3"/>
  <c r="D87" i="3"/>
  <c r="D86" i="3"/>
  <c r="D84" i="3"/>
  <c r="D66" i="3"/>
  <c r="D64" i="3"/>
  <c r="D63" i="3"/>
  <c r="D62" i="3"/>
  <c r="D61" i="3"/>
  <c r="D60" i="3"/>
  <c r="D59" i="3"/>
  <c r="D58" i="3"/>
  <c r="D57" i="3"/>
  <c r="D56" i="3"/>
  <c r="D55" i="3"/>
  <c r="D54" i="3"/>
  <c r="D53" i="3"/>
  <c r="D51" i="3"/>
  <c r="D50" i="3"/>
  <c r="D49" i="3"/>
  <c r="D47" i="3"/>
  <c r="D46" i="3"/>
  <c r="D45" i="3"/>
  <c r="D44" i="3"/>
  <c r="D41" i="3"/>
  <c r="D33" i="3"/>
  <c r="D30" i="3"/>
  <c r="D29" i="3"/>
  <c r="D23" i="3"/>
  <c r="D22" i="3"/>
  <c r="D21" i="3"/>
  <c r="D19" i="3"/>
  <c r="D17" i="3"/>
  <c r="D14" i="3"/>
  <c r="D12" i="3"/>
  <c r="D11" i="3"/>
  <c r="D10" i="3"/>
  <c r="D9" i="3"/>
  <c r="D8" i="3"/>
  <c r="D7" i="3"/>
  <c r="B97" i="3"/>
  <c r="B93" i="3"/>
  <c r="B89" i="3"/>
  <c r="B88" i="3"/>
  <c r="B87" i="3"/>
  <c r="B86" i="3"/>
  <c r="B84" i="3"/>
  <c r="B66" i="3"/>
  <c r="B64" i="3"/>
  <c r="B63" i="3"/>
  <c r="B62" i="3"/>
  <c r="B61" i="3"/>
  <c r="B60" i="3"/>
  <c r="B59" i="3"/>
  <c r="B58" i="3"/>
  <c r="B57" i="3"/>
  <c r="B56" i="3"/>
  <c r="B55" i="3"/>
  <c r="B54" i="3"/>
  <c r="B53" i="3"/>
  <c r="B51" i="3"/>
  <c r="B50" i="3"/>
  <c r="B49" i="3"/>
  <c r="B47" i="3"/>
  <c r="B46" i="3"/>
  <c r="B45" i="3"/>
  <c r="B44" i="3"/>
  <c r="B41" i="3"/>
  <c r="B33" i="3"/>
  <c r="B30" i="3"/>
  <c r="B29" i="3"/>
  <c r="B23" i="3"/>
  <c r="B22" i="3"/>
  <c r="B21" i="3"/>
  <c r="B19" i="3"/>
  <c r="B17" i="3"/>
  <c r="B14" i="3"/>
  <c r="B12" i="3"/>
  <c r="B11" i="3"/>
  <c r="B10" i="3"/>
  <c r="B9" i="3"/>
  <c r="B8" i="3"/>
  <c r="B7" i="3"/>
  <c r="N5" i="3"/>
  <c r="L5" i="3"/>
  <c r="J5" i="3"/>
  <c r="H5" i="3"/>
  <c r="H2" i="3"/>
  <c r="H3" i="3"/>
  <c r="H4" i="3"/>
  <c r="H6" i="3"/>
  <c r="H13" i="3"/>
  <c r="H15" i="3"/>
  <c r="H16" i="3"/>
  <c r="H18" i="3"/>
  <c r="H20" i="3"/>
  <c r="H24" i="3"/>
  <c r="H26" i="3"/>
  <c r="H27" i="3"/>
  <c r="H28" i="3"/>
  <c r="H31" i="3"/>
  <c r="H32" i="3"/>
  <c r="H34" i="3"/>
  <c r="H35" i="3"/>
  <c r="H36" i="3"/>
  <c r="H37" i="3"/>
  <c r="H38" i="3"/>
  <c r="H39" i="3"/>
  <c r="H40" i="3"/>
  <c r="H42" i="3"/>
  <c r="H43" i="3"/>
  <c r="H48" i="3"/>
  <c r="H52" i="3"/>
  <c r="H65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5" i="3"/>
  <c r="H90" i="3"/>
  <c r="H91" i="3"/>
  <c r="H92" i="3"/>
  <c r="H94" i="3"/>
  <c r="H95" i="3"/>
  <c r="H96" i="3"/>
  <c r="F5" i="3"/>
  <c r="D5" i="3"/>
  <c r="B5" i="3"/>
  <c r="F2" i="3"/>
  <c r="F3" i="3"/>
  <c r="F4" i="3"/>
  <c r="F6" i="3"/>
  <c r="F13" i="3"/>
  <c r="F15" i="3"/>
  <c r="F16" i="3"/>
  <c r="F18" i="3"/>
  <c r="F20" i="3"/>
  <c r="F24" i="3"/>
  <c r="F26" i="3"/>
  <c r="F27" i="3"/>
  <c r="F28" i="3"/>
  <c r="F31" i="3"/>
  <c r="F32" i="3"/>
  <c r="F34" i="3"/>
  <c r="F35" i="3"/>
  <c r="F36" i="3"/>
  <c r="F37" i="3"/>
  <c r="F38" i="3"/>
  <c r="F39" i="3"/>
  <c r="F40" i="3"/>
  <c r="F42" i="3"/>
  <c r="F43" i="3"/>
  <c r="F48" i="3"/>
  <c r="F52" i="3"/>
  <c r="F65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5" i="3"/>
  <c r="F90" i="3"/>
  <c r="F91" i="3"/>
  <c r="F92" i="3"/>
  <c r="F94" i="3"/>
  <c r="F95" i="3"/>
  <c r="F96" i="3"/>
  <c r="D2" i="3"/>
  <c r="D3" i="3"/>
  <c r="D4" i="3"/>
  <c r="D6" i="3"/>
  <c r="D13" i="3"/>
  <c r="D15" i="3"/>
  <c r="D16" i="3"/>
  <c r="D18" i="3"/>
  <c r="D20" i="3"/>
  <c r="D24" i="3"/>
  <c r="D26" i="3"/>
  <c r="D27" i="3"/>
  <c r="D28" i="3"/>
  <c r="D31" i="3"/>
  <c r="D32" i="3"/>
  <c r="D34" i="3"/>
  <c r="D35" i="3"/>
  <c r="D36" i="3"/>
  <c r="D37" i="3"/>
  <c r="D38" i="3"/>
  <c r="D39" i="3"/>
  <c r="D40" i="3"/>
  <c r="D42" i="3"/>
  <c r="D43" i="3"/>
  <c r="D48" i="3"/>
  <c r="D52" i="3"/>
  <c r="D65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5" i="3"/>
  <c r="D90" i="3"/>
  <c r="D91" i="3"/>
  <c r="D92" i="3"/>
  <c r="D94" i="3"/>
  <c r="D95" i="3"/>
  <c r="D96" i="3"/>
  <c r="C36" i="3"/>
  <c r="B92" i="3"/>
  <c r="B91" i="3"/>
  <c r="B90" i="3"/>
  <c r="B85" i="3"/>
  <c r="B79" i="3"/>
  <c r="B78" i="3"/>
  <c r="B77" i="3"/>
  <c r="C77" i="3" s="1"/>
  <c r="B76" i="3"/>
  <c r="C76" i="3" s="1"/>
  <c r="B75" i="3"/>
  <c r="B74" i="3"/>
  <c r="B73" i="3"/>
  <c r="B72" i="3"/>
  <c r="B71" i="3"/>
  <c r="B70" i="3"/>
  <c r="B69" i="3"/>
  <c r="B68" i="3"/>
  <c r="B48" i="3"/>
  <c r="B18" i="3"/>
  <c r="B94" i="3"/>
  <c r="B95" i="3"/>
  <c r="B96" i="3"/>
  <c r="N2" i="3"/>
  <c r="N3" i="3"/>
  <c r="N4" i="3"/>
  <c r="N6" i="3"/>
  <c r="N13" i="3"/>
  <c r="N15" i="3"/>
  <c r="N16" i="3"/>
  <c r="N18" i="3"/>
  <c r="N20" i="3"/>
  <c r="N24" i="3"/>
  <c r="N26" i="3"/>
  <c r="N27" i="3"/>
  <c r="N28" i="3"/>
  <c r="N31" i="3"/>
  <c r="N32" i="3"/>
  <c r="N34" i="3"/>
  <c r="N35" i="3"/>
  <c r="N36" i="3"/>
  <c r="N37" i="3"/>
  <c r="N38" i="3"/>
  <c r="N39" i="3"/>
  <c r="N40" i="3"/>
  <c r="N42" i="3"/>
  <c r="N43" i="3"/>
  <c r="N48" i="3"/>
  <c r="N52" i="3"/>
  <c r="N65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5" i="3"/>
  <c r="N90" i="3"/>
  <c r="N91" i="3"/>
  <c r="N92" i="3"/>
  <c r="N94" i="3"/>
  <c r="N95" i="3"/>
  <c r="N96" i="3"/>
  <c r="L2" i="3"/>
  <c r="L3" i="3"/>
  <c r="L4" i="3"/>
  <c r="L6" i="3"/>
  <c r="L13" i="3"/>
  <c r="L15" i="3"/>
  <c r="L16" i="3"/>
  <c r="L18" i="3"/>
  <c r="L20" i="3"/>
  <c r="L24" i="3"/>
  <c r="L26" i="3"/>
  <c r="L27" i="3"/>
  <c r="L28" i="3"/>
  <c r="L31" i="3"/>
  <c r="L32" i="3"/>
  <c r="L34" i="3"/>
  <c r="L35" i="3"/>
  <c r="L36" i="3"/>
  <c r="L37" i="3"/>
  <c r="L38" i="3"/>
  <c r="L39" i="3"/>
  <c r="L40" i="3"/>
  <c r="L42" i="3"/>
  <c r="L43" i="3"/>
  <c r="L48" i="3"/>
  <c r="L52" i="3"/>
  <c r="L65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5" i="3"/>
  <c r="L90" i="3"/>
  <c r="L91" i="3"/>
  <c r="L92" i="3"/>
  <c r="L94" i="3"/>
  <c r="L95" i="3"/>
  <c r="L96" i="3"/>
  <c r="J2" i="3"/>
  <c r="J3" i="3"/>
  <c r="J4" i="3"/>
  <c r="J6" i="3"/>
  <c r="J13" i="3"/>
  <c r="J15" i="3"/>
  <c r="J16" i="3"/>
  <c r="J18" i="3"/>
  <c r="J20" i="3"/>
  <c r="J24" i="3"/>
  <c r="J26" i="3"/>
  <c r="J27" i="3"/>
  <c r="J28" i="3"/>
  <c r="J31" i="3"/>
  <c r="J32" i="3"/>
  <c r="J34" i="3"/>
  <c r="J35" i="3"/>
  <c r="J36" i="3"/>
  <c r="J37" i="3"/>
  <c r="J38" i="3"/>
  <c r="J39" i="3"/>
  <c r="J40" i="3"/>
  <c r="J42" i="3"/>
  <c r="J43" i="3"/>
  <c r="J48" i="3"/>
  <c r="J52" i="3"/>
  <c r="J65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5" i="3"/>
  <c r="J90" i="3"/>
  <c r="J91" i="3"/>
  <c r="J92" i="3"/>
  <c r="J94" i="3"/>
  <c r="J95" i="3"/>
  <c r="J96" i="3"/>
  <c r="S5" i="3"/>
  <c r="S7" i="3"/>
  <c r="S8" i="3"/>
  <c r="S9" i="3"/>
  <c r="S10" i="3"/>
  <c r="S11" i="3"/>
  <c r="S12" i="3"/>
  <c r="S14" i="3"/>
  <c r="S17" i="3"/>
  <c r="M17" i="3" s="1"/>
  <c r="S19" i="3"/>
  <c r="S21" i="3"/>
  <c r="S22" i="3"/>
  <c r="S23" i="3"/>
  <c r="S29" i="3"/>
  <c r="S30" i="3"/>
  <c r="S33" i="3"/>
  <c r="S41" i="3"/>
  <c r="S44" i="3"/>
  <c r="S45" i="3"/>
  <c r="S46" i="3"/>
  <c r="S47" i="3"/>
  <c r="S49" i="3"/>
  <c r="S50" i="3"/>
  <c r="S51" i="3"/>
  <c r="S53" i="3"/>
  <c r="S54" i="3"/>
  <c r="S55" i="3"/>
  <c r="S56" i="3"/>
  <c r="S57" i="3"/>
  <c r="S58" i="3"/>
  <c r="S59" i="3"/>
  <c r="S60" i="3"/>
  <c r="S61" i="3"/>
  <c r="S62" i="3"/>
  <c r="S63" i="3"/>
  <c r="S64" i="3"/>
  <c r="S66" i="3"/>
  <c r="S84" i="3"/>
  <c r="S86" i="3"/>
  <c r="S87" i="3"/>
  <c r="S88" i="3"/>
  <c r="S89" i="3"/>
  <c r="S93" i="3"/>
  <c r="S97" i="3"/>
  <c r="I57" i="3" l="1"/>
  <c r="G57" i="3"/>
  <c r="O57" i="3"/>
  <c r="E57" i="3"/>
  <c r="M57" i="3"/>
  <c r="C57" i="3"/>
  <c r="K57" i="3"/>
  <c r="C55" i="3"/>
  <c r="E55" i="3"/>
  <c r="G55" i="3"/>
  <c r="I55" i="3"/>
  <c r="K55" i="3"/>
  <c r="M55" i="3"/>
  <c r="O55" i="3"/>
  <c r="G50" i="3"/>
  <c r="I50" i="3"/>
  <c r="C50" i="3"/>
  <c r="K50" i="3"/>
  <c r="E50" i="3"/>
  <c r="M50" i="3"/>
  <c r="O50" i="3"/>
  <c r="C45" i="3"/>
  <c r="G45" i="3"/>
  <c r="K45" i="3"/>
  <c r="O45" i="3"/>
  <c r="M45" i="3"/>
  <c r="I45" i="3"/>
  <c r="E45" i="3"/>
  <c r="C44" i="3"/>
  <c r="G44" i="3"/>
  <c r="K44" i="3"/>
  <c r="O44" i="3"/>
  <c r="E44" i="3"/>
  <c r="I44" i="3"/>
  <c r="M44" i="3"/>
  <c r="M14" i="3"/>
  <c r="G14" i="3"/>
  <c r="E14" i="3"/>
  <c r="K14" i="3"/>
  <c r="O14" i="3"/>
  <c r="I14" i="3"/>
  <c r="C14" i="3"/>
  <c r="O19" i="3"/>
  <c r="G19" i="3"/>
  <c r="C19" i="3"/>
  <c r="M19" i="3"/>
  <c r="E19" i="3"/>
  <c r="I19" i="3"/>
  <c r="K19" i="3"/>
  <c r="E41" i="3"/>
  <c r="M41" i="3"/>
  <c r="G41" i="3"/>
  <c r="M33" i="3"/>
  <c r="O41" i="3"/>
  <c r="C41" i="3"/>
  <c r="K41" i="3"/>
  <c r="I41" i="3"/>
  <c r="J82" i="4"/>
  <c r="J22" i="4"/>
  <c r="J35" i="4"/>
  <c r="J58" i="4"/>
  <c r="J103" i="4"/>
  <c r="J78" i="4"/>
  <c r="J120" i="4"/>
  <c r="J74" i="4"/>
  <c r="J88" i="4"/>
  <c r="J92" i="4"/>
  <c r="J101" i="4"/>
  <c r="J119" i="4"/>
  <c r="J18" i="4"/>
  <c r="J40" i="4"/>
  <c r="J62" i="4"/>
  <c r="J114" i="4"/>
  <c r="J63" i="4"/>
  <c r="J80" i="4"/>
  <c r="J89" i="4"/>
  <c r="J12" i="4"/>
  <c r="J26" i="4"/>
  <c r="J67" i="4"/>
  <c r="J91" i="4"/>
  <c r="J25" i="4"/>
  <c r="J48" i="4"/>
  <c r="J66" i="4"/>
  <c r="J84" i="4"/>
  <c r="J97" i="4"/>
  <c r="J79" i="4"/>
  <c r="J83" i="4"/>
  <c r="J96" i="4"/>
  <c r="J107" i="4"/>
  <c r="J113" i="4"/>
  <c r="J7" i="4"/>
  <c r="J30" i="4"/>
  <c r="J54" i="4"/>
  <c r="J70" i="4"/>
  <c r="J93" i="4"/>
  <c r="J8" i="4"/>
  <c r="J19" i="4"/>
  <c r="J55" i="4"/>
  <c r="J71" i="4"/>
  <c r="J108" i="4"/>
  <c r="J36" i="4"/>
  <c r="J49" i="4"/>
  <c r="J59" i="4"/>
  <c r="J75" i="4"/>
  <c r="O33" i="3"/>
  <c r="C97" i="3"/>
  <c r="C87" i="3"/>
  <c r="G22" i="3"/>
  <c r="E61" i="3"/>
  <c r="G61" i="3"/>
  <c r="K33" i="3"/>
  <c r="M93" i="3"/>
  <c r="E64" i="3"/>
  <c r="E56" i="3"/>
  <c r="G56" i="3"/>
  <c r="E5" i="3"/>
  <c r="G10" i="3"/>
  <c r="I10" i="3"/>
  <c r="E87" i="3"/>
  <c r="E63" i="3"/>
  <c r="E59" i="3"/>
  <c r="E51" i="3"/>
  <c r="E47" i="3"/>
  <c r="E22" i="3"/>
  <c r="E10" i="3"/>
  <c r="E23" i="3"/>
  <c r="G87" i="3"/>
  <c r="G63" i="3"/>
  <c r="G59" i="3"/>
  <c r="G51" i="3"/>
  <c r="G47" i="3"/>
  <c r="G23" i="3"/>
  <c r="I87" i="3"/>
  <c r="I51" i="3"/>
  <c r="I47" i="3"/>
  <c r="I23" i="3"/>
  <c r="K87" i="3"/>
  <c r="K51" i="3"/>
  <c r="K47" i="3"/>
  <c r="K23" i="3"/>
  <c r="M87" i="3"/>
  <c r="M51" i="3"/>
  <c r="M47" i="3"/>
  <c r="G7" i="3"/>
  <c r="I59" i="3"/>
  <c r="I58" i="3"/>
  <c r="M58" i="3"/>
  <c r="G11" i="3"/>
  <c r="I63" i="3"/>
  <c r="I93" i="3"/>
  <c r="E11" i="3"/>
  <c r="M8" i="3"/>
  <c r="I11" i="3"/>
  <c r="K63" i="3"/>
  <c r="K7" i="3"/>
  <c r="E97" i="3"/>
  <c r="E93" i="3"/>
  <c r="E89" i="3"/>
  <c r="E53" i="3"/>
  <c r="E49" i="3"/>
  <c r="E33" i="3"/>
  <c r="E12" i="3"/>
  <c r="E8" i="3"/>
  <c r="G97" i="3"/>
  <c r="G93" i="3"/>
  <c r="G89" i="3"/>
  <c r="G53" i="3"/>
  <c r="G49" i="3"/>
  <c r="G33" i="3"/>
  <c r="G21" i="3"/>
  <c r="G17" i="3"/>
  <c r="G5" i="3"/>
  <c r="I97" i="3"/>
  <c r="I89" i="3"/>
  <c r="I61" i="3"/>
  <c r="I53" i="3"/>
  <c r="I49" i="3"/>
  <c r="I33" i="3"/>
  <c r="I21" i="3"/>
  <c r="I17" i="3"/>
  <c r="I9" i="3"/>
  <c r="I5" i="3"/>
  <c r="K97" i="3"/>
  <c r="K93" i="3"/>
  <c r="K89" i="3"/>
  <c r="K61" i="3"/>
  <c r="K53" i="3"/>
  <c r="K49" i="3"/>
  <c r="K21" i="3"/>
  <c r="K17" i="3"/>
  <c r="K9" i="3"/>
  <c r="K5" i="3"/>
  <c r="M97" i="3"/>
  <c r="M89" i="3"/>
  <c r="M61" i="3"/>
  <c r="M53" i="3"/>
  <c r="M49" i="3"/>
  <c r="O97" i="3"/>
  <c r="O93" i="3"/>
  <c r="O89" i="3"/>
  <c r="E84" i="3"/>
  <c r="E7" i="3"/>
  <c r="G84" i="3"/>
  <c r="G64" i="3"/>
  <c r="G12" i="3"/>
  <c r="I84" i="3"/>
  <c r="I64" i="3"/>
  <c r="I56" i="3"/>
  <c r="I12" i="3"/>
  <c r="I8" i="3"/>
  <c r="K84" i="3"/>
  <c r="K64" i="3"/>
  <c r="K56" i="3"/>
  <c r="K12" i="3"/>
  <c r="K8" i="3"/>
  <c r="M84" i="3"/>
  <c r="M64" i="3"/>
  <c r="M56" i="3"/>
  <c r="M12" i="3"/>
  <c r="O84" i="3"/>
  <c r="O64" i="3"/>
  <c r="O56" i="3"/>
  <c r="O12" i="3"/>
  <c r="O8" i="3"/>
  <c r="I7" i="3"/>
  <c r="K59" i="3"/>
  <c r="K11" i="3"/>
  <c r="M63" i="3"/>
  <c r="M59" i="3"/>
  <c r="O63" i="3"/>
  <c r="E86" i="3"/>
  <c r="E66" i="3"/>
  <c r="E62" i="3"/>
  <c r="E58" i="3"/>
  <c r="E54" i="3"/>
  <c r="E46" i="3"/>
  <c r="E30" i="3"/>
  <c r="E21" i="3"/>
  <c r="E17" i="3"/>
  <c r="G86" i="3"/>
  <c r="G66" i="3"/>
  <c r="G62" i="3"/>
  <c r="G58" i="3"/>
  <c r="G54" i="3"/>
  <c r="G46" i="3"/>
  <c r="G30" i="3"/>
  <c r="I86" i="3"/>
  <c r="I66" i="3"/>
  <c r="I62" i="3"/>
  <c r="I54" i="3"/>
  <c r="I46" i="3"/>
  <c r="I30" i="3"/>
  <c r="I22" i="3"/>
  <c r="K86" i="3"/>
  <c r="K66" i="3"/>
  <c r="K62" i="3"/>
  <c r="K58" i="3"/>
  <c r="K54" i="3"/>
  <c r="K46" i="3"/>
  <c r="K30" i="3"/>
  <c r="K22" i="3"/>
  <c r="K10" i="3"/>
  <c r="M86" i="3"/>
  <c r="M66" i="3"/>
  <c r="M62" i="3"/>
  <c r="M54" i="3"/>
  <c r="M46" i="3"/>
  <c r="O58" i="3"/>
  <c r="O54" i="3"/>
  <c r="O46" i="3"/>
  <c r="M23" i="3"/>
  <c r="M11" i="3"/>
  <c r="M7" i="3"/>
  <c r="O87" i="3"/>
  <c r="O59" i="3"/>
  <c r="O51" i="3"/>
  <c r="O47" i="3"/>
  <c r="O23" i="3"/>
  <c r="O11" i="3"/>
  <c r="O7" i="3"/>
  <c r="M30" i="3"/>
  <c r="M22" i="3"/>
  <c r="M10" i="3"/>
  <c r="O86" i="3"/>
  <c r="O66" i="3"/>
  <c r="O62" i="3"/>
  <c r="O30" i="3"/>
  <c r="O22" i="3"/>
  <c r="O10" i="3"/>
  <c r="M21" i="3"/>
  <c r="M9" i="3"/>
  <c r="M5" i="3"/>
  <c r="O61" i="3"/>
  <c r="O53" i="3"/>
  <c r="O49" i="3"/>
  <c r="O21" i="3"/>
  <c r="O17" i="3"/>
  <c r="O9" i="3"/>
  <c r="O5" i="3"/>
  <c r="E9" i="3"/>
  <c r="G8" i="3"/>
  <c r="C5" i="3"/>
  <c r="G9" i="3"/>
  <c r="C17" i="3"/>
  <c r="C23" i="3"/>
  <c r="C47" i="3"/>
  <c r="C53" i="3"/>
  <c r="C59" i="3"/>
  <c r="C64" i="3"/>
  <c r="C86" i="3"/>
  <c r="C61" i="3"/>
  <c r="C12" i="3"/>
  <c r="C22" i="3"/>
  <c r="C46" i="3"/>
  <c r="C51" i="3"/>
  <c r="C58" i="3"/>
  <c r="C63" i="3"/>
  <c r="C7" i="3"/>
  <c r="C10" i="3"/>
  <c r="C30" i="3"/>
  <c r="C54" i="3"/>
  <c r="C66" i="3"/>
  <c r="C93" i="3"/>
  <c r="C11" i="3"/>
  <c r="C21" i="3"/>
  <c r="C33" i="3"/>
  <c r="C49" i="3"/>
  <c r="C56" i="3"/>
  <c r="C62" i="3"/>
  <c r="C84" i="3"/>
  <c r="C89" i="3"/>
</calcChain>
</file>

<file path=xl/sharedStrings.xml><?xml version="1.0" encoding="utf-8"?>
<sst xmlns="http://schemas.openxmlformats.org/spreadsheetml/2006/main" count="1167" uniqueCount="289">
  <si>
    <t>Stressed?</t>
  </si>
  <si>
    <t>Unnamed Cypress</t>
  </si>
  <si>
    <t>SJ-LA</t>
  </si>
  <si>
    <t>Plain</t>
  </si>
  <si>
    <t>No</t>
  </si>
  <si>
    <t>Green Swamp Marsh #304</t>
  </si>
  <si>
    <t>SW-LI</t>
  </si>
  <si>
    <t>Green Swamp #1, #298</t>
  </si>
  <si>
    <t>SW-LM</t>
  </si>
  <si>
    <t>City of Cocoa, Well 9T</t>
  </si>
  <si>
    <t>SJ-LL</t>
  </si>
  <si>
    <t>Walker Ranch - WR9</t>
  </si>
  <si>
    <t>SF-XZ</t>
  </si>
  <si>
    <t>Walker Ranch - WR6</t>
  </si>
  <si>
    <t>SF-LB</t>
  </si>
  <si>
    <t>Green Swamp 7</t>
  </si>
  <si>
    <t>SW-AA</t>
  </si>
  <si>
    <t>Green Swamp #5, #302</t>
  </si>
  <si>
    <t>SW-LK</t>
  </si>
  <si>
    <t>Walker Ranch - WR11</t>
  </si>
  <si>
    <t>SF-LA</t>
  </si>
  <si>
    <t>Green Swamp #6, #303</t>
  </si>
  <si>
    <t>SW-LJ</t>
  </si>
  <si>
    <t>Cypress Creek #199, W17</t>
  </si>
  <si>
    <t>SW-LE</t>
  </si>
  <si>
    <t>Yes</t>
  </si>
  <si>
    <t>Tibet Butler - TB2</t>
  </si>
  <si>
    <t>SF-YK</t>
  </si>
  <si>
    <t>Lake Gem</t>
  </si>
  <si>
    <t>SJ-AJ</t>
  </si>
  <si>
    <t>Cypress Creek #211, W33</t>
  </si>
  <si>
    <t>SW-LH</t>
  </si>
  <si>
    <t>Boggy Marsh</t>
  </si>
  <si>
    <t>SJ-LC</t>
  </si>
  <si>
    <t>Island Lake - 2774</t>
  </si>
  <si>
    <t>SJ-LH</t>
  </si>
  <si>
    <t>Cypress Creek #190 "E" Marsh</t>
  </si>
  <si>
    <t>SW-LF</t>
  </si>
  <si>
    <t>Cypress Creek #223 "B" W46</t>
  </si>
  <si>
    <t>SW-LG</t>
  </si>
  <si>
    <t>Lake Leonore (Patrick)</t>
  </si>
  <si>
    <t>Ridge</t>
  </si>
  <si>
    <t>Lake Annie (Highlands)</t>
  </si>
  <si>
    <t>Gator Lake</t>
  </si>
  <si>
    <t>Lake Apthorpe</t>
  </si>
  <si>
    <t>Lake Streety</t>
  </si>
  <si>
    <t>Bonnet Lake</t>
  </si>
  <si>
    <t>Parks Lake</t>
  </si>
  <si>
    <t>Surveyors Lake</t>
  </si>
  <si>
    <t>Lake Van</t>
  </si>
  <si>
    <t>Hopkins Prairie</t>
  </si>
  <si>
    <t>SJ-LD</t>
  </si>
  <si>
    <t>Johns Lake</t>
  </si>
  <si>
    <t>Lake Garfield</t>
  </si>
  <si>
    <t>SW-JJ</t>
  </si>
  <si>
    <t>Buck Lake (Highlands)</t>
  </si>
  <si>
    <t>Lake Placid</t>
  </si>
  <si>
    <t>Trout Lake</t>
  </si>
  <si>
    <t>Polecat Lake</t>
  </si>
  <si>
    <t>Lake Louisa</t>
  </si>
  <si>
    <t>SJ-LJ</t>
  </si>
  <si>
    <t>Big Gum Lake</t>
  </si>
  <si>
    <t>Crooked Lake</t>
  </si>
  <si>
    <t>SW-QQ</t>
  </si>
  <si>
    <t>Lake Apshawa</t>
  </si>
  <si>
    <t>SJ-LF</t>
  </si>
  <si>
    <t>Church Lake</t>
  </si>
  <si>
    <t>Unnamed Wetland</t>
  </si>
  <si>
    <t>SJ-LB</t>
  </si>
  <si>
    <t>Lake Wales</t>
  </si>
  <si>
    <t>SW-MM</t>
  </si>
  <si>
    <t>Long Lake</t>
  </si>
  <si>
    <t>Lake Avalon</t>
  </si>
  <si>
    <t>SJ-LE</t>
  </si>
  <si>
    <t>Lake Walker</t>
  </si>
  <si>
    <t>STATION</t>
  </si>
  <si>
    <t>CFCA_ID</t>
  </si>
  <si>
    <t>Physio</t>
  </si>
  <si>
    <t>P80NGVD</t>
  </si>
  <si>
    <t>RefElevNGVD</t>
  </si>
  <si>
    <t>Theta</t>
  </si>
  <si>
    <t>Split Oak</t>
  </si>
  <si>
    <t>ALSTON BAY</t>
  </si>
  <si>
    <t>ALSTON BAY UPLAND SURF</t>
  </si>
  <si>
    <t>ALSTON BAY WETLAND SURF</t>
  </si>
  <si>
    <t>BIG GUM LAKE</t>
  </si>
  <si>
    <t>BUCK LAKE (HIGHLANDS)</t>
  </si>
  <si>
    <t>Boggy Marsh SJ-LC</t>
  </si>
  <si>
    <t>CYC-W04A</t>
  </si>
  <si>
    <t>CYC-W33</t>
  </si>
  <si>
    <t>CYPRESS CREEK B UPLAND SURF</t>
  </si>
  <si>
    <t>CYPRESS CREEK E WETLAND SURF</t>
  </si>
  <si>
    <t>CYPRESS CREEK W-17</t>
  </si>
  <si>
    <t>CYPRESS CREEK W-17 UPLAND SURF</t>
  </si>
  <si>
    <t>CYPRESS CREEK W-17 WETLAND SURF</t>
  </si>
  <si>
    <t>CYPRESS CREEK W-33 SURF</t>
  </si>
  <si>
    <t>Church Lake SJ-QA</t>
  </si>
  <si>
    <t>Cocoa 9T</t>
  </si>
  <si>
    <t>Crooked Lake nr Babson Park</t>
  </si>
  <si>
    <t>Cypress Creek BIO-5 Surf</t>
  </si>
  <si>
    <t>GATOR LAKE</t>
  </si>
  <si>
    <t>GREEN SWAMP 1</t>
  </si>
  <si>
    <t>GREEN SWAMP 1 UPLAND SURF</t>
  </si>
  <si>
    <t>GREEN SWAMP 1 WETLAND SURF</t>
  </si>
  <si>
    <t>GREEN SWAMP 4</t>
  </si>
  <si>
    <t>GREEN SWAMP 4 UPLAND SURF</t>
  </si>
  <si>
    <t>GREEN SWAMP 4 WETLAND SURF</t>
  </si>
  <si>
    <t>GREEN SWAMP 6</t>
  </si>
  <si>
    <t>GREEN SWAMP 6 UPLAND SURF</t>
  </si>
  <si>
    <t>GREEN SWAMP 6 WETLAND SURF</t>
  </si>
  <si>
    <t>GREEN SWAMP 7</t>
  </si>
  <si>
    <t>GREEN SWAMP 7 WETLAND SURF</t>
  </si>
  <si>
    <t>GREEN SWAMP BAY</t>
  </si>
  <si>
    <t>GREEN SWAMP BAY UPLAND SURF</t>
  </si>
  <si>
    <t>GREEN SWAMP BAY WETLAND SURF</t>
  </si>
  <si>
    <t>GREEN SWAMP L-11K SHALLOW</t>
  </si>
  <si>
    <t>GREEN SWAMP MARSH</t>
  </si>
  <si>
    <t>GREEN SWAMP MARSH UPLAND SURF</t>
  </si>
  <si>
    <t>GREEN SWAMP MARSH WETLAND SURF</t>
  </si>
  <si>
    <t>Green Swamp 7 Upland Surf Disc</t>
  </si>
  <si>
    <t>Green Swamp 7 Upland Surf Repl</t>
  </si>
  <si>
    <t>NA</t>
  </si>
  <si>
    <t>Hopkins Prairie SJ-LD</t>
  </si>
  <si>
    <t>Island Lake SJ-LH</t>
  </si>
  <si>
    <t>Johns Lake SJ-QB</t>
  </si>
  <si>
    <t>LAKE ANNIE (HIGHLANDS)</t>
  </si>
  <si>
    <t>LAKE BONNET (HAINES CITY)</t>
  </si>
  <si>
    <t>LAKE GARFIELD</t>
  </si>
  <si>
    <t>LAKE STREETY</t>
  </si>
  <si>
    <t>LAKE WALKER</t>
  </si>
  <si>
    <t>Lake Apshawa SJ-LF</t>
  </si>
  <si>
    <t>Lake Avalon SJ-LE</t>
  </si>
  <si>
    <t>Lake Gem SJ-AJ</t>
  </si>
  <si>
    <t>Lake Louisa SJ-LJ</t>
  </si>
  <si>
    <t>Lake Sylvan</t>
  </si>
  <si>
    <t>Long Lake SJ-QD</t>
  </si>
  <si>
    <t>NE LAKELAND SURF AQ MONITOR (MW-1S)</t>
  </si>
  <si>
    <t>NORTHEAST LAKELAND WE-NEL-G-W SURF</t>
  </si>
  <si>
    <t>NORTHEAST LAKELAND WE-NEL-GG-W SURF</t>
  </si>
  <si>
    <t>NORTHEAST LAKELAND WE-NEL-J-W SURF</t>
  </si>
  <si>
    <t>NORTHEAST LAKELAND WE-NEL-JJ-W SURF</t>
  </si>
  <si>
    <t>NORTHEAST LAKELAND WE-NEL-K-U SURF</t>
  </si>
  <si>
    <t>NORTHEAST LAKELAND WE-NEL-K-W SURF</t>
  </si>
  <si>
    <t>NORTHEAST LAKELAND WE-NEL-Z-U SURF</t>
  </si>
  <si>
    <t>PARKS LAKE</t>
  </si>
  <si>
    <t>POLECAT LAKE</t>
  </si>
  <si>
    <t>POLK COUNTY T1-MW</t>
  </si>
  <si>
    <t>POLK COUNTY T2-MW</t>
  </si>
  <si>
    <t>POLK COUNTY VF-2MW</t>
  </si>
  <si>
    <t>POLK COUNTY VF1-A</t>
  </si>
  <si>
    <t>Placid View Drive nr Lake Placid Outlet Surf</t>
  </si>
  <si>
    <t>Prairie Lake</t>
  </si>
  <si>
    <t>ROMP 58 SURF AQ MONITOR</t>
  </si>
  <si>
    <t>Ridge WRAP VC-6 Surf</t>
  </si>
  <si>
    <t>SPLITOAK</t>
  </si>
  <si>
    <t>SR 70 WEST OF LAKE ANNIE SURF</t>
  </si>
  <si>
    <t>SURVEYORS LAKE</t>
  </si>
  <si>
    <t>TB2_GW1</t>
  </si>
  <si>
    <t>TB2_GW2</t>
  </si>
  <si>
    <t>Trout Lake SJ-QC</t>
  </si>
  <si>
    <t>Unnamed Cypress SJ-LA</t>
  </si>
  <si>
    <t>Unnamed Wetland SJ-LB</t>
  </si>
  <si>
    <t>WR11</t>
  </si>
  <si>
    <t>WR11_GW1</t>
  </si>
  <si>
    <t>WR15</t>
  </si>
  <si>
    <t>WR15_GW1</t>
  </si>
  <si>
    <t>WR16</t>
  </si>
  <si>
    <t>WR16_GW1</t>
  </si>
  <si>
    <t>WR6</t>
  </si>
  <si>
    <t>WR6_GW1</t>
  </si>
  <si>
    <t>WR9_GW1</t>
  </si>
  <si>
    <t>2011_P20</t>
  </si>
  <si>
    <t>2011_P50</t>
  </si>
  <si>
    <t>2011_P80</t>
  </si>
  <si>
    <t>STATION (from 2015)</t>
  </si>
  <si>
    <t>STATION (current)</t>
  </si>
  <si>
    <t>SiteName</t>
  </si>
  <si>
    <t>Stressed</t>
  </si>
  <si>
    <t>Wetland_Ty</t>
  </si>
  <si>
    <t>Urban_Dens</t>
  </si>
  <si>
    <t>Hydro_alt</t>
  </si>
  <si>
    <t>Average of X_SP</t>
  </si>
  <si>
    <t>Average of Y_SP</t>
  </si>
  <si>
    <t>Sum of Acres</t>
  </si>
  <si>
    <t>shift</t>
  </si>
  <si>
    <t>NO</t>
  </si>
  <si>
    <t>Low</t>
  </si>
  <si>
    <t>SF-LD</t>
  </si>
  <si>
    <t>Lake Arbuckle</t>
  </si>
  <si>
    <t>other</t>
  </si>
  <si>
    <t>Moderate</t>
  </si>
  <si>
    <t>SF-LF</t>
  </si>
  <si>
    <t>Lake Rosalie nr Lk Wales</t>
  </si>
  <si>
    <t>YES</t>
  </si>
  <si>
    <t>Walker Ranch WR9</t>
  </si>
  <si>
    <t>Tibet Butler</t>
  </si>
  <si>
    <t>High</t>
  </si>
  <si>
    <t>SJ-EV</t>
  </si>
  <si>
    <t>Unnamed cypress</t>
  </si>
  <si>
    <t>Unnamed wetland Nr SR 46</t>
  </si>
  <si>
    <t>Island Lake</t>
  </si>
  <si>
    <t>SJ-QA</t>
  </si>
  <si>
    <t>Church lake</t>
  </si>
  <si>
    <t>SJ-QB</t>
  </si>
  <si>
    <t>SJ-QC</t>
  </si>
  <si>
    <t>SW-QA</t>
  </si>
  <si>
    <t>SW-QB</t>
  </si>
  <si>
    <t>SW-QD</t>
  </si>
  <si>
    <t>SW-QJ</t>
  </si>
  <si>
    <t>SW-QK</t>
  </si>
  <si>
    <t>SW-QL</t>
  </si>
  <si>
    <t>SW-QM</t>
  </si>
  <si>
    <t>SW-QN</t>
  </si>
  <si>
    <t>SW-QO</t>
  </si>
  <si>
    <t>OldP80@NAVD</t>
  </si>
  <si>
    <t>2012_P20</t>
  </si>
  <si>
    <t>2013_P20</t>
  </si>
  <si>
    <t>2014_P20</t>
  </si>
  <si>
    <t>2015_P20</t>
  </si>
  <si>
    <t>2016_P20</t>
  </si>
  <si>
    <t>2017_P20</t>
  </si>
  <si>
    <t>2012Delta</t>
  </si>
  <si>
    <t>2011Delta</t>
  </si>
  <si>
    <t>2013Delta</t>
  </si>
  <si>
    <t>2014Delta</t>
  </si>
  <si>
    <t>2015Delta</t>
  </si>
  <si>
    <t>2017Delta</t>
  </si>
  <si>
    <t>2016Delta</t>
  </si>
  <si>
    <t>Old Name</t>
  </si>
  <si>
    <t>RefElev27</t>
  </si>
  <si>
    <t>P80_29</t>
  </si>
  <si>
    <t>X</t>
  </si>
  <si>
    <t>Y</t>
  </si>
  <si>
    <t>DatunShift</t>
  </si>
  <si>
    <t>X_SP</t>
  </si>
  <si>
    <t>Y_SP</t>
  </si>
  <si>
    <t>Datum Shift</t>
  </si>
  <si>
    <t>P80_88</t>
  </si>
  <si>
    <t>2017_P80_88</t>
  </si>
  <si>
    <t>2011_P80_88</t>
  </si>
  <si>
    <t>Previous</t>
  </si>
  <si>
    <t>Adjusted</t>
  </si>
  <si>
    <t>New</t>
  </si>
  <si>
    <t>RefElev88</t>
  </si>
  <si>
    <t>Site Name</t>
  </si>
  <si>
    <t>Edge Reference Elevation (ft NAVD 88)</t>
  </si>
  <si>
    <t>Walker Ranch WR-16</t>
  </si>
  <si>
    <t>Walker Ranch WR-15</t>
  </si>
  <si>
    <t>TBD</t>
  </si>
  <si>
    <t>Green Swamp Bay</t>
  </si>
  <si>
    <t>Green Swamp #4</t>
  </si>
  <si>
    <t>Alston Bay</t>
  </si>
  <si>
    <t>NE Lakeland Wellfield G</t>
  </si>
  <si>
    <t>NE Lakeland Wellfield J</t>
  </si>
  <si>
    <t>NE Lakeland Wellfield K</t>
  </si>
  <si>
    <t>Red Bug Lake</t>
  </si>
  <si>
    <t>Chapman Marsh</t>
  </si>
  <si>
    <t>Long Branch</t>
  </si>
  <si>
    <t>Van Fleet #2</t>
  </si>
  <si>
    <t>Buck Lake</t>
  </si>
  <si>
    <t>Lake Annie</t>
  </si>
  <si>
    <t>Lake Leonore</t>
  </si>
  <si>
    <t>Saddle Blanket Scrub #2</t>
  </si>
  <si>
    <t>Lake Wales Ridge WEA #2</t>
  </si>
  <si>
    <t>(but ditches blocked and recovered years ago)</t>
  </si>
  <si>
    <t>*</t>
  </si>
  <si>
    <t>SJ-GA</t>
  </si>
  <si>
    <t>SJ-QD</t>
  </si>
  <si>
    <t>Unnamed Wetland Nr SR 46</t>
  </si>
  <si>
    <t>Not Stressed</t>
  </si>
  <si>
    <t>SW-QI</t>
  </si>
  <si>
    <t>SW-QH</t>
  </si>
  <si>
    <t>SW-QF</t>
  </si>
  <si>
    <t>SW-QE</t>
  </si>
  <si>
    <t>SW-QC</t>
  </si>
  <si>
    <t>SJ-LI</t>
  </si>
  <si>
    <t>SF-WT</t>
  </si>
  <si>
    <t>Yes *</t>
  </si>
  <si>
    <t>Y_SP_FT</t>
  </si>
  <si>
    <t>X_SP_FT</t>
  </si>
  <si>
    <t>Latitude</t>
  </si>
  <si>
    <t>Longitude</t>
  </si>
  <si>
    <t>Conversion Factor to NAVD 88</t>
  </si>
  <si>
    <t>Edge Reference Elevation (ft NGVD 29)</t>
  </si>
  <si>
    <t>Hydrologically Altered</t>
  </si>
  <si>
    <t>Physiographic Region</t>
  </si>
  <si>
    <t>Stress Status</t>
  </si>
  <si>
    <t>CFCA/EMT ID</t>
  </si>
  <si>
    <t>SJ-??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</si>
</sst>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0000"/>
    <numFmt numFmtId="167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0"/>
      <name val="Arial"/>
    </font>
    <font>
      <b/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21" fillId="4" borderId="0" applyNumberFormat="0" applyBorder="0" applyAlignment="0" applyProtection="0"/>
    <xf numFmtId="0" fontId="20" fillId="0" borderId="0"/>
    <xf numFmtId="0" fontId="1" fillId="0" borderId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/>
    <xf numFmtId="0" fontId="23" fillId="0" borderId="0"/>
  </cellStyleXfs>
  <cellXfs count="66">
    <xf numFmtId="0" fontId="0" fillId="0" borderId="0" xfId="0"/>
    <xf numFmtId="0" fontId="18" fillId="0" borderId="0" xfId="0" applyFont="1" applyBorder="1" applyAlignment="1">
      <alignment horizontal="center" vertical="center"/>
    </xf>
    <xf numFmtId="2" fontId="20" fillId="0" borderId="0" xfId="42" applyNumberFormat="1"/>
    <xf numFmtId="2" fontId="0" fillId="0" borderId="0" xfId="0" applyNumberFormat="1"/>
    <xf numFmtId="0" fontId="20" fillId="0" borderId="0" xfId="42" applyBorder="1"/>
    <xf numFmtId="0" fontId="19" fillId="0" borderId="0" xfId="0" applyFont="1"/>
    <xf numFmtId="0" fontId="19" fillId="0" borderId="11" xfId="0" applyFont="1" applyBorder="1"/>
    <xf numFmtId="0" fontId="8" fillId="4" borderId="0" xfId="8"/>
    <xf numFmtId="0" fontId="20" fillId="0" borderId="13" xfId="42" applyBorder="1"/>
    <xf numFmtId="0" fontId="0" fillId="0" borderId="0" xfId="0"/>
    <xf numFmtId="2" fontId="20" fillId="0" borderId="0" xfId="42" applyNumberFormat="1" applyBorder="1"/>
    <xf numFmtId="2" fontId="20" fillId="0" borderId="13" xfId="42" applyNumberFormat="1" applyBorder="1"/>
    <xf numFmtId="2" fontId="8" fillId="4" borderId="0" xfId="8" applyNumberFormat="1" applyBorder="1"/>
    <xf numFmtId="2" fontId="20" fillId="0" borderId="0" xfId="42" applyNumberFormat="1" applyFill="1"/>
    <xf numFmtId="2" fontId="20" fillId="0" borderId="14" xfId="42" applyNumberFormat="1" applyBorder="1"/>
    <xf numFmtId="2" fontId="20" fillId="0" borderId="10" xfId="42" applyNumberFormat="1" applyFill="1" applyBorder="1"/>
    <xf numFmtId="0" fontId="20" fillId="0" borderId="12" xfId="42" applyNumberFormat="1" applyFont="1" applyBorder="1" applyAlignment="1"/>
    <xf numFmtId="2" fontId="20" fillId="0" borderId="0" xfId="79" applyNumberFormat="1"/>
    <xf numFmtId="0" fontId="20" fillId="0" borderId="0" xfId="42" applyAlignment="1">
      <alignment wrapText="1"/>
    </xf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2" fontId="14" fillId="33" borderId="0" xfId="0" applyNumberFormat="1" applyFont="1" applyFill="1"/>
    <xf numFmtId="0" fontId="0" fillId="34" borderId="0" xfId="0" applyFill="1"/>
    <xf numFmtId="0" fontId="0" fillId="35" borderId="0" xfId="0" applyFill="1"/>
    <xf numFmtId="2" fontId="22" fillId="0" borderId="15" xfId="0" applyNumberFormat="1" applyFont="1" applyFill="1" applyBorder="1" applyAlignment="1">
      <alignment horizontal="center" vertical="center"/>
    </xf>
    <xf numFmtId="2" fontId="20" fillId="0" borderId="0" xfId="85" applyNumberFormat="1"/>
    <xf numFmtId="2" fontId="2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3" fillId="0" borderId="0" xfId="86" applyNumberFormat="1"/>
    <xf numFmtId="164" fontId="23" fillId="0" borderId="0" xfId="86" applyNumberFormat="1"/>
    <xf numFmtId="165" fontId="22" fillId="0" borderId="15" xfId="0" applyNumberFormat="1" applyFont="1" applyFill="1" applyBorder="1" applyAlignment="1">
      <alignment horizontal="center" vertical="center"/>
    </xf>
    <xf numFmtId="1" fontId="22" fillId="0" borderId="15" xfId="0" applyNumberFormat="1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1" fontId="22" fillId="0" borderId="15" xfId="0" applyNumberFormat="1" applyFont="1" applyFill="1" applyBorder="1" applyAlignment="1">
      <alignment horizontal="center" vertical="center"/>
    </xf>
    <xf numFmtId="0" fontId="22" fillId="36" borderId="15" xfId="0" applyFont="1" applyFill="1" applyBorder="1" applyAlignment="1">
      <alignment horizontal="center" vertical="center" wrapText="1"/>
    </xf>
    <xf numFmtId="166" fontId="23" fillId="0" borderId="0" xfId="86" applyNumberFormat="1"/>
    <xf numFmtId="165" fontId="22" fillId="0" borderId="15" xfId="0" applyNumberFormat="1" applyFont="1" applyBorder="1" applyAlignment="1">
      <alignment horizontal="center" vertical="center"/>
    </xf>
    <xf numFmtId="2" fontId="22" fillId="33" borderId="15" xfId="0" applyNumberFormat="1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0" fillId="0" borderId="0" xfId="0" applyFill="1"/>
    <xf numFmtId="165" fontId="22" fillId="36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 wrapText="1"/>
    </xf>
    <xf numFmtId="1" fontId="22" fillId="36" borderId="15" xfId="0" applyNumberFormat="1" applyFont="1" applyFill="1" applyBorder="1" applyAlignment="1">
      <alignment horizontal="center" vertical="center"/>
    </xf>
    <xf numFmtId="165" fontId="22" fillId="33" borderId="15" xfId="0" applyNumberFormat="1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2" fontId="20" fillId="0" borderId="0" xfId="42" applyNumberFormat="1" applyAlignment="1">
      <alignment horizontal="center" vertical="center"/>
    </xf>
    <xf numFmtId="1" fontId="22" fillId="0" borderId="16" xfId="0" applyNumberFormat="1" applyFont="1" applyFill="1" applyBorder="1" applyAlignment="1">
      <alignment horizontal="center" vertical="center" wrapText="1"/>
    </xf>
    <xf numFmtId="1" fontId="22" fillId="0" borderId="17" xfId="0" applyNumberFormat="1" applyFont="1" applyFill="1" applyBorder="1" applyAlignment="1">
      <alignment horizontal="center" vertical="center"/>
    </xf>
    <xf numFmtId="0" fontId="1" fillId="0" borderId="0" xfId="80" applyAlignment="1">
      <alignment horizontal="right" vertical="center"/>
    </xf>
    <xf numFmtId="165" fontId="22" fillId="0" borderId="15" xfId="0" applyNumberFormat="1" applyFont="1" applyFill="1" applyBorder="1" applyAlignment="1">
      <alignment horizontal="center" vertical="center" wrapText="1"/>
    </xf>
    <xf numFmtId="165" fontId="24" fillId="0" borderId="15" xfId="0" applyNumberFormat="1" applyFont="1" applyFill="1" applyBorder="1" applyAlignment="1">
      <alignment horizontal="center" vertical="center" wrapText="1"/>
    </xf>
    <xf numFmtId="2" fontId="24" fillId="0" borderId="15" xfId="0" applyNumberFormat="1" applyFont="1" applyFill="1" applyBorder="1" applyAlignment="1">
      <alignment horizontal="center" vertical="center" wrapText="1"/>
    </xf>
    <xf numFmtId="167" fontId="24" fillId="0" borderId="15" xfId="0" applyNumberFormat="1" applyFont="1" applyFill="1" applyBorder="1" applyAlignment="1">
      <alignment horizontal="center" vertical="center" wrapText="1"/>
    </xf>
    <xf numFmtId="1" fontId="24" fillId="0" borderId="15" xfId="0" applyNumberFormat="1" applyFont="1" applyFill="1" applyBorder="1" applyAlignment="1">
      <alignment horizontal="center" vertical="center" wrapText="1"/>
    </xf>
    <xf numFmtId="2" fontId="23" fillId="0" borderId="15" xfId="86" applyNumberFormat="1" applyBorder="1"/>
    <xf numFmtId="2" fontId="20" fillId="0" borderId="15" xfId="42" applyNumberFormat="1" applyBorder="1" applyAlignment="1">
      <alignment horizontal="center" vertical="center"/>
    </xf>
    <xf numFmtId="2" fontId="20" fillId="0" borderId="15" xfId="42" applyNumberFormat="1" applyBorder="1"/>
    <xf numFmtId="0" fontId="1" fillId="0" borderId="15" xfId="80" applyBorder="1" applyAlignment="1">
      <alignment horizontal="right" vertical="center"/>
    </xf>
    <xf numFmtId="0" fontId="22" fillId="33" borderId="0" xfId="0" applyFont="1" applyFill="1" applyBorder="1" applyAlignment="1">
      <alignment horizontal="center" vertical="center" wrapText="1"/>
    </xf>
    <xf numFmtId="165" fontId="22" fillId="0" borderId="0" xfId="0" applyNumberFormat="1" applyFont="1" applyFill="1" applyBorder="1" applyAlignment="1">
      <alignment horizontal="center" vertical="center"/>
    </xf>
  </cellXfs>
  <cellStyles count="87">
    <cellStyle name="20% - Accent1" xfId="19" builtinId="30" customBuiltin="1"/>
    <cellStyle name="20% - Accent1 2" xfId="43" xr:uid="{2E48FE8C-C8AA-42FA-840D-2A6E897C598E}"/>
    <cellStyle name="20% - Accent2" xfId="23" builtinId="34" customBuiltin="1"/>
    <cellStyle name="20% - Accent2 2" xfId="44" xr:uid="{856B910B-DF88-438D-AB05-1A35296A2AEB}"/>
    <cellStyle name="20% - Accent3" xfId="27" builtinId="38" customBuiltin="1"/>
    <cellStyle name="20% - Accent3 2" xfId="45" xr:uid="{64C3BECB-2575-453D-A497-0388182F63EB}"/>
    <cellStyle name="20% - Accent4" xfId="31" builtinId="42" customBuiltin="1"/>
    <cellStyle name="20% - Accent4 2" xfId="46" xr:uid="{03EA6404-C4EE-4426-8E7B-38080DE73371}"/>
    <cellStyle name="20% - Accent5" xfId="35" builtinId="46" customBuiltin="1"/>
    <cellStyle name="20% - Accent5 2" xfId="47" xr:uid="{A6F47594-AA00-43FC-ACA8-AF41378728E7}"/>
    <cellStyle name="20% - Accent6" xfId="39" builtinId="50" customBuiltin="1"/>
    <cellStyle name="20% - Accent6 2" xfId="48" xr:uid="{0C7801B0-0D35-4326-A4D2-767D88BEBEBD}"/>
    <cellStyle name="40% - Accent1" xfId="20" builtinId="31" customBuiltin="1"/>
    <cellStyle name="40% - Accent1 2" xfId="49" xr:uid="{BBDC9703-DCF9-4E01-8A76-FB03CC9E849E}"/>
    <cellStyle name="40% - Accent2" xfId="24" builtinId="35" customBuiltin="1"/>
    <cellStyle name="40% - Accent2 2" xfId="50" xr:uid="{A5C77651-A786-479B-AAB5-C83564129D1F}"/>
    <cellStyle name="40% - Accent3" xfId="28" builtinId="39" customBuiltin="1"/>
    <cellStyle name="40% - Accent3 2" xfId="51" xr:uid="{BE66C4A6-31C1-4888-A832-C934729E9545}"/>
    <cellStyle name="40% - Accent4" xfId="32" builtinId="43" customBuiltin="1"/>
    <cellStyle name="40% - Accent4 2" xfId="52" xr:uid="{E2322428-9A79-4485-8D22-9DE905B32860}"/>
    <cellStyle name="40% - Accent5" xfId="36" builtinId="47" customBuiltin="1"/>
    <cellStyle name="40% - Accent5 2" xfId="53" xr:uid="{40C6BEF9-6C56-4CFE-A669-41E685348620}"/>
    <cellStyle name="40% - Accent6" xfId="40" builtinId="51" customBuiltin="1"/>
    <cellStyle name="40% - Accent6 2" xfId="54" xr:uid="{25642214-94D6-42D9-9956-70F76078A2A2}"/>
    <cellStyle name="60% - Accent1" xfId="21" builtinId="32" customBuiltin="1"/>
    <cellStyle name="60% - Accent1 2" xfId="55" xr:uid="{80C3B92F-C25F-4500-85A2-A3E23CEC4288}"/>
    <cellStyle name="60% - Accent2" xfId="25" builtinId="36" customBuiltin="1"/>
    <cellStyle name="60% - Accent2 2" xfId="56" xr:uid="{9F8B889E-2DA2-4782-BCE6-34F9F4FA5398}"/>
    <cellStyle name="60% - Accent3" xfId="29" builtinId="40" customBuiltin="1"/>
    <cellStyle name="60% - Accent3 2" xfId="57" xr:uid="{15B38E4F-A47A-4990-B59C-89F97906BFEE}"/>
    <cellStyle name="60% - Accent4" xfId="33" builtinId="44" customBuiltin="1"/>
    <cellStyle name="60% - Accent4 2" xfId="58" xr:uid="{2E986FF8-45E4-47B4-95DA-5035C7297E99}"/>
    <cellStyle name="60% - Accent5" xfId="37" builtinId="48" customBuiltin="1"/>
    <cellStyle name="60% - Accent5 2" xfId="59" xr:uid="{54FE9AF9-09E5-4158-A58C-389FFCDD25C0}"/>
    <cellStyle name="60% - Accent6" xfId="41" builtinId="52" customBuiltin="1"/>
    <cellStyle name="60% - Accent6 2" xfId="60" xr:uid="{7DFFE5D5-077C-4477-95DD-A80940D1E8C5}"/>
    <cellStyle name="Accent1" xfId="18" builtinId="29" customBuiltin="1"/>
    <cellStyle name="Accent1 2" xfId="61" xr:uid="{340D9F95-F186-458E-A235-4FE2B15B1B99}"/>
    <cellStyle name="Accent2" xfId="22" builtinId="33" customBuiltin="1"/>
    <cellStyle name="Accent2 2" xfId="62" xr:uid="{7F0E833F-D35B-4B34-8D19-9CC304D2421F}"/>
    <cellStyle name="Accent3" xfId="26" builtinId="37" customBuiltin="1"/>
    <cellStyle name="Accent3 2" xfId="63" xr:uid="{9671F530-E93C-41BB-89BB-380DF94F68BA}"/>
    <cellStyle name="Accent4" xfId="30" builtinId="41" customBuiltin="1"/>
    <cellStyle name="Accent4 2" xfId="64" xr:uid="{1B455684-1E85-449A-AE89-A350E65C8078}"/>
    <cellStyle name="Accent5" xfId="34" builtinId="45" customBuiltin="1"/>
    <cellStyle name="Accent5 2" xfId="65" xr:uid="{04538692-3F3A-4AB6-A6D4-D1741E24E6E2}"/>
    <cellStyle name="Accent6" xfId="38" builtinId="49" customBuiltin="1"/>
    <cellStyle name="Accent6 2" xfId="66" xr:uid="{1DC69956-CED9-479F-80A7-03CCBF58FCF3}"/>
    <cellStyle name="Bad" xfId="7" builtinId="27" customBuiltin="1"/>
    <cellStyle name="Bad 2" xfId="67" xr:uid="{B050C14F-9926-47AF-95A8-CFB3A0B82B49}"/>
    <cellStyle name="Calculation" xfId="11" builtinId="22" customBuiltin="1"/>
    <cellStyle name="Calculation 2" xfId="68" xr:uid="{F40806DA-6172-405F-9812-84EC93A093BE}"/>
    <cellStyle name="Check Cell" xfId="13" builtinId="23" customBuiltin="1"/>
    <cellStyle name="Check Cell 2" xfId="69" xr:uid="{7D6C2000-E20B-406E-A299-47743EF3826B}"/>
    <cellStyle name="Explanatory Text" xfId="16" builtinId="53" customBuiltin="1"/>
    <cellStyle name="Explanatory Text 2" xfId="70" xr:uid="{5E4EC31E-DC05-4340-A62C-CC5EC3FB2974}"/>
    <cellStyle name="Good" xfId="6" builtinId="26" customBuiltin="1"/>
    <cellStyle name="Good 2" xfId="71" xr:uid="{463D6794-78A0-412C-8CFC-6609B536CF97}"/>
    <cellStyle name="Heading 1" xfId="2" builtinId="16" customBuiltin="1"/>
    <cellStyle name="Heading 1 2" xfId="72" xr:uid="{F4A6C4CD-7566-4EC9-BB15-1947A0BA87E2}"/>
    <cellStyle name="Heading 2" xfId="3" builtinId="17" customBuiltin="1"/>
    <cellStyle name="Heading 2 2" xfId="73" xr:uid="{4DB9E185-D521-4C50-9B65-185D4ED59481}"/>
    <cellStyle name="Heading 3" xfId="4" builtinId="18" customBuiltin="1"/>
    <cellStyle name="Heading 3 2" xfId="74" xr:uid="{20B8B185-64B8-43A3-818F-701785029BCA}"/>
    <cellStyle name="Heading 4" xfId="5" builtinId="19" customBuiltin="1"/>
    <cellStyle name="Heading 4 2" xfId="75" xr:uid="{311BC531-4AC4-42A6-9633-95523133F052}"/>
    <cellStyle name="Input" xfId="9" builtinId="20" customBuiltin="1"/>
    <cellStyle name="Input 2" xfId="76" xr:uid="{E24EED3B-B3C1-4978-A47D-75427E7642A1}"/>
    <cellStyle name="Linked Cell" xfId="12" builtinId="24" customBuiltin="1"/>
    <cellStyle name="Linked Cell 2" xfId="77" xr:uid="{46B20FC4-1B73-4F49-AD60-69A7C8C5DF6E}"/>
    <cellStyle name="Neutral" xfId="8" builtinId="28" customBuiltin="1"/>
    <cellStyle name="Neutral 2" xfId="78" xr:uid="{B74CF59F-5B06-41E5-9152-7326826B2039}"/>
    <cellStyle name="Normal" xfId="0" builtinId="0"/>
    <cellStyle name="Normal 2" xfId="80" xr:uid="{8EF5593C-9962-44A1-8C09-1DFF751E5965}"/>
    <cellStyle name="Normal_Class 1s" xfId="85" xr:uid="{544916E6-1158-4EDB-995C-91B1D7E244B4}"/>
    <cellStyle name="Normal_Class 1s 2" xfId="86" xr:uid="{CCE45D4E-0456-4150-839B-50083E273487}"/>
    <cellStyle name="Normal_Class1Survey" xfId="42" xr:uid="{F3A819E5-FDA8-4BB7-914C-DA516AB0E48A}"/>
    <cellStyle name="Normal_Sheet3" xfId="79" xr:uid="{95417520-1C80-4F21-9EDC-5D44A489D5BA}"/>
    <cellStyle name="Note" xfId="15" builtinId="10" customBuiltin="1"/>
    <cellStyle name="Note 2" xfId="81" xr:uid="{F0C3A843-77F6-4333-B9EE-28213C521BEA}"/>
    <cellStyle name="Output" xfId="10" builtinId="21" customBuiltin="1"/>
    <cellStyle name="Output 2" xfId="82" xr:uid="{7BB8D2CC-7D15-436E-87F6-7BBE8DB89B50}"/>
    <cellStyle name="Title" xfId="1" builtinId="15" customBuiltin="1"/>
    <cellStyle name="Total" xfId="17" builtinId="25" customBuiltin="1"/>
    <cellStyle name="Total 2" xfId="83" xr:uid="{112B8210-5D52-4A60-B14D-AA6E9B44FFE6}"/>
    <cellStyle name="Warning Text" xfId="14" builtinId="11" customBuiltin="1"/>
    <cellStyle name="Warning Text 2" xfId="84" xr:uid="{AF76BAFE-3CD8-4080-AC24-11234850217C}"/>
  </cellStyles>
  <dxfs count="34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border outline="0">
        <left style="thick">
          <color auto="1"/>
        </left>
      </border>
    </dxf>
    <dxf>
      <alignment horizontal="general" vertical="bottom" textRotation="0" wrapText="1" indent="0" justifyLastLine="0" shrinkToFit="0" readingOrder="0"/>
    </dxf>
    <dxf>
      <numFmt numFmtId="164" formatCode="0.0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101</xdr:row>
      <xdr:rowOff>161925</xdr:rowOff>
    </xdr:from>
    <xdr:to>
      <xdr:col>19</xdr:col>
      <xdr:colOff>342193</xdr:colOff>
      <xdr:row>111</xdr:row>
      <xdr:rowOff>152163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ACD9B3-59CF-46D0-BDDB-C3F1A7501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10001250"/>
          <a:ext cx="5657143" cy="1895238"/>
        </a:xfrm>
        <a:prstGeom prst="rect">
          <a:avLst/>
        </a:prstGeom>
      </xdr:spPr>
    </xdr:pic>
    <xdr:clientData/>
  </xdr:twoCellAnchor>
  <xdr:twoCellAnchor editAs="oneCell">
    <xdr:from>
      <xdr:col>19</xdr:col>
      <xdr:colOff>219075</xdr:colOff>
      <xdr:row>13</xdr:row>
      <xdr:rowOff>123824</xdr:rowOff>
    </xdr:from>
    <xdr:to>
      <xdr:col>24</xdr:col>
      <xdr:colOff>488762</xdr:colOff>
      <xdr:row>44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75CFD1-3EA7-4155-AC91-F1B18825F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5950" y="1943099"/>
          <a:ext cx="6032312" cy="2105026"/>
        </a:xfrm>
        <a:prstGeom prst="rect">
          <a:avLst/>
        </a:prstGeom>
      </xdr:spPr>
    </xdr:pic>
    <xdr:clientData/>
  </xdr:twoCellAnchor>
  <xdr:twoCellAnchor editAs="oneCell">
    <xdr:from>
      <xdr:col>19</xdr:col>
      <xdr:colOff>542925</xdr:colOff>
      <xdr:row>44</xdr:row>
      <xdr:rowOff>133350</xdr:rowOff>
    </xdr:from>
    <xdr:to>
      <xdr:col>24</xdr:col>
      <xdr:colOff>304109</xdr:colOff>
      <xdr:row>56</xdr:row>
      <xdr:rowOff>171207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2F1B36-C421-49A1-8FF9-15EF9ECF1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9800" y="4048125"/>
          <a:ext cx="5523809" cy="1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2114550</xdr:colOff>
      <xdr:row>101</xdr:row>
      <xdr:rowOff>95250</xdr:rowOff>
    </xdr:from>
    <xdr:to>
      <xdr:col>11</xdr:col>
      <xdr:colOff>427924</xdr:colOff>
      <xdr:row>111</xdr:row>
      <xdr:rowOff>85488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CBE170-CF95-43D0-9796-3831CC310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9934575"/>
          <a:ext cx="5609524" cy="1895238"/>
        </a:xfrm>
        <a:prstGeom prst="rect">
          <a:avLst/>
        </a:prstGeom>
      </xdr:spPr>
    </xdr:pic>
    <xdr:clientData/>
  </xdr:twoCellAnchor>
  <xdr:twoCellAnchor editAs="oneCell">
    <xdr:from>
      <xdr:col>19</xdr:col>
      <xdr:colOff>246567</xdr:colOff>
      <xdr:row>0</xdr:row>
      <xdr:rowOff>0</xdr:rowOff>
    </xdr:from>
    <xdr:to>
      <xdr:col>24</xdr:col>
      <xdr:colOff>247649</xdr:colOff>
      <xdr:row>13</xdr:row>
      <xdr:rowOff>161688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B2639-E08F-441F-ABC2-6AFD38E6D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43442" y="0"/>
          <a:ext cx="5763707" cy="1980963"/>
        </a:xfrm>
        <a:prstGeom prst="rect">
          <a:avLst/>
        </a:prstGeom>
      </xdr:spPr>
    </xdr:pic>
    <xdr:clientData/>
  </xdr:twoCellAnchor>
  <xdr:twoCellAnchor editAs="oneCell">
    <xdr:from>
      <xdr:col>19</xdr:col>
      <xdr:colOff>466725</xdr:colOff>
      <xdr:row>56</xdr:row>
      <xdr:rowOff>171450</xdr:rowOff>
    </xdr:from>
    <xdr:to>
      <xdr:col>24</xdr:col>
      <xdr:colOff>313624</xdr:colOff>
      <xdr:row>85</xdr:row>
      <xdr:rowOff>66426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02AD91-72EE-4ADE-A3EA-2ED067953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63600" y="5991225"/>
          <a:ext cx="5609524" cy="19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342900</xdr:colOff>
      <xdr:row>85</xdr:row>
      <xdr:rowOff>19050</xdr:rowOff>
    </xdr:from>
    <xdr:to>
      <xdr:col>24</xdr:col>
      <xdr:colOff>237418</xdr:colOff>
      <xdr:row>101</xdr:row>
      <xdr:rowOff>180714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36C295-17DA-4EE8-998F-377698537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39775" y="7934325"/>
          <a:ext cx="5657143" cy="2085714"/>
        </a:xfrm>
        <a:prstGeom prst="rect">
          <a:avLst/>
        </a:prstGeom>
      </xdr:spPr>
    </xdr:pic>
    <xdr:clientData/>
  </xdr:twoCellAnchor>
  <xdr:twoCellAnchor editAs="oneCell">
    <xdr:from>
      <xdr:col>19</xdr:col>
      <xdr:colOff>352425</xdr:colOff>
      <xdr:row>101</xdr:row>
      <xdr:rowOff>180975</xdr:rowOff>
    </xdr:from>
    <xdr:to>
      <xdr:col>24</xdr:col>
      <xdr:colOff>132657</xdr:colOff>
      <xdr:row>111</xdr:row>
      <xdr:rowOff>171213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1ECB5D5-28E2-4C6C-BA66-ED20382B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49300" y="10020300"/>
          <a:ext cx="5542857" cy="18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%201%20Wetland%20Info%20for%20Analysis%20ALL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E50D86-D463-42A8-BF8A-13B549219CA4}" name="Table2" displayName="Table2" ref="A1:L46" totalsRowShown="0" headerRowCellStyle="Normal" dataCellStyle="Normal">
  <autoFilter ref="A1:L46" xr:uid="{1E8CAE46-19F6-4CBA-A318-8DDCC2B1C694}"/>
  <tableColumns count="12">
    <tableColumn id="1" xr3:uid="{B7EAEB4E-C489-478B-B508-AD910CFC5DCD}" name="STATION" dataCellStyle="Normal"/>
    <tableColumn id="2" xr3:uid="{4E184115-DD9B-46E9-AE05-B18B1AA0EA47}" name="CFCA_ID" dataCellStyle="Normal"/>
    <tableColumn id="3" xr3:uid="{C47D485B-58B4-4DFD-BB5F-23D7D6512F28}" name="X" dataDxfId="33" dataCellStyle="Normal">
      <calculatedColumnFormula>IFERROR(VLOOKUP(B2,OldCoordinates!B$2:H$35,6,FALSE),"")</calculatedColumnFormula>
    </tableColumn>
    <tableColumn id="4" xr3:uid="{A7E9D07D-C168-4A5C-AF1C-29D9EFFEA5B1}" name="Y" dataDxfId="32" dataCellStyle="Normal">
      <calculatedColumnFormula>IFERROR(VLOOKUP(B2,OldCoordinates!B$2:H$35,7,FALSE),"")</calculatedColumnFormula>
    </tableColumn>
    <tableColumn id="5" xr3:uid="{16040393-D9C3-4E5E-9966-130E239CCD47}" name="DatunShift" dataDxfId="31" dataCellStyle="Normal">
      <calculatedColumnFormula>IFERROR(VLOOKUP(B2,OldCoordinates!B$2:J$35,9,FALSE),"")</calculatedColumnFormula>
    </tableColumn>
    <tableColumn id="6" xr3:uid="{A02B195C-2280-4A4A-9F22-6C9C1F6536F2}" name="Physio" dataCellStyle="Normal"/>
    <tableColumn id="7" xr3:uid="{D7D72FCF-7D93-485C-9C07-B8A1B3FA5E2F}" name="P80NGVD" dataCellStyle="Normal"/>
    <tableColumn id="8" xr3:uid="{763A53E1-E094-459F-A30E-0854AF3910F2}" name="RefElevNGVD" dataCellStyle="Normal"/>
    <tableColumn id="9" xr3:uid="{78F797C8-997A-49C2-BA14-95CEC8DC7864}" name="Theta" dataCellStyle="Normal"/>
    <tableColumn id="10" xr3:uid="{EF99285B-3DF9-4D0D-BF6E-5C77775B96FA}" name="Stressed?" dataCellStyle="Normal"/>
    <tableColumn id="11" xr3:uid="{D9D0F3C2-6D90-44A7-8D42-E4C90EBF7895}" name="Urban_Dens" dataCellStyle="Normal">
      <calculatedColumnFormula>IFERROR(VLOOKUP(B2,OldCoordinates!B$2:J$35,4,FALSE),"")</calculatedColumnFormula>
    </tableColumn>
    <tableColumn id="12" xr3:uid="{3D71CF3D-22E6-402C-B336-0144DAA00299}" name="Hydro_alt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C107D-E177-471D-A407-2E45E7C76207}" name="Table1" displayName="Table1" ref="A1:S97" totalsRowShown="0" headerRowDxfId="30" tableBorderDxfId="29">
  <autoFilter ref="A1:S97" xr:uid="{A58C4C36-20DB-47EC-AEE3-4C3A6190CE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>
      <customFilters>
        <customFilter operator="notEqual" val=" "/>
      </customFilters>
    </filterColumn>
    <filterColumn colId="17" hiddenButton="1"/>
    <filterColumn colId="18" hiddenButton="1"/>
  </autoFilter>
  <tableColumns count="19">
    <tableColumn id="1" xr3:uid="{3B1F9DAE-1752-4234-B954-AD4CD8EC5597}" name="STATION (current)"/>
    <tableColumn id="2" xr3:uid="{DAD5E8AE-1B4A-4061-A1E7-F6E8ED630AF5}" name="2011_P20" dataDxfId="28"/>
    <tableColumn id="18" xr3:uid="{7D27ACCC-EF2B-441E-AF9D-3AC5E7E29853}" name="2011Delta" dataDxfId="27">
      <calculatedColumnFormula>IFERROR(Table1[[#This Row],[2011_P20]]-Table1[[#This Row],[OldP80@NAVD]],"")</calculatedColumnFormula>
    </tableColumn>
    <tableColumn id="10" xr3:uid="{E21D7FB2-8148-4222-AC9A-F8FD81446910}" name="2012_P20" dataDxfId="26">
      <calculatedColumnFormula>_xlfn.IFNA(VLOOKUP(Table1[[#This Row],[STATION (current)]],AllP20!B$2:F$93,5,FALSE),"")</calculatedColumnFormula>
    </tableColumn>
    <tableColumn id="17" xr3:uid="{C1D63D7A-39D7-4FFF-8FA3-717344548696}" name="2012Delta" dataDxfId="25">
      <calculatedColumnFormula>IFERROR(Table1[[#This Row],[OldP80@NAVD]]-Table1[[#This Row],[2012_P20]],"")</calculatedColumnFormula>
    </tableColumn>
    <tableColumn id="11" xr3:uid="{4180FAD8-9631-4FFC-9777-5D0CADB294F4}" name="2013_P20" dataDxfId="24">
      <calculatedColumnFormula>_xlfn.IFNA(VLOOKUP(Table1[[#This Row],[STATION (current)]],AllP20!B$2:I$93,8,FALSE),"")</calculatedColumnFormula>
    </tableColumn>
    <tableColumn id="16" xr3:uid="{D1098735-2DCA-4676-BF02-E619FA7906CB}" name="2013Delta" dataDxfId="23">
      <calculatedColumnFormula>IFERROR(Table1[[#This Row],[OldP80@NAVD]]-Table1[[#This Row],[2013_P20]],"")</calculatedColumnFormula>
    </tableColumn>
    <tableColumn id="13" xr3:uid="{C889C520-3918-4DF3-B656-89C7D595A45A}" name="2014_P20" dataDxfId="22">
      <calculatedColumnFormula>_xlfn.IFNA(VLOOKUP(Table1[[#This Row],[STATION (current)]],AllP20!B$2:L$93,11,FALSE),"")</calculatedColumnFormula>
    </tableColumn>
    <tableColumn id="19" xr3:uid="{4C9E6E8B-4A28-458A-8345-098DC5233F29}" name="2014Delta" dataDxfId="21">
      <calculatedColumnFormula>Table1[[#This Row],[OldP80@NAVD]]-Table1[[#This Row],[2014_P20]]</calculatedColumnFormula>
    </tableColumn>
    <tableColumn id="12" xr3:uid="{2CD7194D-8DED-4FB9-A46E-04799B8593B3}" name="2015_P20" dataDxfId="20">
      <calculatedColumnFormula>_xlfn.IFNA(VLOOKUP(Table1[[#This Row],[STATION (current)]],AllP20!B$2:O$93,14,FALSE),"")</calculatedColumnFormula>
    </tableColumn>
    <tableColumn id="21" xr3:uid="{4082FE84-59AB-4298-A5AE-6BE070D4606D}" name="2015Delta" dataDxfId="19">
      <calculatedColumnFormula>Table1[[#This Row],[OldP80@NAVD]]-Table1[[#This Row],[2015_P20]]</calculatedColumnFormula>
    </tableColumn>
    <tableColumn id="14" xr3:uid="{E4EAAC73-931B-49C8-A46D-EAE9787762FB}" name="2016_P20" dataDxfId="18">
      <calculatedColumnFormula>_xlfn.IFNA(VLOOKUP(Table1[[#This Row],[STATION (current)]],AllP20!B$2:R$93,17,FALSE),"")</calculatedColumnFormula>
    </tableColumn>
    <tableColumn id="22" xr3:uid="{E7058C0A-B8D3-480B-905E-42FE309808DB}" name="2016Delta" dataDxfId="17">
      <calculatedColumnFormula>Table1[[#This Row],[OldP80@NAVD]]-Table1[[#This Row],[2016_P20]]</calculatedColumnFormula>
    </tableColumn>
    <tableColumn id="15" xr3:uid="{4E895ACE-F01B-4514-B988-38969F821108}" name="2017_P20" dataDxfId="16">
      <calculatedColumnFormula>_xlfn.IFNA(VLOOKUP(Table1[[#This Row],[STATION (current)]],AllP20!B$2:U$93,20,FALSE),"")</calculatedColumnFormula>
    </tableColumn>
    <tableColumn id="20" xr3:uid="{F0895FAC-98E0-42EE-A4B1-F6307B54BC37}" name="2017Delta" dataDxfId="15">
      <calculatedColumnFormula>Table1[[#This Row],[OldP80@NAVD]]-Table1[[#This Row],[2017_P20]]</calculatedColumnFormula>
    </tableColumn>
    <tableColumn id="3" xr3:uid="{C118375E-5445-4242-805C-AF50E75768B2}" name="shift" dataDxfId="14"/>
    <tableColumn id="4" xr3:uid="{8E20FF96-DFD1-452E-91CD-657BC81F59EB}" name="STATION (from 2015)"/>
    <tableColumn id="5" xr3:uid="{80E7ABCB-D383-491B-841E-5193E4C4F3D8}" name="P80NGVD" dataDxfId="13"/>
    <tableColumn id="8" xr3:uid="{C350AED8-3834-42B3-B6B4-B17CD83C7BC6}" name="OldP80@NAVD" dataDxfId="12">
      <calculatedColumnFormula>Table1[[#This Row],[P80NGVD]]+Table1[[#This Row],[shift]]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9E0B41-01DE-408F-A73E-61BD76CE3C0A}" name="Table3" displayName="Table3" ref="B2:N120" totalsRowShown="0">
  <autoFilter ref="B2:N120" xr:uid="{D0D6622C-3FB5-4833-8AA8-BE359C940B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3">
    <tableColumn id="1" xr3:uid="{83DC860A-8AE0-40E7-AF14-4DFB453ED25B}" name="STATION"/>
    <tableColumn id="2" xr3:uid="{1E9646CC-D30C-419A-97B7-16B24127FA4A}" name="Old Name" dataDxfId="11">
      <calculatedColumnFormula>_xlfn.IFNA(IF(VLOOKUP(Table3[[#This Row],[STATION]],NewP20s!A$5:Q$97,17,FALSE)=0,"",VLOOKUP(Table3[[#This Row],[STATION]],NewP20s!A$5:Q$97,17,FALSE)),"")</calculatedColumnFormula>
    </tableColumn>
    <tableColumn id="3" xr3:uid="{E943D7B6-5724-4EB9-AD51-11E1DE57E6A5}" name="CFCA_ID">
      <calculatedColumnFormula>IFERROR(IF(VLOOKUP(C3,'2015Wetlands'!A$2:B$46,2,FALSE)=0,"",VLOOKUP(C3,'2015Wetlands'!A$2:B$46,2,FALSE)),"")</calculatedColumnFormula>
    </tableColumn>
    <tableColumn id="4" xr3:uid="{436DAC55-BCDE-493C-AE8C-F1DEC985804E}" name="X_SP" dataDxfId="10">
      <calculatedColumnFormula>IFERROR(IF(VLOOKUP(C3,'2015Wetlands'!A$2:I$46,3,FALSE)=0,"",VLOOKUP(C3,'2015Wetlands'!A$2:I$46,3,FALSE)),"")</calculatedColumnFormula>
    </tableColumn>
    <tableColumn id="5" xr3:uid="{80F626BB-C402-477A-9657-2B562A8BB522}" name="Y_SP" dataDxfId="9">
      <calculatedColumnFormula>IFERROR(IF(VLOOKUP(C3,'2015Wetlands'!A$2:I$46,4,FALSE)=0,"",VLOOKUP(C3,'2015Wetlands'!A$2:I$46,4,FALSE)),"")</calculatedColumnFormula>
    </tableColumn>
    <tableColumn id="6" xr3:uid="{0DA30C0B-518E-48E5-9DD9-DC05F055960C}" name="RefElev27" dataDxfId="8">
      <calculatedColumnFormula>IFERROR(VLOOKUP(C3,'2015Wetlands'!A$2:H$46,8,FALSE),"")</calculatedColumnFormula>
    </tableColumn>
    <tableColumn id="7" xr3:uid="{6531798A-312C-4450-9B22-B6FA2F9FB68A}" name="P80_29" dataDxfId="7">
      <calculatedColumnFormula>IFERROR(VLOOKUP(C3,'2015Wetlands'!A$2:H$46,7,FALSE),"")</calculatedColumnFormula>
    </tableColumn>
    <tableColumn id="8" xr3:uid="{7E836F76-A15F-4456-AC3A-D09576457687}" name="Datum Shift" dataDxfId="3">
      <calculatedColumnFormula>_xlfn.IFNA(IFERROR(VLOOKUP(Table3[[#This Row],[STATION]],'Class 1s'!B$5:G$62,6,FALSE),VLOOKUP(Table3[[#This Row],[Old Name]],'Class 1s'!B$5:G$62,6,FALSE)),"")</calculatedColumnFormula>
    </tableColumn>
    <tableColumn id="9" xr3:uid="{C22E1AF3-91D9-49DF-8717-6081A1095DDD}" name="P80_88" dataDxfId="6">
      <calculatedColumnFormula>IFERROR(Table3[[#This Row],[P80_29]]+Table3[[#This Row],[Datum Shift]],"")</calculatedColumnFormula>
    </tableColumn>
    <tableColumn id="13" xr3:uid="{3192E334-537F-4EC5-92FB-476EFAB42F91}" name="RefElev88" dataDxfId="2">
      <calculatedColumnFormula>IFERROR(IFERROR(IFERROR(VLOOKUP(Table3[[#This Row],[STATION]],'Class 1s'!B$5:H$62,7,FALSE),VLOOKUP(Table3[[#This Row],[Old Name]],'Class 1s'!B$5:H$62,7,FALSE)),(Table3[[#This Row],[RefElev27]]+Table3[[#This Row],[Datum Shift]])),"")</calculatedColumnFormula>
    </tableColumn>
    <tableColumn id="12" xr3:uid="{5E48B215-6743-4C46-8495-CA7923FBA03E}" name="2011_P80_88" dataDxfId="5">
      <calculatedColumnFormula>IFERROR(VLOOKUP(Table3[[#This Row],[STATION]],AllP20!B$2:C$94,2,FALSE),"")</calculatedColumnFormula>
    </tableColumn>
    <tableColumn id="11" xr3:uid="{92F58E08-6CA8-4632-97E3-FE1552B7E3BE}" name="2017_P80_88" dataDxfId="4">
      <calculatedColumnFormula>IFERROR(VLOOKUP(Table3[[#This Row],[STATION]],AllP20!B$2:U$94,20,FALSE),"")</calculatedColumnFormula>
    </tableColumn>
    <tableColumn id="10" xr3:uid="{204209C9-FA10-4F93-B91F-A56CC01EE134}" name="Theta" dataDxfId="1">
      <calculatedColumnFormula>IFERROR(Table3[[#This Row],[RefElev88]]-Table3[[#This Row],[2017_P80_88]],"")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hyperlink" Target="mailto:OldP80@NAV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280F2-3517-4DF1-BDDE-37ABCA94F41F}">
  <dimension ref="A1:M46"/>
  <sheetViews>
    <sheetView workbookViewId="0">
      <selection activeCell="E27" sqref="E27"/>
    </sheetView>
  </sheetViews>
  <sheetFormatPr defaultRowHeight="15" x14ac:dyDescent="0.25"/>
  <cols>
    <col min="1" max="1" width="31.140625" customWidth="1"/>
    <col min="2" max="2" width="10.5703125" customWidth="1"/>
    <col min="3" max="3" width="9.5703125" style="19" bestFit="1" customWidth="1"/>
    <col min="4" max="4" width="10.5703125" style="19" bestFit="1" customWidth="1"/>
    <col min="5" max="5" width="12.5703125" style="20" customWidth="1"/>
    <col min="7" max="7" width="11.7109375" customWidth="1"/>
    <col min="8" max="8" width="15.28515625" customWidth="1"/>
    <col min="10" max="10" width="13.7109375" customWidth="1"/>
    <col min="11" max="11" width="14" style="9" customWidth="1"/>
    <col min="12" max="12" width="12.7109375" customWidth="1"/>
    <col min="13" max="13" width="12.7109375" style="9" customWidth="1"/>
    <col min="14" max="14" width="14" customWidth="1"/>
    <col min="18" max="18" width="13.5703125" customWidth="1"/>
    <col min="20" max="20" width="11.28515625" customWidth="1"/>
    <col min="21" max="21" width="12" customWidth="1"/>
  </cols>
  <sheetData>
    <row r="1" spans="1:13" x14ac:dyDescent="0.25">
      <c r="A1" s="9" t="s">
        <v>75</v>
      </c>
      <c r="B1" s="9" t="s">
        <v>76</v>
      </c>
      <c r="C1" s="19" t="s">
        <v>231</v>
      </c>
      <c r="D1" s="19" t="s">
        <v>232</v>
      </c>
      <c r="E1" s="20" t="s">
        <v>233</v>
      </c>
      <c r="F1" s="9" t="s">
        <v>77</v>
      </c>
      <c r="G1" s="9" t="s">
        <v>78</v>
      </c>
      <c r="H1" s="9" t="s">
        <v>79</v>
      </c>
      <c r="I1" s="9" t="s">
        <v>80</v>
      </c>
      <c r="J1" s="9" t="s">
        <v>0</v>
      </c>
      <c r="K1" s="9" t="s">
        <v>179</v>
      </c>
      <c r="L1" s="9" t="s">
        <v>180</v>
      </c>
      <c r="M1" s="18"/>
    </row>
    <row r="2" spans="1:13" x14ac:dyDescent="0.25">
      <c r="A2" s="9" t="s">
        <v>61</v>
      </c>
      <c r="B2" s="9" t="s">
        <v>205</v>
      </c>
      <c r="C2" s="19">
        <f>IFERROR(VLOOKUP(B2,OldCoordinates!B$2:H$35,6,FALSE),"")</f>
        <v>498139.55</v>
      </c>
      <c r="D2" s="19">
        <f>IFERROR(VLOOKUP(B2,OldCoordinates!B$2:H$35,7,FALSE),"")</f>
        <v>1306955</v>
      </c>
      <c r="E2" s="20">
        <f>IFERROR(VLOOKUP(B2,OldCoordinates!B$2:J$35,9,FALSE),"")</f>
        <v>-1.0695516830931107</v>
      </c>
      <c r="F2" s="9" t="s">
        <v>41</v>
      </c>
      <c r="G2" s="9">
        <v>89.96</v>
      </c>
      <c r="H2" s="9">
        <v>95.95</v>
      </c>
      <c r="I2" s="9">
        <v>5.99</v>
      </c>
      <c r="J2" s="9" t="s">
        <v>25</v>
      </c>
      <c r="K2" s="9" t="str">
        <f>IFERROR(VLOOKUP(B2,OldCoordinates!B$2:J$35,4,FALSE),"")</f>
        <v>Low</v>
      </c>
      <c r="L2" s="9" t="str">
        <f>IFERROR(VLOOKUP(B2,OldCoordinates!B$2:J$35,5,FALSE),"")</f>
        <v>YES</v>
      </c>
      <c r="M2" s="1"/>
    </row>
    <row r="3" spans="1:13" x14ac:dyDescent="0.25">
      <c r="A3" s="9" t="s">
        <v>32</v>
      </c>
      <c r="B3" s="9" t="s">
        <v>33</v>
      </c>
      <c r="C3" s="19">
        <f>IFERROR(VLOOKUP(B3,OldCoordinates!B$2:H$35,6,FALSE),"")</f>
        <v>431132.28125</v>
      </c>
      <c r="D3" s="19">
        <f>IFERROR(VLOOKUP(B3,OldCoordinates!B$2:H$35,7,FALSE),"")</f>
        <v>1474124.375</v>
      </c>
      <c r="E3" s="20">
        <f>IFERROR(VLOOKUP(B3,OldCoordinates!B$2:J$35,9,FALSE),"")</f>
        <v>-0.8562975242485602</v>
      </c>
      <c r="F3" s="9" t="s">
        <v>3</v>
      </c>
      <c r="G3" s="9">
        <v>113.82</v>
      </c>
      <c r="H3" s="9">
        <v>118.82</v>
      </c>
      <c r="I3" s="9">
        <v>5</v>
      </c>
      <c r="J3" s="9" t="s">
        <v>25</v>
      </c>
      <c r="K3" s="9" t="str">
        <f>IFERROR(VLOOKUP(B3,OldCoordinates!B$2:J$35,4,FALSE),"")</f>
        <v>Moderate</v>
      </c>
      <c r="L3" s="9" t="str">
        <f>IFERROR(VLOOKUP(B3,OldCoordinates!B$2:J$35,5,FALSE),"")</f>
        <v>NO</v>
      </c>
      <c r="M3" s="1"/>
    </row>
    <row r="4" spans="1:13" x14ac:dyDescent="0.25">
      <c r="A4" s="9" t="s">
        <v>46</v>
      </c>
      <c r="B4" s="9" t="s">
        <v>206</v>
      </c>
      <c r="C4" s="19">
        <f>IFERROR(VLOOKUP(B4,OldCoordinates!B$2:H$35,6,FALSE),"")</f>
        <v>443156.85714285716</v>
      </c>
      <c r="D4" s="19">
        <f>IFERROR(VLOOKUP(B4,OldCoordinates!B$2:H$35,7,FALSE),"")</f>
        <v>1385913.5714285714</v>
      </c>
      <c r="E4" s="20">
        <f>IFERROR(VLOOKUP(B4,OldCoordinates!B$2:J$35,9,FALSE),"")</f>
        <v>-0.8923867151637872</v>
      </c>
      <c r="F4" s="9" t="s">
        <v>41</v>
      </c>
      <c r="G4" s="9">
        <v>89.29</v>
      </c>
      <c r="H4" s="9">
        <v>92.04</v>
      </c>
      <c r="I4" s="9">
        <v>2.75</v>
      </c>
      <c r="J4" s="9" t="s">
        <v>4</v>
      </c>
      <c r="K4" s="9" t="str">
        <f>IFERROR(VLOOKUP(B4,OldCoordinates!B$2:J$35,4,FALSE),"")</f>
        <v>Low</v>
      </c>
      <c r="L4" s="9" t="str">
        <f>IFERROR(VLOOKUP(B4,OldCoordinates!B$2:J$35,5,FALSE),"")</f>
        <v>NO</v>
      </c>
      <c r="M4" s="1"/>
    </row>
    <row r="5" spans="1:13" x14ac:dyDescent="0.25">
      <c r="A5" s="9" t="s">
        <v>55</v>
      </c>
      <c r="B5" s="9"/>
      <c r="C5" s="19" t="str">
        <f>IFERROR(VLOOKUP(B5,OldCoordinates!B$2:H$35,6,FALSE),"")</f>
        <v/>
      </c>
      <c r="D5" s="19" t="str">
        <f>IFERROR(VLOOKUP(B5,OldCoordinates!B$2:H$35,7,FALSE),"")</f>
        <v/>
      </c>
      <c r="E5" s="20" t="str">
        <f>IFERROR(VLOOKUP(B5,OldCoordinates!B$2:J$35,9,FALSE),"")</f>
        <v/>
      </c>
      <c r="F5" s="9" t="s">
        <v>41</v>
      </c>
      <c r="G5" s="9">
        <v>89.87</v>
      </c>
      <c r="H5" s="9">
        <v>95.05</v>
      </c>
      <c r="I5" s="9">
        <v>5.18</v>
      </c>
      <c r="J5" s="9" t="s">
        <v>4</v>
      </c>
      <c r="K5" s="9" t="str">
        <f>IFERROR(VLOOKUP(B5,OldCoordinates!B$2:J$35,4,FALSE),"")</f>
        <v/>
      </c>
      <c r="L5" s="9" t="str">
        <f>IFERROR(VLOOKUP(B5,OldCoordinates!B$2:J$35,5,FALSE),"")</f>
        <v/>
      </c>
      <c r="M5" s="1"/>
    </row>
    <row r="6" spans="1:13" x14ac:dyDescent="0.25">
      <c r="A6" s="9" t="s">
        <v>66</v>
      </c>
      <c r="B6" s="9" t="s">
        <v>201</v>
      </c>
      <c r="C6" s="19">
        <f>IFERROR(VLOOKUP(B6,OldCoordinates!B$2:H$35,6,FALSE),"")</f>
        <v>386350.66666666669</v>
      </c>
      <c r="D6" s="19">
        <f>IFERROR(VLOOKUP(B6,OldCoordinates!B$2:H$35,7,FALSE),"")</f>
        <v>1568920</v>
      </c>
      <c r="E6" s="20">
        <f>IFERROR(VLOOKUP(B6,OldCoordinates!B$2:J$35,9,FALSE),"")</f>
        <v>-0.87926335523525867</v>
      </c>
      <c r="F6" s="9" t="s">
        <v>41</v>
      </c>
      <c r="G6" s="9">
        <v>82.66</v>
      </c>
      <c r="H6" s="9">
        <v>90.37</v>
      </c>
      <c r="I6" s="9">
        <v>7.71</v>
      </c>
      <c r="J6" s="9" t="s">
        <v>25</v>
      </c>
      <c r="K6" s="9" t="str">
        <f>IFERROR(VLOOKUP(B6,OldCoordinates!B$2:J$35,4,FALSE),"")</f>
        <v>Moderate</v>
      </c>
      <c r="L6" s="9" t="str">
        <f>IFERROR(VLOOKUP(B6,OldCoordinates!B$2:J$35,5,FALSE),"")</f>
        <v>YES</v>
      </c>
      <c r="M6" s="1"/>
    </row>
    <row r="7" spans="1:13" x14ac:dyDescent="0.25">
      <c r="A7" s="9" t="s">
        <v>9</v>
      </c>
      <c r="B7" s="9" t="s">
        <v>10</v>
      </c>
      <c r="C7" s="19">
        <f>IFERROR(VLOOKUP(B7,OldCoordinates!B$2:H$35,6,FALSE),"")</f>
        <v>639562</v>
      </c>
      <c r="D7" s="19">
        <f>IFERROR(VLOOKUP(B7,OldCoordinates!B$2:H$35,7,FALSE),"")</f>
        <v>1475973.3333333333</v>
      </c>
      <c r="E7" s="20">
        <f>IFERROR(VLOOKUP(B7,OldCoordinates!B$2:J$35,9,FALSE),"")</f>
        <v>-1.1384491760532061</v>
      </c>
      <c r="F7" s="9" t="s">
        <v>3</v>
      </c>
      <c r="G7" s="9">
        <v>71.38</v>
      </c>
      <c r="H7" s="9">
        <v>74.14</v>
      </c>
      <c r="I7" s="9">
        <v>2.76</v>
      </c>
      <c r="J7" s="9" t="s">
        <v>4</v>
      </c>
      <c r="K7" s="9" t="str">
        <f>IFERROR(VLOOKUP(B7,OldCoordinates!B$2:J$35,4,FALSE),"")</f>
        <v>Low</v>
      </c>
      <c r="L7" s="9" t="str">
        <f>IFERROR(VLOOKUP(B7,OldCoordinates!B$2:J$35,5,FALSE),"")</f>
        <v>NO</v>
      </c>
      <c r="M7" s="1"/>
    </row>
    <row r="8" spans="1:13" x14ac:dyDescent="0.25">
      <c r="A8" s="9" t="s">
        <v>62</v>
      </c>
      <c r="B8" s="9" t="s">
        <v>63</v>
      </c>
      <c r="C8" s="19">
        <f>IFERROR(VLOOKUP(B8,OldCoordinates!B$2:H$35,6,FALSE),"")</f>
        <v>471631.73221757321</v>
      </c>
      <c r="D8" s="19">
        <f>IFERROR(VLOOKUP(B8,OldCoordinates!B$2:H$35,7,FALSE),"")</f>
        <v>1262274.1841004184</v>
      </c>
      <c r="E8" s="20">
        <f>IFERROR(VLOOKUP(B8,OldCoordinates!B$2:J$35,9,FALSE),"")</f>
        <v>-0.96456499921778838</v>
      </c>
      <c r="F8" s="9" t="s">
        <v>41</v>
      </c>
      <c r="G8" s="9">
        <v>115.12</v>
      </c>
      <c r="H8" s="9">
        <v>121.29</v>
      </c>
      <c r="I8" s="9">
        <v>6.17</v>
      </c>
      <c r="J8" s="9" t="s">
        <v>25</v>
      </c>
      <c r="K8" s="9" t="str">
        <f>IFERROR(VLOOKUP(B8,OldCoordinates!B$2:J$35,4,FALSE),"")</f>
        <v>Low</v>
      </c>
      <c r="L8" s="9" t="str">
        <f>IFERROR(VLOOKUP(B8,OldCoordinates!B$2:J$35,5,FALSE),"")</f>
        <v>YES</v>
      </c>
      <c r="M8" s="1"/>
    </row>
    <row r="9" spans="1:13" x14ac:dyDescent="0.25">
      <c r="A9" s="9" t="s">
        <v>36</v>
      </c>
      <c r="B9" s="9" t="s">
        <v>37</v>
      </c>
      <c r="C9" s="19" t="str">
        <f>IFERROR(VLOOKUP(B9,OldCoordinates!B$2:H$35,6,FALSE),"")</f>
        <v/>
      </c>
      <c r="D9" s="19" t="str">
        <f>IFERROR(VLOOKUP(B9,OldCoordinates!B$2:H$35,7,FALSE),"")</f>
        <v/>
      </c>
      <c r="E9" s="20" t="str">
        <f>IFERROR(VLOOKUP(B9,OldCoordinates!B$2:J$35,9,FALSE),"")</f>
        <v/>
      </c>
      <c r="F9" s="9" t="s">
        <v>3</v>
      </c>
      <c r="G9" s="9">
        <v>65.09</v>
      </c>
      <c r="H9" s="9">
        <v>72.03</v>
      </c>
      <c r="I9" s="9">
        <v>6.94</v>
      </c>
      <c r="J9" s="9" t="s">
        <v>25</v>
      </c>
      <c r="K9" s="9" t="str">
        <f>IFERROR(VLOOKUP(B9,OldCoordinates!B$2:J$35,4,FALSE),"")</f>
        <v/>
      </c>
      <c r="L9" s="9" t="str">
        <f>IFERROR(VLOOKUP(B9,OldCoordinates!B$2:J$35,5,FALSE),"")</f>
        <v/>
      </c>
      <c r="M9" s="1"/>
    </row>
    <row r="10" spans="1:13" x14ac:dyDescent="0.25">
      <c r="A10" s="9" t="s">
        <v>23</v>
      </c>
      <c r="B10" s="9" t="s">
        <v>24</v>
      </c>
      <c r="C10" s="19" t="str">
        <f>IFERROR(VLOOKUP(B10,OldCoordinates!B$2:H$35,6,FALSE),"")</f>
        <v/>
      </c>
      <c r="D10" s="19" t="str">
        <f>IFERROR(VLOOKUP(B10,OldCoordinates!B$2:H$35,7,FALSE),"")</f>
        <v/>
      </c>
      <c r="E10" s="20" t="str">
        <f>IFERROR(VLOOKUP(B10,OldCoordinates!B$2:J$35,9,FALSE),"")</f>
        <v/>
      </c>
      <c r="F10" s="9" t="s">
        <v>3</v>
      </c>
      <c r="G10" s="9">
        <v>62.57</v>
      </c>
      <c r="H10" s="9">
        <v>64.95</v>
      </c>
      <c r="I10" s="9">
        <v>2.38</v>
      </c>
      <c r="J10" s="9" t="s">
        <v>25</v>
      </c>
      <c r="K10" s="9" t="str">
        <f>IFERROR(VLOOKUP(B10,OldCoordinates!B$2:J$35,4,FALSE),"")</f>
        <v/>
      </c>
      <c r="L10" s="9" t="str">
        <f>IFERROR(VLOOKUP(B10,OldCoordinates!B$2:J$35,5,FALSE),"")</f>
        <v/>
      </c>
      <c r="M10" s="1"/>
    </row>
    <row r="11" spans="1:13" x14ac:dyDescent="0.25">
      <c r="A11" s="9" t="s">
        <v>30</v>
      </c>
      <c r="B11" s="9" t="s">
        <v>31</v>
      </c>
      <c r="C11" s="19" t="str">
        <f>IFERROR(VLOOKUP(B11,OldCoordinates!B$2:H$35,6,FALSE),"")</f>
        <v/>
      </c>
      <c r="D11" s="19" t="str">
        <f>IFERROR(VLOOKUP(B11,OldCoordinates!B$2:H$35,7,FALSE),"")</f>
        <v/>
      </c>
      <c r="E11" s="20" t="str">
        <f>IFERROR(VLOOKUP(B11,OldCoordinates!B$2:J$35,9,FALSE),"")</f>
        <v/>
      </c>
      <c r="F11" s="9" t="s">
        <v>3</v>
      </c>
      <c r="G11" s="9">
        <v>65.92</v>
      </c>
      <c r="H11" s="9">
        <v>70.790000000000006</v>
      </c>
      <c r="I11" s="9">
        <v>4.87</v>
      </c>
      <c r="J11" s="9" t="s">
        <v>25</v>
      </c>
      <c r="K11" s="9" t="str">
        <f>IFERROR(VLOOKUP(B11,OldCoordinates!B$2:J$35,4,FALSE),"")</f>
        <v/>
      </c>
      <c r="L11" s="9" t="str">
        <f>IFERROR(VLOOKUP(B11,OldCoordinates!B$2:J$35,5,FALSE),"")</f>
        <v/>
      </c>
      <c r="M11" s="1"/>
    </row>
    <row r="12" spans="1:13" x14ac:dyDescent="0.25">
      <c r="A12" s="9" t="s">
        <v>38</v>
      </c>
      <c r="B12" s="9" t="s">
        <v>39</v>
      </c>
      <c r="C12" s="19" t="str">
        <f>IFERROR(VLOOKUP(B12,OldCoordinates!B$2:H$35,6,FALSE),"")</f>
        <v/>
      </c>
      <c r="D12" s="19" t="str">
        <f>IFERROR(VLOOKUP(B12,OldCoordinates!B$2:H$35,7,FALSE),"")</f>
        <v/>
      </c>
      <c r="E12" s="20" t="str">
        <f>IFERROR(VLOOKUP(B12,OldCoordinates!B$2:J$35,9,FALSE),"")</f>
        <v/>
      </c>
      <c r="F12" s="9" t="s">
        <v>3</v>
      </c>
      <c r="G12" s="9">
        <v>60.87</v>
      </c>
      <c r="H12" s="9">
        <v>68.930000000000007</v>
      </c>
      <c r="I12" s="9">
        <v>8.06</v>
      </c>
      <c r="J12" s="9" t="s">
        <v>25</v>
      </c>
      <c r="K12" s="9" t="str">
        <f>IFERROR(VLOOKUP(B12,OldCoordinates!B$2:J$35,4,FALSE),"")</f>
        <v/>
      </c>
      <c r="L12" s="9" t="str">
        <f>IFERROR(VLOOKUP(B12,OldCoordinates!B$2:J$35,5,FALSE),"")</f>
        <v/>
      </c>
      <c r="M12" s="1"/>
    </row>
    <row r="13" spans="1:13" x14ac:dyDescent="0.25">
      <c r="A13" s="9" t="s">
        <v>43</v>
      </c>
      <c r="B13" s="9" t="s">
        <v>207</v>
      </c>
      <c r="C13" s="19">
        <f>IFERROR(VLOOKUP(B13,OldCoordinates!B$2:H$35,6,FALSE),"")</f>
        <v>434180.625</v>
      </c>
      <c r="D13" s="19">
        <f>IFERROR(VLOOKUP(B13,OldCoordinates!B$2:H$35,7,FALSE),"")</f>
        <v>1275851.25</v>
      </c>
      <c r="E13" s="20">
        <f>IFERROR(VLOOKUP(B13,OldCoordinates!B$2:J$35,9,FALSE),"")</f>
        <v>-0.92847580830256138</v>
      </c>
      <c r="F13" s="9" t="s">
        <v>41</v>
      </c>
      <c r="G13" s="9">
        <v>129.88999999999999</v>
      </c>
      <c r="H13" s="9">
        <v>131.80000000000001</v>
      </c>
      <c r="I13" s="9">
        <v>1.91</v>
      </c>
      <c r="J13" s="9" t="s">
        <v>4</v>
      </c>
      <c r="K13" s="9" t="str">
        <f>IFERROR(VLOOKUP(B13,OldCoordinates!B$2:J$35,4,FALSE),"")</f>
        <v>Low</v>
      </c>
      <c r="L13" s="9" t="str">
        <f>IFERROR(VLOOKUP(B13,OldCoordinates!B$2:J$35,5,FALSE),"")</f>
        <v>NO</v>
      </c>
      <c r="M13" s="1"/>
    </row>
    <row r="14" spans="1:13" x14ac:dyDescent="0.25">
      <c r="A14" s="9" t="s">
        <v>7</v>
      </c>
      <c r="B14" s="9" t="s">
        <v>8</v>
      </c>
      <c r="C14" s="19">
        <f>IFERROR(VLOOKUP(B14,OldCoordinates!B$2:H$35,6,FALSE),"")</f>
        <v>351964.5</v>
      </c>
      <c r="D14" s="19">
        <f>IFERROR(VLOOKUP(B14,OldCoordinates!B$2:H$35,7,FALSE),"")</f>
        <v>1465140</v>
      </c>
      <c r="E14" s="20">
        <f>IFERROR(VLOOKUP(B14,OldCoordinates!B$2:J$35,9,FALSE),"")</f>
        <v>-0.85957831534246598</v>
      </c>
      <c r="F14" s="9" t="s">
        <v>3</v>
      </c>
      <c r="G14" s="9">
        <v>98.43</v>
      </c>
      <c r="H14" s="9">
        <v>100.6</v>
      </c>
      <c r="I14" s="9">
        <v>2.17</v>
      </c>
      <c r="J14" s="9" t="s">
        <v>4</v>
      </c>
      <c r="K14" s="9" t="str">
        <f>IFERROR(VLOOKUP(B14,OldCoordinates!B$2:J$35,4,FALSE),"")</f>
        <v>Low</v>
      </c>
      <c r="L14" s="9" t="str">
        <f>IFERROR(VLOOKUP(B14,OldCoordinates!B$2:J$35,5,FALSE),"")</f>
        <v>NO</v>
      </c>
      <c r="M14" s="1"/>
    </row>
    <row r="15" spans="1:13" x14ac:dyDescent="0.25">
      <c r="A15" s="9" t="s">
        <v>17</v>
      </c>
      <c r="B15" s="9" t="s">
        <v>18</v>
      </c>
      <c r="C15" s="19" t="str">
        <f>IFERROR(VLOOKUP(B15,OldCoordinates!B$2:H$35,6,FALSE),"")</f>
        <v/>
      </c>
      <c r="D15" s="19" t="str">
        <f>IFERROR(VLOOKUP(B15,OldCoordinates!B$2:H$35,7,FALSE),"")</f>
        <v/>
      </c>
      <c r="E15" s="20" t="str">
        <f>IFERROR(VLOOKUP(B15,OldCoordinates!B$2:J$35,9,FALSE),"")</f>
        <v/>
      </c>
      <c r="F15" s="9" t="s">
        <v>3</v>
      </c>
      <c r="G15" s="9">
        <v>95.28</v>
      </c>
      <c r="H15" s="9">
        <v>98.8</v>
      </c>
      <c r="I15" s="9">
        <v>3.52</v>
      </c>
      <c r="J15" s="9" t="s">
        <v>4</v>
      </c>
      <c r="K15" s="9" t="str">
        <f>IFERROR(VLOOKUP(B15,OldCoordinates!B$2:J$35,4,FALSE),"")</f>
        <v/>
      </c>
      <c r="L15" s="9" t="str">
        <f>IFERROR(VLOOKUP(B15,OldCoordinates!B$2:J$35,5,FALSE),"")</f>
        <v/>
      </c>
      <c r="M15" s="1"/>
    </row>
    <row r="16" spans="1:13" x14ac:dyDescent="0.25">
      <c r="A16" s="9" t="s">
        <v>21</v>
      </c>
      <c r="B16" s="9" t="s">
        <v>22</v>
      </c>
      <c r="C16" s="19">
        <f>IFERROR(VLOOKUP(B16,OldCoordinates!B$2:H$35,6,FALSE),"")</f>
        <v>343837</v>
      </c>
      <c r="D16" s="19">
        <f>IFERROR(VLOOKUP(B16,OldCoordinates!B$2:H$35,7,FALSE),"")</f>
        <v>1477640</v>
      </c>
      <c r="E16" s="20">
        <f>IFERROR(VLOOKUP(B16,OldCoordinates!B$2:J$35,9,FALSE),"")</f>
        <v>-0.85957831534246598</v>
      </c>
      <c r="F16" s="9" t="s">
        <v>3</v>
      </c>
      <c r="G16" s="9">
        <v>94.07</v>
      </c>
      <c r="H16" s="9">
        <v>98.1</v>
      </c>
      <c r="I16" s="9">
        <v>4.03</v>
      </c>
      <c r="J16" s="9" t="s">
        <v>4</v>
      </c>
      <c r="K16" s="9" t="str">
        <f>IFERROR(VLOOKUP(B16,OldCoordinates!B$2:J$35,4,FALSE),"")</f>
        <v>Low</v>
      </c>
      <c r="L16" s="9" t="str">
        <f>IFERROR(VLOOKUP(B16,OldCoordinates!B$2:J$35,5,FALSE),"")</f>
        <v>NO</v>
      </c>
      <c r="M16" s="1"/>
    </row>
    <row r="17" spans="1:13" x14ac:dyDescent="0.25">
      <c r="A17" s="9" t="s">
        <v>15</v>
      </c>
      <c r="B17" s="9" t="s">
        <v>16</v>
      </c>
      <c r="C17" s="19">
        <f>IFERROR(VLOOKUP(B17,OldCoordinates!B$2:H$35,6,FALSE),"")</f>
        <v>362593</v>
      </c>
      <c r="D17" s="19">
        <f>IFERROR(VLOOKUP(B17,OldCoordinates!B$2:H$35,7,FALSE),"")</f>
        <v>1447630</v>
      </c>
      <c r="E17" s="20">
        <f>IFERROR(VLOOKUP(B17,OldCoordinates!B$2:J$35,9,FALSE),"")</f>
        <v>-0.85301663537820183</v>
      </c>
      <c r="F17" s="9" t="s">
        <v>3</v>
      </c>
      <c r="G17" s="9">
        <v>103.19</v>
      </c>
      <c r="H17" s="9">
        <v>106.37</v>
      </c>
      <c r="I17" s="9">
        <v>3.18</v>
      </c>
      <c r="J17" s="9" t="s">
        <v>4</v>
      </c>
      <c r="K17" s="9" t="str">
        <f>IFERROR(VLOOKUP(B17,OldCoordinates!B$2:J$35,4,FALSE),"")</f>
        <v>Low</v>
      </c>
      <c r="L17" s="9" t="str">
        <f>IFERROR(VLOOKUP(B17,OldCoordinates!B$2:J$35,5,FALSE),"")</f>
        <v>NO</v>
      </c>
      <c r="M17" s="1"/>
    </row>
    <row r="18" spans="1:13" x14ac:dyDescent="0.25">
      <c r="A18" s="9" t="s">
        <v>5</v>
      </c>
      <c r="B18" s="9" t="s">
        <v>6</v>
      </c>
      <c r="C18" s="19" t="str">
        <f>IFERROR(VLOOKUP(B18,OldCoordinates!B$2:H$35,6,FALSE),"")</f>
        <v/>
      </c>
      <c r="D18" s="19" t="str">
        <f>IFERROR(VLOOKUP(B18,OldCoordinates!B$2:H$35,7,FALSE),"")</f>
        <v/>
      </c>
      <c r="E18" s="20" t="str">
        <f>IFERROR(VLOOKUP(B18,OldCoordinates!B$2:J$35,9,FALSE),"")</f>
        <v/>
      </c>
      <c r="F18" s="9" t="s">
        <v>3</v>
      </c>
      <c r="G18" s="9">
        <v>92.64</v>
      </c>
      <c r="H18" s="9">
        <v>93.9</v>
      </c>
      <c r="I18" s="9">
        <v>1.26</v>
      </c>
      <c r="J18" s="9" t="s">
        <v>4</v>
      </c>
      <c r="K18" s="9" t="str">
        <f>IFERROR(VLOOKUP(B18,OldCoordinates!B$2:J$35,4,FALSE),"")</f>
        <v/>
      </c>
      <c r="L18" s="9" t="str">
        <f>IFERROR(VLOOKUP(B18,OldCoordinates!B$2:J$35,5,FALSE),"")</f>
        <v/>
      </c>
      <c r="M18" s="1"/>
    </row>
    <row r="19" spans="1:13" x14ac:dyDescent="0.25">
      <c r="A19" s="9" t="s">
        <v>50</v>
      </c>
      <c r="B19" s="9" t="s">
        <v>51</v>
      </c>
      <c r="C19" s="19" t="str">
        <f>IFERROR(VLOOKUP(B19,OldCoordinates!B$2:H$35,6,FALSE),"")</f>
        <v/>
      </c>
      <c r="D19" s="19" t="str">
        <f>IFERROR(VLOOKUP(B19,OldCoordinates!B$2:H$35,7,FALSE),"")</f>
        <v/>
      </c>
      <c r="E19" s="20" t="str">
        <f>IFERROR(VLOOKUP(B19,OldCoordinates!B$2:J$35,9,FALSE),"")</f>
        <v/>
      </c>
      <c r="F19" s="9" t="s">
        <v>41</v>
      </c>
      <c r="G19" s="9">
        <v>23.71</v>
      </c>
      <c r="H19" s="9">
        <v>27.5</v>
      </c>
      <c r="I19" s="9">
        <v>3.79</v>
      </c>
      <c r="J19" s="9" t="s">
        <v>4</v>
      </c>
      <c r="K19" s="9" t="str">
        <f>IFERROR(VLOOKUP(B19,OldCoordinates!B$2:J$35,4,FALSE),"")</f>
        <v/>
      </c>
      <c r="L19" s="9" t="str">
        <f>IFERROR(VLOOKUP(B19,OldCoordinates!B$2:J$35,5,FALSE),"")</f>
        <v/>
      </c>
      <c r="M19" s="1"/>
    </row>
    <row r="20" spans="1:13" x14ac:dyDescent="0.25">
      <c r="A20" s="9" t="s">
        <v>34</v>
      </c>
      <c r="B20" s="9" t="s">
        <v>35</v>
      </c>
      <c r="C20" s="19">
        <f>IFERROR(VLOOKUP(B20,OldCoordinates!B$2:H$35,6,FALSE),"")</f>
        <v>539672.30769230775</v>
      </c>
      <c r="D20" s="19">
        <f>IFERROR(VLOOKUP(B20,OldCoordinates!B$2:H$35,7,FALSE),"")</f>
        <v>1584603.076923077</v>
      </c>
      <c r="E20" s="20">
        <f>IFERROR(VLOOKUP(B20,OldCoordinates!B$2:J$35,9,FALSE),"")</f>
        <v>-1.0367433810482423</v>
      </c>
      <c r="F20" s="9" t="s">
        <v>3</v>
      </c>
      <c r="G20" s="9">
        <v>81.86</v>
      </c>
      <c r="H20" s="9">
        <v>87.49</v>
      </c>
      <c r="I20" s="9">
        <v>5.63</v>
      </c>
      <c r="J20" s="9" t="s">
        <v>25</v>
      </c>
      <c r="K20" s="9" t="str">
        <f>IFERROR(VLOOKUP(B20,OldCoordinates!B$2:J$35,4,FALSE),"")</f>
        <v>High</v>
      </c>
      <c r="L20" s="9" t="str">
        <f>IFERROR(VLOOKUP(B20,OldCoordinates!B$2:J$35,5,FALSE),"")</f>
        <v>NO</v>
      </c>
      <c r="M20" s="1"/>
    </row>
    <row r="21" spans="1:13" x14ac:dyDescent="0.25">
      <c r="A21" s="9" t="s">
        <v>52</v>
      </c>
      <c r="B21" s="9" t="s">
        <v>203</v>
      </c>
      <c r="C21" s="19">
        <f>IFERROR(VLOOKUP(B21,OldCoordinates!B$2:H$35,6,FALSE),"")</f>
        <v>446904.2</v>
      </c>
      <c r="D21" s="19">
        <f>IFERROR(VLOOKUP(B21,OldCoordinates!B$2:H$35,7,FALSE),"")</f>
        <v>1526560.5217391304</v>
      </c>
      <c r="E21" s="20">
        <f>IFERROR(VLOOKUP(B21,OldCoordinates!B$2:J$35,9,FALSE),"")</f>
        <v>-0.87926335523525867</v>
      </c>
      <c r="F21" s="9" t="s">
        <v>41</v>
      </c>
      <c r="G21" s="9">
        <v>93.39</v>
      </c>
      <c r="H21" s="9">
        <v>97.42</v>
      </c>
      <c r="I21" s="9">
        <v>4.03</v>
      </c>
      <c r="J21" s="9" t="s">
        <v>4</v>
      </c>
      <c r="K21" s="9" t="str">
        <f>IFERROR(VLOOKUP(B21,OldCoordinates!B$2:J$35,4,FALSE),"")</f>
        <v>High</v>
      </c>
      <c r="L21" s="9" t="str">
        <f>IFERROR(VLOOKUP(B21,OldCoordinates!B$2:J$35,5,FALSE),"")</f>
        <v>NO</v>
      </c>
      <c r="M21" s="1"/>
    </row>
    <row r="22" spans="1:13" x14ac:dyDescent="0.25">
      <c r="A22" s="9" t="s">
        <v>42</v>
      </c>
      <c r="B22" s="9"/>
      <c r="C22" s="19" t="str">
        <f>IFERROR(VLOOKUP(B22,OldCoordinates!B$2:H$35,6,FALSE),"")</f>
        <v/>
      </c>
      <c r="D22" s="19" t="str">
        <f>IFERROR(VLOOKUP(B22,OldCoordinates!B$2:H$35,7,FALSE),"")</f>
        <v/>
      </c>
      <c r="E22" s="20" t="str">
        <f>IFERROR(VLOOKUP(B22,OldCoordinates!B$2:J$35,9,FALSE),"")</f>
        <v/>
      </c>
      <c r="F22" s="9" t="s">
        <v>41</v>
      </c>
      <c r="G22" s="9">
        <v>109.95</v>
      </c>
      <c r="H22" s="9">
        <v>111.49</v>
      </c>
      <c r="I22" s="9">
        <v>1.54</v>
      </c>
      <c r="J22" s="9" t="s">
        <v>4</v>
      </c>
      <c r="K22" s="9" t="str">
        <f>IFERROR(VLOOKUP(B22,OldCoordinates!B$2:J$35,4,FALSE),"")</f>
        <v/>
      </c>
      <c r="L22" s="9" t="str">
        <f>IFERROR(VLOOKUP(B22,OldCoordinates!B$2:J$35,5,FALSE),"")</f>
        <v/>
      </c>
      <c r="M22" s="1"/>
    </row>
    <row r="23" spans="1:13" x14ac:dyDescent="0.25">
      <c r="A23" s="9" t="s">
        <v>64</v>
      </c>
      <c r="B23" s="9" t="s">
        <v>65</v>
      </c>
      <c r="C23" s="19">
        <f>IFERROR(VLOOKUP(B23,OldCoordinates!B$2:H$35,6,FALSE),"")</f>
        <v>407608</v>
      </c>
      <c r="D23" s="19">
        <f>IFERROR(VLOOKUP(B23,OldCoordinates!B$2:H$35,7,FALSE),"")</f>
        <v>1552040</v>
      </c>
      <c r="E23" s="20">
        <f>IFERROR(VLOOKUP(B23,OldCoordinates!B$2:J$35,9,FALSE),"")</f>
        <v>-0.88582503519952294</v>
      </c>
      <c r="F23" s="9" t="s">
        <v>41</v>
      </c>
      <c r="G23" s="9">
        <v>81.13</v>
      </c>
      <c r="H23" s="9">
        <v>87.65</v>
      </c>
      <c r="I23" s="9">
        <v>6.52</v>
      </c>
      <c r="J23" s="9" t="s">
        <v>25</v>
      </c>
      <c r="K23" s="9" t="str">
        <f>IFERROR(VLOOKUP(B23,OldCoordinates!B$2:J$35,4,FALSE),"")</f>
        <v>Moderate</v>
      </c>
      <c r="L23" s="9" t="str">
        <f>IFERROR(VLOOKUP(B23,OldCoordinates!B$2:J$35,5,FALSE),"")</f>
        <v>NO</v>
      </c>
      <c r="M23" s="1"/>
    </row>
    <row r="24" spans="1:13" x14ac:dyDescent="0.25">
      <c r="A24" s="9" t="s">
        <v>44</v>
      </c>
      <c r="B24" s="9"/>
      <c r="C24" s="19" t="str">
        <f>IFERROR(VLOOKUP(B24,OldCoordinates!B$2:H$35,6,FALSE),"")</f>
        <v/>
      </c>
      <c r="D24" s="19" t="str">
        <f>IFERROR(VLOOKUP(B24,OldCoordinates!B$2:H$35,7,FALSE),"")</f>
        <v/>
      </c>
      <c r="E24" s="20" t="str">
        <f>IFERROR(VLOOKUP(B24,OldCoordinates!B$2:J$35,9,FALSE),"")</f>
        <v/>
      </c>
      <c r="F24" s="9" t="s">
        <v>41</v>
      </c>
      <c r="G24" s="9">
        <v>68.930000000000007</v>
      </c>
      <c r="H24" s="9">
        <v>71.28</v>
      </c>
      <c r="I24" s="9">
        <v>2.35</v>
      </c>
      <c r="J24" s="9" t="s">
        <v>4</v>
      </c>
      <c r="K24" s="9" t="str">
        <f>IFERROR(VLOOKUP(B24,OldCoordinates!B$2:J$35,4,FALSE),"")</f>
        <v/>
      </c>
      <c r="L24" s="9" t="str">
        <f>IFERROR(VLOOKUP(B24,OldCoordinates!B$2:J$35,5,FALSE),"")</f>
        <v/>
      </c>
      <c r="M24" s="1"/>
    </row>
    <row r="25" spans="1:13" x14ac:dyDescent="0.25">
      <c r="A25" s="9" t="s">
        <v>72</v>
      </c>
      <c r="B25" s="9" t="s">
        <v>73</v>
      </c>
      <c r="C25" s="19">
        <f>IFERROR(VLOOKUP(B25,OldCoordinates!B$2:H$35,6,FALSE),"")</f>
        <v>450685.4</v>
      </c>
      <c r="D25" s="19">
        <f>IFERROR(VLOOKUP(B25,OldCoordinates!B$2:H$35,7,FALSE),"")</f>
        <v>1518900</v>
      </c>
      <c r="E25" s="20">
        <f>IFERROR(VLOOKUP(B25,OldCoordinates!B$2:J$35,9,FALSE),"")</f>
        <v>-0.87598246636490029</v>
      </c>
      <c r="F25" s="9" t="s">
        <v>41</v>
      </c>
      <c r="G25" s="9">
        <v>86.3</v>
      </c>
      <c r="H25" s="9">
        <v>96.68</v>
      </c>
      <c r="I25" s="9">
        <v>10.38</v>
      </c>
      <c r="J25" s="9" t="s">
        <v>25</v>
      </c>
      <c r="K25" s="9" t="str">
        <f>IFERROR(VLOOKUP(B25,OldCoordinates!B$2:J$35,4,FALSE),"")</f>
        <v>High</v>
      </c>
      <c r="L25" s="9" t="str">
        <f>IFERROR(VLOOKUP(B25,OldCoordinates!B$2:J$35,5,FALSE),"")</f>
        <v>NO</v>
      </c>
      <c r="M25" s="1"/>
    </row>
    <row r="26" spans="1:13" x14ac:dyDescent="0.25">
      <c r="A26" s="9" t="s">
        <v>53</v>
      </c>
      <c r="B26" s="9" t="s">
        <v>54</v>
      </c>
      <c r="C26" s="19">
        <f>IFERROR(VLOOKUP(B26,OldCoordinates!B$2:H$35,6,FALSE),"")</f>
        <v>419568.358974359</v>
      </c>
      <c r="D26" s="19">
        <f>IFERROR(VLOOKUP(B26,OldCoordinates!B$2:H$35,7,FALSE),"")</f>
        <v>1297227.435897436</v>
      </c>
      <c r="E26" s="20">
        <f>IFERROR(VLOOKUP(B26,OldCoordinates!B$2:J$35,9,FALSE),"")</f>
        <v>-0.89566750625769298</v>
      </c>
      <c r="F26" s="9" t="s">
        <v>41</v>
      </c>
      <c r="G26" s="9">
        <v>101.39</v>
      </c>
      <c r="H26" s="9">
        <v>105.53</v>
      </c>
      <c r="I26" s="9">
        <v>4.1399999999999997</v>
      </c>
      <c r="J26" s="9" t="s">
        <v>4</v>
      </c>
      <c r="K26" s="9" t="str">
        <f>IFERROR(VLOOKUP(B26,OldCoordinates!B$2:J$35,4,FALSE),"")</f>
        <v>Moderate</v>
      </c>
      <c r="L26" s="9" t="str">
        <f>IFERROR(VLOOKUP(B26,OldCoordinates!B$2:J$35,5,FALSE),"")</f>
        <v>YES</v>
      </c>
      <c r="M26" s="1"/>
    </row>
    <row r="27" spans="1:13" x14ac:dyDescent="0.25">
      <c r="A27" s="9" t="s">
        <v>28</v>
      </c>
      <c r="B27" s="9" t="s">
        <v>29</v>
      </c>
      <c r="C27" s="19">
        <f>IFERROR(VLOOKUP(B27,OldCoordinates!B$2:H$35,6,FALSE),"")</f>
        <v>590170</v>
      </c>
      <c r="D27" s="19">
        <f>IFERROR(VLOOKUP(B27,OldCoordinates!B$2:H$35,7,FALSE),"")</f>
        <v>1567670</v>
      </c>
      <c r="E27" s="20">
        <f>IFERROR(VLOOKUP(B27,OldCoordinates!B$2:J$35,9,FALSE),"")</f>
        <v>-1.0662707942227523</v>
      </c>
      <c r="F27" s="9" t="s">
        <v>3</v>
      </c>
      <c r="G27" s="9">
        <v>48.74</v>
      </c>
      <c r="H27" s="9">
        <v>53.39</v>
      </c>
      <c r="I27" s="9">
        <v>4.6500000000000004</v>
      </c>
      <c r="J27" s="9" t="s">
        <v>25</v>
      </c>
      <c r="K27" s="9" t="str">
        <f>IFERROR(VLOOKUP(B27,OldCoordinates!B$2:J$35,4,FALSE),"")</f>
        <v>High</v>
      </c>
      <c r="L27" s="9" t="str">
        <f>IFERROR(VLOOKUP(B27,OldCoordinates!B$2:J$35,5,FALSE),"")</f>
        <v>YES</v>
      </c>
      <c r="M27" s="1"/>
    </row>
    <row r="28" spans="1:13" x14ac:dyDescent="0.25">
      <c r="A28" s="9" t="s">
        <v>40</v>
      </c>
      <c r="B28" s="9"/>
      <c r="C28" s="19" t="str">
        <f>IFERROR(VLOOKUP(B28,OldCoordinates!B$2:H$35,6,FALSE),"")</f>
        <v/>
      </c>
      <c r="D28" s="19" t="str">
        <f>IFERROR(VLOOKUP(B28,OldCoordinates!B$2:H$35,7,FALSE),"")</f>
        <v/>
      </c>
      <c r="E28" s="20" t="str">
        <f>IFERROR(VLOOKUP(B28,OldCoordinates!B$2:J$35,9,FALSE),"")</f>
        <v/>
      </c>
      <c r="F28" s="9" t="s">
        <v>41</v>
      </c>
      <c r="G28" s="9">
        <v>85.08</v>
      </c>
      <c r="H28" s="9">
        <v>86.23</v>
      </c>
      <c r="I28" s="9">
        <v>1.1499999999999999</v>
      </c>
      <c r="J28" s="9" t="s">
        <v>4</v>
      </c>
      <c r="K28" s="9" t="str">
        <f>IFERROR(VLOOKUP(B28,OldCoordinates!B$2:J$35,4,FALSE),"")</f>
        <v/>
      </c>
      <c r="L28" s="9" t="str">
        <f>IFERROR(VLOOKUP(B28,OldCoordinates!B$2:J$35,5,FALSE),"")</f>
        <v/>
      </c>
      <c r="M28" s="1"/>
    </row>
    <row r="29" spans="1:13" x14ac:dyDescent="0.25">
      <c r="A29" s="9" t="s">
        <v>59</v>
      </c>
      <c r="B29" s="9" t="s">
        <v>60</v>
      </c>
      <c r="C29" s="19">
        <f>IFERROR(VLOOKUP(B29,OldCoordinates!B$2:H$35,6,FALSE),"")</f>
        <v>414318.47413793101</v>
      </c>
      <c r="D29" s="19">
        <f>IFERROR(VLOOKUP(B29,OldCoordinates!B$2:H$35,7,FALSE),"")</f>
        <v>1517421.8965517241</v>
      </c>
      <c r="E29" s="20">
        <f>IFERROR(VLOOKUP(B29,OldCoordinates!B$2:J$35,9,FALSE),"")</f>
        <v>-0.87598246636490029</v>
      </c>
      <c r="F29" s="9" t="s">
        <v>41</v>
      </c>
      <c r="G29" s="9">
        <v>92.41</v>
      </c>
      <c r="H29" s="9">
        <v>97.29</v>
      </c>
      <c r="I29" s="9">
        <v>4.88</v>
      </c>
      <c r="J29" s="9" t="s">
        <v>25</v>
      </c>
      <c r="K29" s="9" t="str">
        <f>IFERROR(VLOOKUP(B29,OldCoordinates!B$2:J$35,4,FALSE),"")</f>
        <v>Moderate</v>
      </c>
      <c r="L29" s="9" t="str">
        <f>IFERROR(VLOOKUP(B29,OldCoordinates!B$2:J$35,5,FALSE),"")</f>
        <v>NO</v>
      </c>
      <c r="M29" s="1"/>
    </row>
    <row r="30" spans="1:13" x14ac:dyDescent="0.25">
      <c r="A30" s="9" t="s">
        <v>56</v>
      </c>
      <c r="B30" s="9"/>
      <c r="C30" s="19" t="str">
        <f>IFERROR(VLOOKUP(B30,OldCoordinates!B$2:H$35,6,FALSE),"")</f>
        <v/>
      </c>
      <c r="D30" s="19" t="str">
        <f>IFERROR(VLOOKUP(B30,OldCoordinates!B$2:H$35,7,FALSE),"")</f>
        <v/>
      </c>
      <c r="E30" s="20" t="str">
        <f>IFERROR(VLOOKUP(B30,OldCoordinates!B$2:J$35,9,FALSE),"")</f>
        <v/>
      </c>
      <c r="F30" s="9" t="s">
        <v>41</v>
      </c>
      <c r="G30" s="9">
        <v>89.44</v>
      </c>
      <c r="H30" s="9">
        <v>94.91</v>
      </c>
      <c r="I30" s="9">
        <v>5.47</v>
      </c>
      <c r="J30" s="9" t="s">
        <v>4</v>
      </c>
      <c r="K30" s="9" t="str">
        <f>IFERROR(VLOOKUP(B30,OldCoordinates!B$2:J$35,4,FALSE),"")</f>
        <v/>
      </c>
      <c r="L30" s="9" t="str">
        <f>IFERROR(VLOOKUP(B30,OldCoordinates!B$2:J$35,5,FALSE),"")</f>
        <v/>
      </c>
      <c r="M30" s="1"/>
    </row>
    <row r="31" spans="1:13" x14ac:dyDescent="0.25">
      <c r="A31" s="9" t="s">
        <v>45</v>
      </c>
      <c r="B31" s="9" t="s">
        <v>208</v>
      </c>
      <c r="C31" s="19">
        <f>IFERROR(VLOOKUP(B31,OldCoordinates!B$2:H$35,6,FALSE),"")</f>
        <v>471233.4117647059</v>
      </c>
      <c r="D31" s="19">
        <f>IFERROR(VLOOKUP(B31,OldCoordinates!B$2:H$35,7,FALSE),"")</f>
        <v>1217035.294117647</v>
      </c>
      <c r="E31" s="20">
        <f>IFERROR(VLOOKUP(B31,OldCoordinates!B$2:J$35,9,FALSE),"")</f>
        <v>-0.99081162129839262</v>
      </c>
      <c r="F31" s="9" t="s">
        <v>41</v>
      </c>
      <c r="G31" s="9">
        <v>103.21</v>
      </c>
      <c r="H31" s="9">
        <v>105.95</v>
      </c>
      <c r="I31" s="9">
        <v>2.74</v>
      </c>
      <c r="J31" s="9" t="s">
        <v>4</v>
      </c>
      <c r="K31" s="9" t="str">
        <f>IFERROR(VLOOKUP(B31,OldCoordinates!B$2:J$35,4,FALSE),"")</f>
        <v>Low</v>
      </c>
      <c r="L31" s="9" t="str">
        <f>IFERROR(VLOOKUP(B31,OldCoordinates!B$2:J$35,5,FALSE),"")</f>
        <v>NO</v>
      </c>
      <c r="M31" s="1"/>
    </row>
    <row r="32" spans="1:13" x14ac:dyDescent="0.25">
      <c r="A32" s="9" t="s">
        <v>49</v>
      </c>
      <c r="B32" s="9" t="s">
        <v>209</v>
      </c>
      <c r="C32" s="19">
        <f>IFERROR(VLOOKUP(B32,OldCoordinates!B$2:H$35,6,FALSE),"")</f>
        <v>408514.6551724138</v>
      </c>
      <c r="D32" s="19">
        <f>IFERROR(VLOOKUP(B32,OldCoordinates!B$2:H$35,7,FALSE),"")</f>
        <v>1372168.9655172413</v>
      </c>
      <c r="E32" s="20">
        <f>IFERROR(VLOOKUP(B32,OldCoordinates!B$2:J$35,9,FALSE),"")</f>
        <v>-0.86942078640063603</v>
      </c>
      <c r="F32" s="9" t="s">
        <v>41</v>
      </c>
      <c r="G32" s="9">
        <v>131.08000000000001</v>
      </c>
      <c r="H32" s="9">
        <v>134.32</v>
      </c>
      <c r="I32" s="9">
        <v>3.24</v>
      </c>
      <c r="J32" s="9" t="s">
        <v>4</v>
      </c>
      <c r="K32" s="9" t="str">
        <f>IFERROR(VLOOKUP(B32,OldCoordinates!B$2:J$35,4,FALSE),"")</f>
        <v>Low</v>
      </c>
      <c r="L32" s="9" t="str">
        <f>IFERROR(VLOOKUP(B32,OldCoordinates!B$2:J$35,5,FALSE),"")</f>
        <v>NO</v>
      </c>
      <c r="M32" s="1"/>
    </row>
    <row r="33" spans="1:13" x14ac:dyDescent="0.25">
      <c r="A33" s="9" t="s">
        <v>69</v>
      </c>
      <c r="B33" s="9" t="s">
        <v>70</v>
      </c>
      <c r="C33" s="19">
        <f>IFERROR(VLOOKUP(B33,OldCoordinates!B$2:H$35,6,FALSE),"")</f>
        <v>471578.05263157893</v>
      </c>
      <c r="D33" s="19">
        <f>IFERROR(VLOOKUP(B33,OldCoordinates!B$2:H$35,7,FALSE),"")</f>
        <v>1297382.6315789474</v>
      </c>
      <c r="E33" s="20">
        <f>IFERROR(VLOOKUP(B33,OldCoordinates!B$2:J$35,9,FALSE),"")</f>
        <v>-0.95144163928925984</v>
      </c>
      <c r="F33" s="9" t="s">
        <v>41</v>
      </c>
      <c r="G33" s="9">
        <v>102.65</v>
      </c>
      <c r="H33" s="9">
        <v>111.35</v>
      </c>
      <c r="I33" s="9">
        <v>8.6999999999999993</v>
      </c>
      <c r="J33" s="9" t="s">
        <v>25</v>
      </c>
      <c r="K33" s="9" t="str">
        <f>IFERROR(VLOOKUP(B33,OldCoordinates!B$2:J$35,4,FALSE),"")</f>
        <v>Moderate</v>
      </c>
      <c r="L33" s="9" t="str">
        <f>IFERROR(VLOOKUP(B33,OldCoordinates!B$2:J$35,5,FALSE),"")</f>
        <v>NO</v>
      </c>
      <c r="M33" s="1"/>
    </row>
    <row r="34" spans="1:13" x14ac:dyDescent="0.25">
      <c r="A34" s="9" t="s">
        <v>74</v>
      </c>
      <c r="B34" s="9" t="s">
        <v>210</v>
      </c>
      <c r="C34" s="19">
        <f>IFERROR(VLOOKUP(B34,OldCoordinates!B$2:H$35,6,FALSE),"")</f>
        <v>424365</v>
      </c>
      <c r="D34" s="19">
        <f>IFERROR(VLOOKUP(B34,OldCoordinates!B$2:H$35,7,FALSE),"")</f>
        <v>1280320</v>
      </c>
      <c r="E34" s="20">
        <f>IFERROR(VLOOKUP(B34,OldCoordinates!B$2:J$35,9,FALSE),"")</f>
        <v>-0.91535254615048567</v>
      </c>
      <c r="F34" s="9" t="s">
        <v>41</v>
      </c>
      <c r="G34" s="9">
        <v>137.36000000000001</v>
      </c>
      <c r="H34" s="9">
        <v>150.28</v>
      </c>
      <c r="I34" s="9">
        <v>12.92</v>
      </c>
      <c r="J34" s="9" t="s">
        <v>25</v>
      </c>
      <c r="K34" s="9" t="str">
        <f>IFERROR(VLOOKUP(B34,OldCoordinates!B$2:J$35,4,FALSE),"")</f>
        <v>Moderate</v>
      </c>
      <c r="L34" s="9" t="str">
        <f>IFERROR(VLOOKUP(B34,OldCoordinates!B$2:J$35,5,FALSE),"")</f>
        <v>NO</v>
      </c>
      <c r="M34" s="1"/>
    </row>
    <row r="35" spans="1:13" x14ac:dyDescent="0.25">
      <c r="A35" s="9" t="s">
        <v>71</v>
      </c>
      <c r="B35" s="9" t="s">
        <v>197</v>
      </c>
      <c r="C35" s="19">
        <f>IFERROR(VLOOKUP(B35,OldCoordinates!B$2:H$35,6,FALSE),"")</f>
        <v>506975.33333333331</v>
      </c>
      <c r="D35" s="19">
        <f>IFERROR(VLOOKUP(B35,OldCoordinates!B$2:H$35,7,FALSE),"")</f>
        <v>1558170</v>
      </c>
      <c r="E35" s="20">
        <f>IFERROR(VLOOKUP(B35,OldCoordinates!B$2:J$35,9,FALSE),"")</f>
        <v>-0.92847580830256138</v>
      </c>
      <c r="F35" s="9" t="s">
        <v>41</v>
      </c>
      <c r="G35" s="9">
        <v>58.43</v>
      </c>
      <c r="H35" s="9">
        <v>68.81</v>
      </c>
      <c r="I35" s="9">
        <v>10.38</v>
      </c>
      <c r="J35" s="9" t="s">
        <v>25</v>
      </c>
      <c r="K35" s="9" t="str">
        <f>IFERROR(VLOOKUP(B35,OldCoordinates!B$2:J$35,4,FALSE),"")</f>
        <v>High</v>
      </c>
      <c r="L35" s="9" t="str">
        <f>IFERROR(VLOOKUP(B35,OldCoordinates!B$2:J$35,5,FALSE),"")</f>
        <v>NO</v>
      </c>
      <c r="M35" s="1"/>
    </row>
    <row r="36" spans="1:13" x14ac:dyDescent="0.25">
      <c r="A36" s="9" t="s">
        <v>47</v>
      </c>
      <c r="B36" s="9" t="s">
        <v>213</v>
      </c>
      <c r="C36" s="19">
        <f>IFERROR(VLOOKUP(B36,OldCoordinates!B$2:H$35,6,FALSE),"")</f>
        <v>504891.9</v>
      </c>
      <c r="D36" s="19">
        <f>IFERROR(VLOOKUP(B36,OldCoordinates!B$2:H$35,7,FALSE),"")</f>
        <v>1302080</v>
      </c>
      <c r="E36" s="20">
        <f>IFERROR(VLOOKUP(B36,OldCoordinates!B$2:J$35,9,FALSE),"")</f>
        <v>-1.1122024561961492</v>
      </c>
      <c r="F36" s="9" t="s">
        <v>41</v>
      </c>
      <c r="G36" s="9">
        <v>99.83</v>
      </c>
      <c r="H36" s="9">
        <v>102.81</v>
      </c>
      <c r="I36" s="9">
        <v>2.98</v>
      </c>
      <c r="J36" s="9" t="s">
        <v>4</v>
      </c>
      <c r="K36" s="9" t="str">
        <f>IFERROR(VLOOKUP(B36,OldCoordinates!B$2:J$35,4,FALSE),"")</f>
        <v>Low</v>
      </c>
      <c r="L36" s="9" t="str">
        <f>IFERROR(VLOOKUP(B36,OldCoordinates!B$2:J$35,5,FALSE),"")</f>
        <v>NO</v>
      </c>
      <c r="M36" s="1"/>
    </row>
    <row r="37" spans="1:13" x14ac:dyDescent="0.25">
      <c r="A37" s="9" t="s">
        <v>58</v>
      </c>
      <c r="B37" s="9" t="s">
        <v>211</v>
      </c>
      <c r="C37" s="19">
        <f>IFERROR(VLOOKUP(B37,OldCoordinates!B$2:H$35,6,FALSE),"")</f>
        <v>430116.66666666669</v>
      </c>
      <c r="D37" s="19">
        <f>IFERROR(VLOOKUP(B37,OldCoordinates!B$2:H$35,7,FALSE),"")</f>
        <v>1276945</v>
      </c>
      <c r="E37" s="20">
        <f>IFERROR(VLOOKUP(B37,OldCoordinates!B$2:J$35,9,FALSE),"")</f>
        <v>-0.92191412833829722</v>
      </c>
      <c r="F37" s="9" t="s">
        <v>41</v>
      </c>
      <c r="G37" s="9">
        <v>139.5</v>
      </c>
      <c r="H37" s="9">
        <v>144.37</v>
      </c>
      <c r="I37" s="9">
        <v>4.87</v>
      </c>
      <c r="J37" s="9" t="s">
        <v>25</v>
      </c>
      <c r="K37" s="9" t="str">
        <f>IFERROR(VLOOKUP(B37,OldCoordinates!B$2:J$35,4,FALSE),"")</f>
        <v>Low</v>
      </c>
      <c r="L37" s="9" t="str">
        <f>IFERROR(VLOOKUP(B37,OldCoordinates!B$2:J$35,5,FALSE),"")</f>
        <v>NO</v>
      </c>
      <c r="M37" s="1"/>
    </row>
    <row r="38" spans="1:13" x14ac:dyDescent="0.25">
      <c r="A38" s="9" t="s">
        <v>81</v>
      </c>
      <c r="B38" s="9"/>
      <c r="C38" s="19" t="str">
        <f>IFERROR(VLOOKUP(B38,OldCoordinates!B$2:H$35,6,FALSE),"")</f>
        <v/>
      </c>
      <c r="D38" s="19" t="str">
        <f>IFERROR(VLOOKUP(B38,OldCoordinates!B$2:H$35,7,FALSE),"")</f>
        <v/>
      </c>
      <c r="E38" s="20" t="str">
        <f>IFERROR(VLOOKUP(B38,OldCoordinates!B$2:J$35,9,FALSE),"")</f>
        <v/>
      </c>
      <c r="F38" s="9" t="s">
        <v>3</v>
      </c>
      <c r="G38" s="9"/>
      <c r="H38" s="9"/>
      <c r="I38" s="9"/>
      <c r="J38" s="9" t="s">
        <v>4</v>
      </c>
      <c r="K38" s="9" t="str">
        <f>IFERROR(VLOOKUP(B38,OldCoordinates!B$2:J$35,4,FALSE),"")</f>
        <v/>
      </c>
      <c r="L38" s="9" t="s">
        <v>25</v>
      </c>
      <c r="M38" s="1"/>
    </row>
    <row r="39" spans="1:13" x14ac:dyDescent="0.25">
      <c r="A39" s="9" t="s">
        <v>48</v>
      </c>
      <c r="B39" s="9" t="s">
        <v>212</v>
      </c>
      <c r="C39" s="19">
        <f>IFERROR(VLOOKUP(B39,OldCoordinates!B$2:H$35,6,FALSE),"")</f>
        <v>431882.1176470588</v>
      </c>
      <c r="D39" s="19">
        <f>IFERROR(VLOOKUP(B39,OldCoordinates!B$2:H$35,7,FALSE),"")</f>
        <v>1273011.1764705882</v>
      </c>
      <c r="E39" s="20">
        <f>IFERROR(VLOOKUP(B39,OldCoordinates!B$2:J$35,9,FALSE),"")</f>
        <v>-0.92847580830256138</v>
      </c>
      <c r="F39" s="9" t="s">
        <v>41</v>
      </c>
      <c r="G39" s="9">
        <v>130.30000000000001</v>
      </c>
      <c r="H39" s="9">
        <v>133.36000000000001</v>
      </c>
      <c r="I39" s="9">
        <v>3.06</v>
      </c>
      <c r="J39" s="9" t="s">
        <v>4</v>
      </c>
      <c r="K39" s="9" t="str">
        <f>IFERROR(VLOOKUP(B39,OldCoordinates!B$2:J$35,4,FALSE),"")</f>
        <v>Low</v>
      </c>
      <c r="L39" s="9" t="s">
        <v>25</v>
      </c>
      <c r="M39" s="1"/>
    </row>
    <row r="40" spans="1:13" x14ac:dyDescent="0.25">
      <c r="A40" s="9" t="s">
        <v>26</v>
      </c>
      <c r="B40" s="9" t="s">
        <v>27</v>
      </c>
      <c r="C40" s="19">
        <f>IFERROR(VLOOKUP(B40,OldCoordinates!B$2:H$35,6,FALSE),"")</f>
        <v>483259</v>
      </c>
      <c r="D40" s="19">
        <f>IFERROR(VLOOKUP(B40,OldCoordinates!B$2:H$35,7,FALSE),"")</f>
        <v>1495150</v>
      </c>
      <c r="E40" s="20">
        <f>IFERROR(VLOOKUP(B40,OldCoordinates!B$2:J$35,9,FALSE),"")</f>
        <v>-0.87270167527099451</v>
      </c>
      <c r="F40" s="9" t="s">
        <v>3</v>
      </c>
      <c r="G40" s="9">
        <v>98.72</v>
      </c>
      <c r="H40" s="9">
        <v>102.63</v>
      </c>
      <c r="I40" s="9">
        <v>3.91</v>
      </c>
      <c r="J40" s="9" t="s">
        <v>25</v>
      </c>
      <c r="K40" s="9" t="str">
        <f>IFERROR(VLOOKUP(B40,OldCoordinates!B$2:J$35,4,FALSE),"")</f>
        <v>Moderate</v>
      </c>
      <c r="L40" s="9" t="s">
        <v>25</v>
      </c>
      <c r="M40" s="1"/>
    </row>
    <row r="41" spans="1:13" x14ac:dyDescent="0.25">
      <c r="A41" s="9" t="s">
        <v>57</v>
      </c>
      <c r="B41" s="9" t="s">
        <v>204</v>
      </c>
      <c r="C41" s="19">
        <f>IFERROR(VLOOKUP(B41,OldCoordinates!B$2:H$35,6,FALSE),"")</f>
        <v>427160.54545454547</v>
      </c>
      <c r="D41" s="19">
        <f>IFERROR(VLOOKUP(B41,OldCoordinates!B$2:H$35,7,FALSE),"")</f>
        <v>1496513.6363636365</v>
      </c>
      <c r="E41" s="20">
        <f>IFERROR(VLOOKUP(B41,OldCoordinates!B$2:J$35,9,FALSE),"")</f>
        <v>-0.86285920421282447</v>
      </c>
      <c r="F41" s="9" t="s">
        <v>41</v>
      </c>
      <c r="G41" s="9">
        <v>90.59</v>
      </c>
      <c r="H41" s="9">
        <v>97.6</v>
      </c>
      <c r="I41" s="9">
        <v>7.01</v>
      </c>
      <c r="J41" s="9" t="s">
        <v>4</v>
      </c>
      <c r="K41" s="9" t="str">
        <f>IFERROR(VLOOKUP(B41,OldCoordinates!B$2:J$35,4,FALSE),"")</f>
        <v>Moderate</v>
      </c>
      <c r="L41" s="9" t="s">
        <v>25</v>
      </c>
      <c r="M41" s="1"/>
    </row>
    <row r="42" spans="1:13" x14ac:dyDescent="0.25">
      <c r="A42" s="9" t="s">
        <v>1</v>
      </c>
      <c r="B42" s="9" t="s">
        <v>2</v>
      </c>
      <c r="C42" s="19">
        <f>IFERROR(VLOOKUP(B42,OldCoordinates!B$2:H$35,6,FALSE),"")</f>
        <v>617054.5</v>
      </c>
      <c r="D42" s="19">
        <f>IFERROR(VLOOKUP(B42,OldCoordinates!B$2:H$35,7,FALSE),"")</f>
        <v>1539535</v>
      </c>
      <c r="E42" s="20">
        <f>IFERROR(VLOOKUP(B42,OldCoordinates!B$2:J$35,9,FALSE),"")</f>
        <v>-1.0925175140798091</v>
      </c>
      <c r="F42" s="9" t="s">
        <v>3</v>
      </c>
      <c r="G42" s="9">
        <v>69.260000000000005</v>
      </c>
      <c r="H42" s="9">
        <v>70.44</v>
      </c>
      <c r="I42" s="9">
        <v>1.18</v>
      </c>
      <c r="J42" s="9" t="s">
        <v>4</v>
      </c>
      <c r="K42" s="9" t="str">
        <f>IFERROR(VLOOKUP(B42,OldCoordinates!B$2:J$35,4,FALSE),"")</f>
        <v>Moderate</v>
      </c>
      <c r="L42" s="9" t="s">
        <v>25</v>
      </c>
      <c r="M42" s="1"/>
    </row>
    <row r="43" spans="1:13" x14ac:dyDescent="0.25">
      <c r="A43" s="9" t="s">
        <v>67</v>
      </c>
      <c r="B43" s="9" t="s">
        <v>68</v>
      </c>
      <c r="C43" s="19">
        <f>IFERROR(VLOOKUP(B43,OldCoordinates!B$2:H$35,6,FALSE),"")</f>
        <v>540778.5</v>
      </c>
      <c r="D43" s="19">
        <f>IFERROR(VLOOKUP(B43,OldCoordinates!B$2:H$35,7,FALSE),"")</f>
        <v>1627690</v>
      </c>
      <c r="E43" s="20">
        <f>IFERROR(VLOOKUP(B43,OldCoordinates!B$2:J$35,9,FALSE),"")</f>
        <v>-1.030181701083978</v>
      </c>
      <c r="F43" s="9" t="s">
        <v>41</v>
      </c>
      <c r="G43" s="9">
        <v>61.41</v>
      </c>
      <c r="H43" s="9">
        <v>69.37</v>
      </c>
      <c r="I43" s="9">
        <v>7.96</v>
      </c>
      <c r="J43" s="9" t="s">
        <v>25</v>
      </c>
      <c r="K43" s="9" t="str">
        <f>IFERROR(VLOOKUP(B43,OldCoordinates!B$2:J$35,4,FALSE),"")</f>
        <v>High</v>
      </c>
      <c r="L43" s="9" t="s">
        <v>25</v>
      </c>
      <c r="M43" s="1"/>
    </row>
    <row r="44" spans="1:13" x14ac:dyDescent="0.25">
      <c r="A44" s="9" t="s">
        <v>19</v>
      </c>
      <c r="B44" s="9" t="s">
        <v>20</v>
      </c>
      <c r="C44" s="19">
        <f>IFERROR(VLOOKUP(B44,OldCoordinates!B$2:H$35,6,FALSE),"")</f>
        <v>525149</v>
      </c>
      <c r="D44" s="19">
        <f>IFERROR(VLOOKUP(B44,OldCoordinates!B$2:H$35,7,FALSE),"")</f>
        <v>1363850</v>
      </c>
      <c r="E44" s="20">
        <f>IFERROR(VLOOKUP(B44,OldCoordinates!B$2:J$35,9,FALSE),"")</f>
        <v>-1.0695516830931107</v>
      </c>
      <c r="F44" s="9" t="s">
        <v>3</v>
      </c>
      <c r="G44" s="9">
        <v>64.099999999999994</v>
      </c>
      <c r="H44" s="9">
        <v>67.680000000000007</v>
      </c>
      <c r="I44" s="9">
        <v>3.58</v>
      </c>
      <c r="J44" s="9" t="s">
        <v>4</v>
      </c>
      <c r="K44" s="9" t="str">
        <f>IFERROR(VLOOKUP(B44,OldCoordinates!B$2:J$35,4,FALSE),"")</f>
        <v>Low</v>
      </c>
      <c r="L44" s="9" t="s">
        <v>25</v>
      </c>
      <c r="M44" s="1"/>
    </row>
    <row r="45" spans="1:13" x14ac:dyDescent="0.25">
      <c r="A45" s="9" t="s">
        <v>13</v>
      </c>
      <c r="B45" s="9" t="s">
        <v>14</v>
      </c>
      <c r="C45" s="19">
        <f>IFERROR(VLOOKUP(B45,OldCoordinates!B$2:H$35,6,FALSE),"")</f>
        <v>523064.66666666669</v>
      </c>
      <c r="D45" s="19">
        <f>IFERROR(VLOOKUP(B45,OldCoordinates!B$2:H$35,7,FALSE),"")</f>
        <v>1374266.6666666667</v>
      </c>
      <c r="E45" s="20">
        <f>IFERROR(VLOOKUP(B45,OldCoordinates!B$2:J$35,9,FALSE),"")</f>
        <v>-1.0400241721421479</v>
      </c>
      <c r="F45" s="9" t="s">
        <v>3</v>
      </c>
      <c r="G45" s="9">
        <v>61.61</v>
      </c>
      <c r="H45" s="9">
        <v>64.47</v>
      </c>
      <c r="I45" s="9">
        <v>2.86</v>
      </c>
      <c r="J45" s="9" t="s">
        <v>4</v>
      </c>
      <c r="K45" s="9" t="str">
        <f>IFERROR(VLOOKUP(B45,OldCoordinates!B$2:J$35,4,FALSE),"")</f>
        <v>Low</v>
      </c>
      <c r="L45" s="9" t="s">
        <v>25</v>
      </c>
      <c r="M45" s="1"/>
    </row>
    <row r="46" spans="1:13" x14ac:dyDescent="0.25">
      <c r="A46" s="9" t="s">
        <v>11</v>
      </c>
      <c r="B46" s="9" t="s">
        <v>12</v>
      </c>
      <c r="C46" s="19">
        <f>IFERROR(VLOOKUP(B46,OldCoordinates!B$2:H$35,6,FALSE),"")</f>
        <v>521397</v>
      </c>
      <c r="D46" s="19">
        <f>IFERROR(VLOOKUP(B46,OldCoordinates!B$2:H$35,7,FALSE),"")</f>
        <v>1372600</v>
      </c>
      <c r="E46" s="20">
        <f>IFERROR(VLOOKUP(B46,OldCoordinates!B$2:J$35,9,FALSE),"")</f>
        <v>-1.0400241721421479</v>
      </c>
      <c r="F46" s="9" t="s">
        <v>3</v>
      </c>
      <c r="G46" s="9">
        <v>65.569999999999993</v>
      </c>
      <c r="H46" s="9">
        <v>68.34</v>
      </c>
      <c r="I46" s="9">
        <v>2.77</v>
      </c>
      <c r="J46" s="9" t="s">
        <v>4</v>
      </c>
      <c r="K46" s="9" t="str">
        <f>IFERROR(VLOOKUP(B46,OldCoordinates!B$2:J$35,4,FALSE),"")</f>
        <v>Low</v>
      </c>
      <c r="L46" s="9" t="s">
        <v>25</v>
      </c>
      <c r="M46" s="1"/>
    </row>
  </sheetData>
  <sortState ref="A2:J46">
    <sortCondition ref="A2:A4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A100-BBE8-4346-8A9B-487644AE963C}">
  <dimension ref="A1:J35"/>
  <sheetViews>
    <sheetView tabSelected="1" workbookViewId="0">
      <selection activeCell="E1" sqref="E1:E1048576"/>
    </sheetView>
  </sheetViews>
  <sheetFormatPr defaultRowHeight="15" x14ac:dyDescent="0.25"/>
  <cols>
    <col min="1" max="1" width="16.42578125" customWidth="1"/>
    <col min="5" max="5" width="12.42578125" customWidth="1"/>
    <col min="7" max="8" width="12" customWidth="1"/>
  </cols>
  <sheetData>
    <row r="1" spans="1:10" ht="26.25" x14ac:dyDescent="0.25">
      <c r="A1" s="18" t="s">
        <v>176</v>
      </c>
      <c r="B1" s="18" t="s">
        <v>76</v>
      </c>
      <c r="C1" s="18" t="s">
        <v>177</v>
      </c>
      <c r="D1" s="18" t="s">
        <v>178</v>
      </c>
      <c r="E1" s="18" t="s">
        <v>179</v>
      </c>
      <c r="F1" s="18" t="s">
        <v>180</v>
      </c>
      <c r="G1" s="18" t="s">
        <v>181</v>
      </c>
      <c r="H1" s="18" t="s">
        <v>182</v>
      </c>
      <c r="I1" s="18" t="s">
        <v>183</v>
      </c>
      <c r="J1" s="18" t="s">
        <v>184</v>
      </c>
    </row>
    <row r="2" spans="1:10" x14ac:dyDescent="0.25">
      <c r="A2" s="5" t="s">
        <v>61</v>
      </c>
      <c r="B2" s="6" t="s">
        <v>205</v>
      </c>
      <c r="C2" s="9" t="s">
        <v>193</v>
      </c>
      <c r="D2" s="5" t="s">
        <v>41</v>
      </c>
      <c r="E2" s="9" t="s">
        <v>186</v>
      </c>
      <c r="F2" s="9" t="s">
        <v>193</v>
      </c>
      <c r="G2" s="3">
        <v>498139.55</v>
      </c>
      <c r="H2" s="3">
        <v>1306955</v>
      </c>
      <c r="I2" s="3">
        <v>329.63942499999973</v>
      </c>
      <c r="J2" s="2">
        <v>-1.0695516830931107</v>
      </c>
    </row>
    <row r="3" spans="1:10" x14ac:dyDescent="0.25">
      <c r="A3" s="5" t="s">
        <v>32</v>
      </c>
      <c r="B3" s="6" t="s">
        <v>33</v>
      </c>
      <c r="C3" s="9" t="s">
        <v>193</v>
      </c>
      <c r="D3" s="5" t="s">
        <v>3</v>
      </c>
      <c r="E3" s="9" t="s">
        <v>190</v>
      </c>
      <c r="F3" s="9" t="s">
        <v>185</v>
      </c>
      <c r="G3" s="3">
        <v>431132.28125</v>
      </c>
      <c r="H3" s="3">
        <v>1474124.375</v>
      </c>
      <c r="I3" s="3">
        <v>307.61897399999975</v>
      </c>
      <c r="J3" s="2">
        <v>-0.8562975242485602</v>
      </c>
    </row>
    <row r="4" spans="1:10" x14ac:dyDescent="0.25">
      <c r="A4" s="5" t="s">
        <v>46</v>
      </c>
      <c r="B4" s="6" t="s">
        <v>206</v>
      </c>
      <c r="C4" s="9" t="s">
        <v>185</v>
      </c>
      <c r="D4" s="5" t="s">
        <v>41</v>
      </c>
      <c r="E4" s="9" t="s">
        <v>186</v>
      </c>
      <c r="F4" s="9" t="s">
        <v>185</v>
      </c>
      <c r="G4" s="3">
        <v>443156.85714285716</v>
      </c>
      <c r="H4" s="3">
        <v>1385913.5714285714</v>
      </c>
      <c r="I4" s="3">
        <v>226.81534799999977</v>
      </c>
      <c r="J4" s="2">
        <v>-0.8923867151637872</v>
      </c>
    </row>
    <row r="5" spans="1:10" x14ac:dyDescent="0.25">
      <c r="A5" s="5" t="s">
        <v>202</v>
      </c>
      <c r="B5" s="6" t="s">
        <v>201</v>
      </c>
      <c r="C5" s="9" t="s">
        <v>193</v>
      </c>
      <c r="D5" s="5" t="s">
        <v>41</v>
      </c>
      <c r="E5" s="9" t="s">
        <v>190</v>
      </c>
      <c r="F5" s="9" t="s">
        <v>193</v>
      </c>
      <c r="G5" s="3">
        <v>386350.66666666669</v>
      </c>
      <c r="H5" s="3">
        <v>1568920</v>
      </c>
      <c r="I5" s="3">
        <v>111.61866499999969</v>
      </c>
      <c r="J5" s="2">
        <v>-0.87926335523525867</v>
      </c>
    </row>
    <row r="6" spans="1:10" x14ac:dyDescent="0.25">
      <c r="A6" s="5" t="s">
        <v>9</v>
      </c>
      <c r="B6" s="6" t="s">
        <v>10</v>
      </c>
      <c r="C6" s="9" t="s">
        <v>185</v>
      </c>
      <c r="D6" s="5" t="s">
        <v>3</v>
      </c>
      <c r="E6" s="9" t="s">
        <v>186</v>
      </c>
      <c r="F6" s="9" t="s">
        <v>185</v>
      </c>
      <c r="G6" s="3">
        <v>639562</v>
      </c>
      <c r="H6" s="3">
        <v>1475973.3333333333</v>
      </c>
      <c r="I6" s="3">
        <v>8.3433429999999991</v>
      </c>
      <c r="J6" s="2">
        <v>-1.1384491760532061</v>
      </c>
    </row>
    <row r="7" spans="1:10" x14ac:dyDescent="0.25">
      <c r="A7" s="5" t="s">
        <v>62</v>
      </c>
      <c r="B7" s="6" t="s">
        <v>63</v>
      </c>
      <c r="C7" s="9" t="s">
        <v>193</v>
      </c>
      <c r="D7" s="5" t="s">
        <v>41</v>
      </c>
      <c r="E7" s="9" t="s">
        <v>186</v>
      </c>
      <c r="F7" s="9" t="s">
        <v>193</v>
      </c>
      <c r="G7" s="3">
        <v>471631.73221757321</v>
      </c>
      <c r="H7" s="3">
        <v>1262274.1841004184</v>
      </c>
      <c r="I7" s="3">
        <v>6332.1554170000009</v>
      </c>
      <c r="J7" s="2">
        <v>-0.96456499921778838</v>
      </c>
    </row>
    <row r="8" spans="1:10" x14ac:dyDescent="0.25">
      <c r="A8" s="5" t="s">
        <v>43</v>
      </c>
      <c r="B8" s="6" t="s">
        <v>207</v>
      </c>
      <c r="C8" s="9" t="s">
        <v>185</v>
      </c>
      <c r="D8" s="5" t="s">
        <v>41</v>
      </c>
      <c r="E8" s="9" t="s">
        <v>186</v>
      </c>
      <c r="F8" s="9" t="s">
        <v>185</v>
      </c>
      <c r="G8" s="3">
        <v>434180.625</v>
      </c>
      <c r="H8" s="3">
        <v>1275851.25</v>
      </c>
      <c r="I8" s="3">
        <v>113.4595369999998</v>
      </c>
      <c r="J8" s="2">
        <v>-0.92847580830256138</v>
      </c>
    </row>
    <row r="9" spans="1:10" x14ac:dyDescent="0.25">
      <c r="A9" s="5" t="s">
        <v>7</v>
      </c>
      <c r="B9" s="6" t="s">
        <v>8</v>
      </c>
      <c r="C9" s="9" t="s">
        <v>185</v>
      </c>
      <c r="D9" s="5" t="s">
        <v>3</v>
      </c>
      <c r="E9" s="9" t="s">
        <v>186</v>
      </c>
      <c r="F9" s="9" t="s">
        <v>185</v>
      </c>
      <c r="G9" s="3">
        <v>351964.5</v>
      </c>
      <c r="H9" s="3">
        <v>1465140</v>
      </c>
      <c r="I9" s="3">
        <v>1.935044</v>
      </c>
      <c r="J9" s="2">
        <v>-0.85957831534246598</v>
      </c>
    </row>
    <row r="10" spans="1:10" x14ac:dyDescent="0.25">
      <c r="A10" s="5" t="s">
        <v>21</v>
      </c>
      <c r="B10" s="6" t="s">
        <v>22</v>
      </c>
      <c r="C10" s="9" t="s">
        <v>185</v>
      </c>
      <c r="D10" s="5" t="s">
        <v>3</v>
      </c>
      <c r="E10" s="9" t="s">
        <v>186</v>
      </c>
      <c r="F10" s="9" t="s">
        <v>185</v>
      </c>
      <c r="G10" s="3">
        <v>343837</v>
      </c>
      <c r="H10" s="3">
        <v>1477640</v>
      </c>
      <c r="I10" s="3">
        <v>0.57636799999999999</v>
      </c>
      <c r="J10" s="2">
        <v>-0.85957831534246598</v>
      </c>
    </row>
    <row r="11" spans="1:10" x14ac:dyDescent="0.25">
      <c r="A11" s="5" t="s">
        <v>15</v>
      </c>
      <c r="B11" s="6" t="s">
        <v>16</v>
      </c>
      <c r="C11" s="9" t="s">
        <v>185</v>
      </c>
      <c r="D11" s="5" t="s">
        <v>3</v>
      </c>
      <c r="E11" s="9" t="s">
        <v>186</v>
      </c>
      <c r="F11" s="9" t="s">
        <v>185</v>
      </c>
      <c r="G11" s="3">
        <v>362593</v>
      </c>
      <c r="H11" s="3">
        <v>1447630</v>
      </c>
      <c r="I11" s="3">
        <v>4.7768959999999998</v>
      </c>
      <c r="J11" s="2">
        <v>-0.85301663537820183</v>
      </c>
    </row>
    <row r="12" spans="1:10" x14ac:dyDescent="0.25">
      <c r="A12" s="5" t="s">
        <v>200</v>
      </c>
      <c r="B12" s="6" t="s">
        <v>35</v>
      </c>
      <c r="C12" s="9" t="s">
        <v>193</v>
      </c>
      <c r="D12" s="5" t="s">
        <v>3</v>
      </c>
      <c r="E12" s="9" t="s">
        <v>196</v>
      </c>
      <c r="F12" s="9" t="s">
        <v>185</v>
      </c>
      <c r="G12" s="3">
        <v>539672.30769230775</v>
      </c>
      <c r="H12" s="3">
        <v>1584603.076923077</v>
      </c>
      <c r="I12" s="3">
        <v>140.0391059999998</v>
      </c>
      <c r="J12" s="2">
        <v>-1.0367433810482423</v>
      </c>
    </row>
    <row r="13" spans="1:10" x14ac:dyDescent="0.25">
      <c r="A13" s="5" t="s">
        <v>52</v>
      </c>
      <c r="B13" s="6" t="s">
        <v>203</v>
      </c>
      <c r="C13" s="9" t="s">
        <v>185</v>
      </c>
      <c r="D13" s="5" t="s">
        <v>41</v>
      </c>
      <c r="E13" s="9" t="s">
        <v>196</v>
      </c>
      <c r="F13" s="9" t="s">
        <v>185</v>
      </c>
      <c r="G13" s="3">
        <v>446904.2</v>
      </c>
      <c r="H13" s="3">
        <v>1526560.5217391304</v>
      </c>
      <c r="I13" s="3">
        <v>2186.2243559999979</v>
      </c>
      <c r="J13" s="2">
        <v>-0.87926335523525867</v>
      </c>
    </row>
    <row r="14" spans="1:10" x14ac:dyDescent="0.25">
      <c r="A14" s="5" t="s">
        <v>64</v>
      </c>
      <c r="B14" s="6" t="s">
        <v>65</v>
      </c>
      <c r="C14" s="9" t="s">
        <v>193</v>
      </c>
      <c r="D14" s="5" t="s">
        <v>41</v>
      </c>
      <c r="E14" s="9" t="s">
        <v>190</v>
      </c>
      <c r="F14" s="9" t="s">
        <v>185</v>
      </c>
      <c r="G14" s="3">
        <v>407608</v>
      </c>
      <c r="H14" s="3">
        <v>1552040</v>
      </c>
      <c r="I14" s="3">
        <v>66.365473999999892</v>
      </c>
      <c r="J14" s="2">
        <v>-0.88582503519952294</v>
      </c>
    </row>
    <row r="15" spans="1:10" x14ac:dyDescent="0.25">
      <c r="A15" s="5" t="s">
        <v>188</v>
      </c>
      <c r="B15" s="6" t="s">
        <v>187</v>
      </c>
      <c r="C15" s="9" t="s">
        <v>185</v>
      </c>
      <c r="D15" s="5" t="s">
        <v>189</v>
      </c>
      <c r="E15" s="9" t="s">
        <v>190</v>
      </c>
      <c r="F15" s="9" t="s">
        <v>185</v>
      </c>
      <c r="G15" s="3">
        <v>527938.02797202801</v>
      </c>
      <c r="H15" s="3">
        <v>1220882.097902098</v>
      </c>
      <c r="I15" s="3">
        <v>3839.4751709999991</v>
      </c>
      <c r="J15" s="2">
        <v>-1.0203391322493554</v>
      </c>
    </row>
    <row r="16" spans="1:10" x14ac:dyDescent="0.25">
      <c r="A16" s="5" t="s">
        <v>72</v>
      </c>
      <c r="B16" s="6" t="s">
        <v>73</v>
      </c>
      <c r="C16" s="9" t="s">
        <v>193</v>
      </c>
      <c r="D16" s="5" t="s">
        <v>41</v>
      </c>
      <c r="E16" s="9" t="s">
        <v>196</v>
      </c>
      <c r="F16" s="9" t="s">
        <v>185</v>
      </c>
      <c r="G16" s="3">
        <v>450685.4</v>
      </c>
      <c r="H16" s="3">
        <v>1518900</v>
      </c>
      <c r="I16" s="3">
        <v>252.64217299999959</v>
      </c>
      <c r="J16" s="2">
        <v>-0.87598246636490029</v>
      </c>
    </row>
    <row r="17" spans="1:10" x14ac:dyDescent="0.25">
      <c r="A17" s="5" t="s">
        <v>53</v>
      </c>
      <c r="B17" s="6" t="s">
        <v>54</v>
      </c>
      <c r="C17" s="9" t="s">
        <v>185</v>
      </c>
      <c r="D17" s="5" t="s">
        <v>41</v>
      </c>
      <c r="E17" s="9" t="s">
        <v>190</v>
      </c>
      <c r="F17" s="9" t="s">
        <v>193</v>
      </c>
      <c r="G17" s="3">
        <v>419568.358974359</v>
      </c>
      <c r="H17" s="3">
        <v>1297227.435897436</v>
      </c>
      <c r="I17" s="3">
        <v>844.88439899999946</v>
      </c>
      <c r="J17" s="2">
        <v>-0.89566750625769298</v>
      </c>
    </row>
    <row r="18" spans="1:10" x14ac:dyDescent="0.25">
      <c r="A18" s="5" t="s">
        <v>28</v>
      </c>
      <c r="B18" s="6" t="s">
        <v>29</v>
      </c>
      <c r="C18" s="9" t="s">
        <v>193</v>
      </c>
      <c r="D18" s="5" t="s">
        <v>3</v>
      </c>
      <c r="E18" s="9" t="s">
        <v>196</v>
      </c>
      <c r="F18" s="9" t="s">
        <v>193</v>
      </c>
      <c r="G18" s="3">
        <v>590170</v>
      </c>
      <c r="H18" s="3">
        <v>1567670</v>
      </c>
      <c r="I18" s="3">
        <v>7.5267400000000002</v>
      </c>
      <c r="J18" s="2">
        <v>-1.0662707942227523</v>
      </c>
    </row>
    <row r="19" spans="1:10" x14ac:dyDescent="0.25">
      <c r="A19" s="5" t="s">
        <v>59</v>
      </c>
      <c r="B19" s="6" t="s">
        <v>60</v>
      </c>
      <c r="C19" s="9" t="s">
        <v>193</v>
      </c>
      <c r="D19" s="5" t="s">
        <v>41</v>
      </c>
      <c r="E19" s="9" t="s">
        <v>190</v>
      </c>
      <c r="F19" s="9" t="s">
        <v>185</v>
      </c>
      <c r="G19" s="3">
        <v>414318.47413793101</v>
      </c>
      <c r="H19" s="3">
        <v>1517421.8965517241</v>
      </c>
      <c r="I19" s="3">
        <v>5721.9282710000016</v>
      </c>
      <c r="J19" s="2">
        <v>-0.87598246636490029</v>
      </c>
    </row>
    <row r="20" spans="1:10" x14ac:dyDescent="0.25">
      <c r="A20" s="5" t="s">
        <v>192</v>
      </c>
      <c r="B20" s="6" t="s">
        <v>191</v>
      </c>
      <c r="C20" s="9" t="s">
        <v>185</v>
      </c>
      <c r="D20" s="5" t="s">
        <v>189</v>
      </c>
      <c r="E20" s="9" t="s">
        <v>186</v>
      </c>
      <c r="F20" s="9" t="s">
        <v>193</v>
      </c>
      <c r="G20" s="3">
        <v>525578.52500000002</v>
      </c>
      <c r="H20" s="3">
        <v>1308424.125</v>
      </c>
      <c r="I20" s="3">
        <v>4577.7154210000017</v>
      </c>
      <c r="J20" s="2">
        <v>-1.2106274601072073</v>
      </c>
    </row>
    <row r="21" spans="1:10" x14ac:dyDescent="0.25">
      <c r="A21" s="5" t="s">
        <v>45</v>
      </c>
      <c r="B21" s="6" t="s">
        <v>208</v>
      </c>
      <c r="C21" s="9" t="s">
        <v>185</v>
      </c>
      <c r="D21" s="5" t="s">
        <v>41</v>
      </c>
      <c r="E21" s="9" t="s">
        <v>186</v>
      </c>
      <c r="F21" s="9" t="s">
        <v>185</v>
      </c>
      <c r="G21" s="3">
        <v>471233.4117647059</v>
      </c>
      <c r="H21" s="3">
        <v>1217035.294117647</v>
      </c>
      <c r="I21" s="3">
        <v>330.56716499999993</v>
      </c>
      <c r="J21" s="2">
        <v>-0.99081162129839262</v>
      </c>
    </row>
    <row r="22" spans="1:10" x14ac:dyDescent="0.25">
      <c r="A22" s="5" t="s">
        <v>49</v>
      </c>
      <c r="B22" s="6" t="s">
        <v>209</v>
      </c>
      <c r="C22" s="9" t="s">
        <v>185</v>
      </c>
      <c r="D22" s="5" t="s">
        <v>41</v>
      </c>
      <c r="E22" s="9" t="s">
        <v>186</v>
      </c>
      <c r="F22" s="9" t="s">
        <v>185</v>
      </c>
      <c r="G22" s="3">
        <v>408514.6551724138</v>
      </c>
      <c r="H22" s="3">
        <v>1372168.9655172413</v>
      </c>
      <c r="I22" s="3">
        <v>608.39141699999948</v>
      </c>
      <c r="J22" s="2">
        <v>-0.86942078640063603</v>
      </c>
    </row>
    <row r="23" spans="1:10" x14ac:dyDescent="0.25">
      <c r="A23" s="5" t="s">
        <v>69</v>
      </c>
      <c r="B23" s="6" t="s">
        <v>70</v>
      </c>
      <c r="C23" s="9" t="s">
        <v>193</v>
      </c>
      <c r="D23" s="5" t="s">
        <v>41</v>
      </c>
      <c r="E23" s="9" t="s">
        <v>190</v>
      </c>
      <c r="F23" s="9" t="s">
        <v>185</v>
      </c>
      <c r="G23" s="3">
        <v>471578.05263157893</v>
      </c>
      <c r="H23" s="3">
        <v>1297382.6315789474</v>
      </c>
      <c r="I23" s="3">
        <v>345.95883899999956</v>
      </c>
      <c r="J23" s="2">
        <v>-0.95144163928925984</v>
      </c>
    </row>
    <row r="24" spans="1:10" x14ac:dyDescent="0.25">
      <c r="A24" s="5" t="s">
        <v>74</v>
      </c>
      <c r="B24" s="6" t="s">
        <v>210</v>
      </c>
      <c r="C24" s="9" t="s">
        <v>193</v>
      </c>
      <c r="D24" s="5" t="s">
        <v>41</v>
      </c>
      <c r="E24" s="9" t="s">
        <v>190</v>
      </c>
      <c r="F24" s="9" t="s">
        <v>185</v>
      </c>
      <c r="G24" s="3">
        <v>424365</v>
      </c>
      <c r="H24" s="3">
        <v>1280320</v>
      </c>
      <c r="I24" s="3">
        <v>49.222846999999895</v>
      </c>
      <c r="J24" s="2">
        <v>-0.91535254615048567</v>
      </c>
    </row>
    <row r="25" spans="1:10" x14ac:dyDescent="0.25">
      <c r="A25" s="5" t="s">
        <v>71</v>
      </c>
      <c r="B25" s="6" t="s">
        <v>197</v>
      </c>
      <c r="C25" s="9" t="s">
        <v>193</v>
      </c>
      <c r="D25" s="5" t="s">
        <v>41</v>
      </c>
      <c r="E25" s="9" t="s">
        <v>196</v>
      </c>
      <c r="F25" s="9" t="s">
        <v>185</v>
      </c>
      <c r="G25" s="3">
        <v>506975.33333333331</v>
      </c>
      <c r="H25" s="3">
        <v>1558170</v>
      </c>
      <c r="I25" s="3">
        <v>156.76337599999979</v>
      </c>
      <c r="J25" s="2">
        <v>-0.92847580830256138</v>
      </c>
    </row>
    <row r="26" spans="1:10" x14ac:dyDescent="0.25">
      <c r="A26" s="5" t="s">
        <v>47</v>
      </c>
      <c r="B26" s="6" t="s">
        <v>213</v>
      </c>
      <c r="C26" s="9" t="s">
        <v>185</v>
      </c>
      <c r="D26" s="5" t="s">
        <v>41</v>
      </c>
      <c r="E26" s="9" t="s">
        <v>186</v>
      </c>
      <c r="F26" s="9" t="s">
        <v>185</v>
      </c>
      <c r="G26" s="3">
        <v>504891.9</v>
      </c>
      <c r="H26" s="3">
        <v>1302080</v>
      </c>
      <c r="I26" s="3">
        <v>103.24446699999972</v>
      </c>
      <c r="J26" s="2">
        <v>-1.1122024561961492</v>
      </c>
    </row>
    <row r="27" spans="1:10" x14ac:dyDescent="0.25">
      <c r="A27" s="5" t="s">
        <v>58</v>
      </c>
      <c r="B27" s="6" t="s">
        <v>211</v>
      </c>
      <c r="C27" s="9" t="s">
        <v>193</v>
      </c>
      <c r="D27" s="5" t="s">
        <v>41</v>
      </c>
      <c r="E27" s="9" t="s">
        <v>186</v>
      </c>
      <c r="F27" s="9" t="s">
        <v>185</v>
      </c>
      <c r="G27" s="3">
        <v>430116.66666666669</v>
      </c>
      <c r="H27" s="3">
        <v>1276945</v>
      </c>
      <c r="I27" s="3">
        <v>43.421227999999999</v>
      </c>
      <c r="J27" s="2">
        <v>-0.92191412833829722</v>
      </c>
    </row>
    <row r="28" spans="1:10" x14ac:dyDescent="0.25">
      <c r="A28" s="5" t="s">
        <v>48</v>
      </c>
      <c r="B28" s="6" t="s">
        <v>212</v>
      </c>
      <c r="C28" s="9" t="s">
        <v>185</v>
      </c>
      <c r="D28" s="5" t="s">
        <v>41</v>
      </c>
      <c r="E28" s="9" t="s">
        <v>186</v>
      </c>
      <c r="F28" s="9" t="s">
        <v>185</v>
      </c>
      <c r="G28" s="3">
        <v>431882.1176470588</v>
      </c>
      <c r="H28" s="3">
        <v>1273011.1764705882</v>
      </c>
      <c r="I28" s="3">
        <v>284.41504199999969</v>
      </c>
      <c r="J28" s="2">
        <v>-0.92847580830256138</v>
      </c>
    </row>
    <row r="29" spans="1:10" x14ac:dyDescent="0.25">
      <c r="A29" s="5" t="s">
        <v>195</v>
      </c>
      <c r="B29" s="6" t="s">
        <v>27</v>
      </c>
      <c r="C29" s="9" t="s">
        <v>193</v>
      </c>
      <c r="D29" s="5" t="s">
        <v>3</v>
      </c>
      <c r="E29" s="9" t="s">
        <v>190</v>
      </c>
      <c r="F29" s="9" t="s">
        <v>185</v>
      </c>
      <c r="G29" s="3">
        <v>483259</v>
      </c>
      <c r="H29" s="3">
        <v>1495150</v>
      </c>
      <c r="I29" s="3">
        <v>3.5481199999999999</v>
      </c>
      <c r="J29" s="2">
        <v>-0.87270167527099451</v>
      </c>
    </row>
    <row r="30" spans="1:10" x14ac:dyDescent="0.25">
      <c r="A30" s="5" t="s">
        <v>57</v>
      </c>
      <c r="B30" s="6" t="s">
        <v>204</v>
      </c>
      <c r="C30" s="9" t="s">
        <v>185</v>
      </c>
      <c r="D30" s="5" t="s">
        <v>41</v>
      </c>
      <c r="E30" s="9" t="s">
        <v>190</v>
      </c>
      <c r="F30" s="9" t="s">
        <v>185</v>
      </c>
      <c r="G30" s="3">
        <v>427160.54545454547</v>
      </c>
      <c r="H30" s="3">
        <v>1496513.6363636365</v>
      </c>
      <c r="I30" s="3">
        <v>180.8343779999997</v>
      </c>
      <c r="J30" s="2">
        <v>-0.86285920421282447</v>
      </c>
    </row>
    <row r="31" spans="1:10" x14ac:dyDescent="0.25">
      <c r="A31" s="5" t="s">
        <v>198</v>
      </c>
      <c r="B31" s="6" t="s">
        <v>2</v>
      </c>
      <c r="C31" s="9" t="s">
        <v>185</v>
      </c>
      <c r="D31" s="5" t="s">
        <v>3</v>
      </c>
      <c r="E31" s="9" t="s">
        <v>190</v>
      </c>
      <c r="F31" s="9" t="s">
        <v>185</v>
      </c>
      <c r="G31" s="3">
        <v>617054.5</v>
      </c>
      <c r="H31" s="3">
        <v>1539535</v>
      </c>
      <c r="I31" s="3">
        <v>19.3913739999999</v>
      </c>
      <c r="J31" s="2">
        <v>-1.0925175140798091</v>
      </c>
    </row>
    <row r="32" spans="1:10" x14ac:dyDescent="0.25">
      <c r="A32" s="5" t="s">
        <v>199</v>
      </c>
      <c r="B32" s="6" t="s">
        <v>68</v>
      </c>
      <c r="C32" s="9" t="s">
        <v>193</v>
      </c>
      <c r="D32" s="5" t="s">
        <v>41</v>
      </c>
      <c r="E32" s="9" t="s">
        <v>196</v>
      </c>
      <c r="F32" s="9" t="s">
        <v>185</v>
      </c>
      <c r="G32" s="3">
        <v>540778.5</v>
      </c>
      <c r="H32" s="3">
        <v>1627690</v>
      </c>
      <c r="I32" s="3">
        <v>6.5411020000000004</v>
      </c>
      <c r="J32" s="2">
        <v>-1.030181701083978</v>
      </c>
    </row>
    <row r="33" spans="1:10" x14ac:dyDescent="0.25">
      <c r="A33" s="5" t="s">
        <v>19</v>
      </c>
      <c r="B33" s="6" t="s">
        <v>20</v>
      </c>
      <c r="C33" s="9" t="s">
        <v>185</v>
      </c>
      <c r="D33" s="5" t="s">
        <v>3</v>
      </c>
      <c r="E33" s="9" t="s">
        <v>186</v>
      </c>
      <c r="F33" s="9" t="s">
        <v>185</v>
      </c>
      <c r="G33" s="3">
        <v>525149</v>
      </c>
      <c r="H33" s="3">
        <v>1363850</v>
      </c>
      <c r="I33" s="3">
        <v>1.4548760000000001</v>
      </c>
      <c r="J33" s="2">
        <v>-1.0695516830931107</v>
      </c>
    </row>
    <row r="34" spans="1:10" x14ac:dyDescent="0.25">
      <c r="A34" s="5" t="s">
        <v>13</v>
      </c>
      <c r="B34" s="6" t="s">
        <v>14</v>
      </c>
      <c r="C34" s="9" t="s">
        <v>185</v>
      </c>
      <c r="D34" s="5" t="s">
        <v>3</v>
      </c>
      <c r="E34" s="9" t="s">
        <v>186</v>
      </c>
      <c r="F34" s="9" t="s">
        <v>185</v>
      </c>
      <c r="G34" s="3">
        <v>523064.66666666669</v>
      </c>
      <c r="H34" s="3">
        <v>1374266.6666666667</v>
      </c>
      <c r="I34" s="3">
        <v>3.3972859999999998</v>
      </c>
      <c r="J34" s="2">
        <v>-1.0400241721421479</v>
      </c>
    </row>
    <row r="35" spans="1:10" x14ac:dyDescent="0.25">
      <c r="A35" s="5" t="s">
        <v>194</v>
      </c>
      <c r="B35" s="6" t="s">
        <v>12</v>
      </c>
      <c r="C35" s="9" t="s">
        <v>185</v>
      </c>
      <c r="D35" s="5" t="s">
        <v>3</v>
      </c>
      <c r="E35" s="9" t="s">
        <v>186</v>
      </c>
      <c r="F35" s="9" t="s">
        <v>185</v>
      </c>
      <c r="G35" s="3">
        <v>521397</v>
      </c>
      <c r="H35" s="3">
        <v>1372600</v>
      </c>
      <c r="I35" s="3">
        <v>6.4874039999999997</v>
      </c>
      <c r="J35" s="2">
        <v>-1.0400241721421479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CAD5-E641-4C24-BCCC-C0DA770BECF4}">
  <dimension ref="A1:AG100"/>
  <sheetViews>
    <sheetView topLeftCell="A14" zoomScaleNormal="100" workbookViewId="0">
      <selection activeCell="T117" sqref="T117"/>
    </sheetView>
  </sheetViews>
  <sheetFormatPr defaultRowHeight="15" x14ac:dyDescent="0.25"/>
  <cols>
    <col min="1" max="1" width="33.7109375" customWidth="1"/>
    <col min="2" max="2" width="9.140625" style="3" customWidth="1"/>
    <col min="3" max="3" width="5.5703125" style="3" customWidth="1"/>
    <col min="4" max="4" width="10" style="3" customWidth="1"/>
    <col min="5" max="5" width="5.5703125" customWidth="1"/>
    <col min="6" max="6" width="10.140625" style="3" customWidth="1"/>
    <col min="7" max="7" width="5.5703125" customWidth="1"/>
    <col min="8" max="8" width="9.140625" style="3" customWidth="1"/>
    <col min="9" max="9" width="5.5703125" customWidth="1"/>
    <col min="10" max="10" width="9.42578125" style="3" customWidth="1"/>
    <col min="11" max="11" width="5.5703125" style="3" customWidth="1"/>
    <col min="12" max="12" width="9.28515625" style="3" customWidth="1"/>
    <col min="13" max="13" width="5.5703125" style="3" customWidth="1"/>
    <col min="14" max="14" width="9.42578125" style="3" customWidth="1"/>
    <col min="15" max="15" width="5.5703125" customWidth="1"/>
    <col min="16" max="16" width="8" style="3" customWidth="1"/>
    <col min="17" max="17" width="26.28515625" style="3" customWidth="1"/>
    <col min="18" max="19" width="11.42578125" style="3" customWidth="1"/>
    <col min="20" max="20" width="31.140625" customWidth="1"/>
    <col min="21" max="21" width="16.85546875" style="3" customWidth="1"/>
    <col min="22" max="22" width="20.140625" customWidth="1"/>
    <col min="24" max="29" width="9.140625" style="9"/>
    <col min="30" max="30" width="12.85546875" style="9" customWidth="1"/>
    <col min="31" max="33" width="9.140625" style="9"/>
    <col min="36" max="36" width="17.140625" customWidth="1"/>
  </cols>
  <sheetData>
    <row r="1" spans="1:29" s="18" customFormat="1" ht="38.25" x14ac:dyDescent="0.2">
      <c r="A1" s="18" t="s">
        <v>175</v>
      </c>
      <c r="B1" s="18" t="s">
        <v>171</v>
      </c>
      <c r="C1" s="18" t="s">
        <v>222</v>
      </c>
      <c r="D1" s="18" t="s">
        <v>215</v>
      </c>
      <c r="E1" s="18" t="s">
        <v>221</v>
      </c>
      <c r="F1" s="18" t="s">
        <v>216</v>
      </c>
      <c r="G1" s="18" t="s">
        <v>223</v>
      </c>
      <c r="H1" s="18" t="s">
        <v>217</v>
      </c>
      <c r="I1" s="18" t="s">
        <v>224</v>
      </c>
      <c r="J1" s="18" t="s">
        <v>218</v>
      </c>
      <c r="K1" s="18" t="s">
        <v>225</v>
      </c>
      <c r="L1" s="18" t="s">
        <v>219</v>
      </c>
      <c r="M1" s="18" t="s">
        <v>227</v>
      </c>
      <c r="N1" s="18" t="s">
        <v>220</v>
      </c>
      <c r="O1" s="18" t="s">
        <v>226</v>
      </c>
      <c r="P1" s="18" t="s">
        <v>184</v>
      </c>
      <c r="Q1" s="18" t="s">
        <v>174</v>
      </c>
      <c r="R1" s="18" t="s">
        <v>78</v>
      </c>
      <c r="S1" s="18" t="s">
        <v>214</v>
      </c>
    </row>
    <row r="2" spans="1:29" hidden="1" x14ac:dyDescent="0.25">
      <c r="A2" s="4" t="s">
        <v>82</v>
      </c>
      <c r="B2" s="10">
        <v>94.91</v>
      </c>
      <c r="C2" s="10"/>
      <c r="D2" s="10">
        <f>_xlfn.IFNA(VLOOKUP(Table1[[#This Row],[STATION (current)]],AllP20!B$2:F$93,5,FALSE),"")</f>
        <v>94.91</v>
      </c>
      <c r="E2" s="10"/>
      <c r="F2" s="10">
        <f>_xlfn.IFNA(VLOOKUP(Table1[[#This Row],[STATION (current)]],AllP20!B$2:I$93,8,FALSE),"")</f>
        <v>95.127740000000003</v>
      </c>
      <c r="G2" s="10"/>
      <c r="H2" s="10">
        <f>_xlfn.IFNA(VLOOKUP(Table1[[#This Row],[STATION (current)]],AllP20!B$2:L$93,11,FALSE),"")</f>
        <v>95.398099999999999</v>
      </c>
      <c r="I2" s="10"/>
      <c r="J2" s="10">
        <f>_xlfn.IFNA(VLOOKUP(Table1[[#This Row],[STATION (current)]],AllP20!B$2:O$93,14,FALSE),"")</f>
        <v>95.559600000000003</v>
      </c>
      <c r="K2" s="10"/>
      <c r="L2" s="10">
        <f>_xlfn.IFNA(VLOOKUP(Table1[[#This Row],[STATION (current)]],AllP20!B$2:R$93,17,FALSE),"")</f>
        <v>95.605599999999995</v>
      </c>
      <c r="M2" s="10"/>
      <c r="N2" s="10">
        <f>_xlfn.IFNA(VLOOKUP(Table1[[#This Row],[STATION (current)]],AllP20!B$2:U$93,20,FALSE),"")</f>
        <v>95.586359999999999</v>
      </c>
      <c r="O2" s="10"/>
      <c r="P2" s="10"/>
      <c r="Q2" s="4"/>
      <c r="R2" s="10"/>
      <c r="S2" s="13"/>
      <c r="T2" s="13"/>
      <c r="U2" s="13"/>
      <c r="V2" s="13"/>
      <c r="W2" s="13"/>
      <c r="X2" s="13"/>
      <c r="Y2" s="13"/>
      <c r="Z2" s="13"/>
      <c r="AA2" s="13"/>
      <c r="AB2" s="13"/>
      <c r="AC2"/>
    </row>
    <row r="3" spans="1:29" hidden="1" x14ac:dyDescent="0.25">
      <c r="A3" s="4" t="s">
        <v>83</v>
      </c>
      <c r="B3" s="10">
        <v>95.045000000000002</v>
      </c>
      <c r="C3" s="10"/>
      <c r="D3" s="10">
        <f>_xlfn.IFNA(VLOOKUP(Table1[[#This Row],[STATION (current)]],AllP20!B$2:F$93,5,FALSE),"")</f>
        <v>95.068449999999999</v>
      </c>
      <c r="E3" s="10"/>
      <c r="F3" s="10">
        <f>_xlfn.IFNA(VLOOKUP(Table1[[#This Row],[STATION (current)]],AllP20!B$2:I$93,8,FALSE),"")</f>
        <v>95.186350000000004</v>
      </c>
      <c r="G3" s="10"/>
      <c r="H3" s="10">
        <f>_xlfn.IFNA(VLOOKUP(Table1[[#This Row],[STATION (current)]],AllP20!B$2:L$93,11,FALSE),"")</f>
        <v>95.329610000000002</v>
      </c>
      <c r="I3" s="10"/>
      <c r="J3" s="10">
        <f>_xlfn.IFNA(VLOOKUP(Table1[[#This Row],[STATION (current)]],AllP20!B$2:O$93,14,FALSE),"")</f>
        <v>95.427890000000005</v>
      </c>
      <c r="K3" s="10"/>
      <c r="L3" s="10">
        <f>_xlfn.IFNA(VLOOKUP(Table1[[#This Row],[STATION (current)]],AllP20!B$2:R$93,17,FALSE),"")</f>
        <v>95.55968</v>
      </c>
      <c r="M3" s="10"/>
      <c r="N3" s="10">
        <f>_xlfn.IFNA(VLOOKUP(Table1[[#This Row],[STATION (current)]],AllP20!B$2:U$93,20,FALSE),"")</f>
        <v>95.505219999999994</v>
      </c>
      <c r="O3" s="10"/>
      <c r="P3" s="10"/>
      <c r="Q3" s="4"/>
      <c r="R3" s="10"/>
      <c r="S3" s="13"/>
      <c r="T3" s="13"/>
      <c r="U3" s="13"/>
      <c r="V3" s="13"/>
      <c r="W3" s="13"/>
      <c r="X3" s="13"/>
      <c r="Y3" s="13"/>
      <c r="Z3" s="13"/>
      <c r="AA3" s="13"/>
      <c r="AB3" s="13"/>
      <c r="AC3"/>
    </row>
    <row r="4" spans="1:29" hidden="1" x14ac:dyDescent="0.25">
      <c r="A4" s="4" t="s">
        <v>84</v>
      </c>
      <c r="B4" s="10">
        <v>94.93</v>
      </c>
      <c r="C4" s="10"/>
      <c r="D4" s="10">
        <f>_xlfn.IFNA(VLOOKUP(Table1[[#This Row],[STATION (current)]],AllP20!B$2:F$93,5,FALSE),"")</f>
        <v>95.04</v>
      </c>
      <c r="E4" s="10"/>
      <c r="F4" s="10">
        <f>_xlfn.IFNA(VLOOKUP(Table1[[#This Row],[STATION (current)]],AllP20!B$2:I$93,8,FALSE),"")</f>
        <v>95.21</v>
      </c>
      <c r="G4" s="10"/>
      <c r="H4" s="10">
        <f>_xlfn.IFNA(VLOOKUP(Table1[[#This Row],[STATION (current)]],AllP20!B$2:L$93,11,FALSE),"")</f>
        <v>95.32</v>
      </c>
      <c r="I4" s="10"/>
      <c r="J4" s="10">
        <f>_xlfn.IFNA(VLOOKUP(Table1[[#This Row],[STATION (current)]],AllP20!B$2:O$93,14,FALSE),"")</f>
        <v>95.46</v>
      </c>
      <c r="K4" s="10"/>
      <c r="L4" s="10">
        <f>_xlfn.IFNA(VLOOKUP(Table1[[#This Row],[STATION (current)]],AllP20!B$2:R$93,17,FALSE),"")</f>
        <v>95.59</v>
      </c>
      <c r="M4" s="10"/>
      <c r="N4" s="10">
        <f>_xlfn.IFNA(VLOOKUP(Table1[[#This Row],[STATION (current)]],AllP20!B$2:U$93,20,FALSE),"")</f>
        <v>95.57</v>
      </c>
      <c r="O4" s="10"/>
      <c r="P4" s="10"/>
      <c r="Q4" s="4"/>
      <c r="R4" s="10"/>
      <c r="S4" s="13"/>
      <c r="T4" s="13"/>
      <c r="U4" s="13"/>
      <c r="V4" s="13"/>
      <c r="W4" s="13"/>
      <c r="X4" s="13"/>
      <c r="Y4" s="13"/>
      <c r="Z4" s="13"/>
      <c r="AA4" s="13"/>
      <c r="AB4" s="13"/>
      <c r="AC4"/>
    </row>
    <row r="5" spans="1:29" x14ac:dyDescent="0.25">
      <c r="A5" s="4" t="s">
        <v>85</v>
      </c>
      <c r="B5" s="14">
        <f>_xlfn.IFNA(VLOOKUP(Table1[[#This Row],[STATION (current)]],AllP20!B$2:C$93,2,FALSE),"")</f>
        <v>89.299390000000002</v>
      </c>
      <c r="C5" s="15">
        <f>IFERROR(Table1[[#This Row],[2011_P20]]-Table1[[#This Row],[OldP80@NAVD]],"")</f>
        <v>0.11939000000000988</v>
      </c>
      <c r="D5" s="10">
        <f>_xlfn.IFNA(VLOOKUP(Table1[[#This Row],[STATION (current)]],AllP20!B$2:F$93,5,FALSE),"")</f>
        <v>89.415199999999999</v>
      </c>
      <c r="E5" s="10">
        <f>IFERROR(Table1[[#This Row],[2012_P20]]-Table1[[#This Row],[OldP80@NAVD]],"")</f>
        <v>0.23520000000000607</v>
      </c>
      <c r="F5" s="14">
        <f>_xlfn.IFNA(VLOOKUP(Table1[[#This Row],[STATION (current)]],AllP20!B$2:I$93,8,FALSE),"")</f>
        <v>89.573629999999994</v>
      </c>
      <c r="G5" s="10">
        <f>IFERROR(Table1[[#This Row],[2013_P20]]-Table1[[#This Row],[OldP80@NAVD]],"")</f>
        <v>0.3936300000000017</v>
      </c>
      <c r="H5" s="10">
        <f>_xlfn.IFNA(VLOOKUP(Table1[[#This Row],[STATION (current)]],AllP20!B$2:L$93,11,FALSE),"")</f>
        <v>89.702060000000003</v>
      </c>
      <c r="I5" s="10">
        <f>IFERROR(Table1[[#This Row],[2014_P20]]-Table1[[#This Row],[OldP80@NAVD]],"")</f>
        <v>0.5220600000000104</v>
      </c>
      <c r="J5" s="14">
        <f>_xlfn.IFNA(VLOOKUP(Table1[[#This Row],[STATION (current)]],AllP20!B$2:O$93,14,FALSE),"")</f>
        <v>89.883229999999998</v>
      </c>
      <c r="K5" s="10">
        <f>IFERROR(Table1[[#This Row],[2015_P20]]-Table1[[#This Row],[OldP80@NAVD]],"")</f>
        <v>0.70323000000000491</v>
      </c>
      <c r="L5" s="10">
        <f>_xlfn.IFNA(VLOOKUP(Table1[[#This Row],[STATION (current)]],AllP20!B$2:R$93,17,FALSE),"")</f>
        <v>90.124120000000005</v>
      </c>
      <c r="M5" s="10">
        <f>IFERROR(Table1[[#This Row],[2016_P20]]-Table1[[#This Row],[OldP80@NAVD]],"")</f>
        <v>0.94412000000001228</v>
      </c>
      <c r="N5" s="14">
        <f>_xlfn.IFNA(VLOOKUP(Table1[[#This Row],[STATION (current)]],AllP20!B$2:U$93,20,FALSE),"")</f>
        <v>90.154660000000007</v>
      </c>
      <c r="O5" s="10">
        <f>IFERROR(Table1[[#This Row],[2017_P20]]-Table1[[#This Row],[OldP80@NAVD]],"")</f>
        <v>0.97466000000001429</v>
      </c>
      <c r="P5" s="25">
        <v>-0.78</v>
      </c>
      <c r="Q5" s="4" t="s">
        <v>61</v>
      </c>
      <c r="R5" s="10">
        <v>89.96</v>
      </c>
      <c r="S5" s="13">
        <f>Table1[[#This Row],[P80NGVD]]+Table1[[#This Row],[shift]]</f>
        <v>89.179999999999993</v>
      </c>
      <c r="T5" s="13"/>
      <c r="U5" s="13"/>
      <c r="V5" s="13"/>
      <c r="W5" s="13"/>
      <c r="X5" s="13"/>
      <c r="Y5" s="13"/>
      <c r="Z5" s="13"/>
      <c r="AA5" s="13"/>
      <c r="AB5" s="13"/>
      <c r="AC5"/>
    </row>
    <row r="6" spans="1:29" hidden="1" x14ac:dyDescent="0.25">
      <c r="A6" s="4" t="s">
        <v>86</v>
      </c>
      <c r="B6" s="10">
        <v>88.511349999999993</v>
      </c>
      <c r="C6" s="15"/>
      <c r="D6" s="10">
        <f>_xlfn.IFNA(VLOOKUP(Table1[[#This Row],[STATION (current)]],AllP20!B$2:F$93,5,FALSE),"")</f>
        <v>88.45</v>
      </c>
      <c r="E6" s="10"/>
      <c r="F6" s="10">
        <f>_xlfn.IFNA(VLOOKUP(Table1[[#This Row],[STATION (current)]],AllP20!B$2:I$93,8,FALSE),"")</f>
        <v>88.486909999999995</v>
      </c>
      <c r="G6" s="10"/>
      <c r="H6" s="10">
        <f>_xlfn.IFNA(VLOOKUP(Table1[[#This Row],[STATION (current)]],AllP20!B$2:L$93,11,FALSE),"")</f>
        <v>88.548150000000007</v>
      </c>
      <c r="I6" s="10"/>
      <c r="J6" s="10">
        <f>_xlfn.IFNA(VLOOKUP(Table1[[#This Row],[STATION (current)]],AllP20!B$2:O$93,14,FALSE),"")</f>
        <v>88.614289999999997</v>
      </c>
      <c r="K6" s="10"/>
      <c r="L6" s="10">
        <f>_xlfn.IFNA(VLOOKUP(Table1[[#This Row],[STATION (current)]],AllP20!B$2:R$93,17,FALSE),"")</f>
        <v>88.702619999999996</v>
      </c>
      <c r="M6" s="10"/>
      <c r="N6" s="10">
        <f>_xlfn.IFNA(VLOOKUP(Table1[[#This Row],[STATION (current)]],AllP20!B$2:U$93,20,FALSE),"")</f>
        <v>88.778940000000006</v>
      </c>
      <c r="O6" s="10"/>
      <c r="P6" s="10"/>
      <c r="Q6" s="4"/>
      <c r="R6" s="10"/>
      <c r="S6" s="13"/>
      <c r="T6" s="13"/>
      <c r="U6" s="13"/>
      <c r="V6" s="13"/>
      <c r="W6" s="13"/>
      <c r="X6" s="13"/>
      <c r="Y6" s="13"/>
      <c r="Z6" s="13"/>
      <c r="AA6" s="13"/>
      <c r="AB6" s="13"/>
      <c r="AC6"/>
    </row>
    <row r="7" spans="1:29" x14ac:dyDescent="0.25">
      <c r="A7" s="4" t="s">
        <v>87</v>
      </c>
      <c r="B7" s="14">
        <f>_xlfn.IFNA(VLOOKUP(Table1[[#This Row],[STATION (current)]],AllP20!B$2:C$93,2,FALSE),"")</f>
        <v>112.94710000000001</v>
      </c>
      <c r="C7" s="15">
        <f>IFERROR(Table1[[#This Row],[2011_P20]]-Table1[[#This Row],[OldP80@NAVD]],"")</f>
        <v>-1.6602475751426482E-2</v>
      </c>
      <c r="D7" s="10">
        <f>_xlfn.IFNA(VLOOKUP(Table1[[#This Row],[STATION (current)]],AllP20!B$2:F$93,5,FALSE),"")</f>
        <v>113.0759</v>
      </c>
      <c r="E7" s="10">
        <f>IFERROR(Table1[[#This Row],[2012_P20]]-Table1[[#This Row],[OldP80@NAVD]],"")</f>
        <v>0.11219752424857177</v>
      </c>
      <c r="F7" s="14">
        <f>_xlfn.IFNA(VLOOKUP(Table1[[#This Row],[STATION (current)]],AllP20!B$2:I$93,8,FALSE),"")</f>
        <v>113.34028000000001</v>
      </c>
      <c r="G7" s="10">
        <f>IFERROR(Table1[[#This Row],[2013_P20]]-Table1[[#This Row],[OldP80@NAVD]],"")</f>
        <v>0.37657752424857449</v>
      </c>
      <c r="H7" s="10">
        <f>_xlfn.IFNA(VLOOKUP(Table1[[#This Row],[STATION (current)]],AllP20!B$2:L$93,11,FALSE),"")</f>
        <v>113.62773</v>
      </c>
      <c r="I7" s="10">
        <f>IFERROR(Table1[[#This Row],[2014_P20]]-Table1[[#This Row],[OldP80@NAVD]],"")</f>
        <v>0.66402752424856715</v>
      </c>
      <c r="J7" s="14">
        <f>_xlfn.IFNA(VLOOKUP(Table1[[#This Row],[STATION (current)]],AllP20!B$2:O$93,14,FALSE),"")</f>
        <v>114.28523</v>
      </c>
      <c r="K7" s="10">
        <f>IFERROR(Table1[[#This Row],[2015_P20]]-Table1[[#This Row],[OldP80@NAVD]],"")</f>
        <v>1.321527524248566</v>
      </c>
      <c r="L7" s="10">
        <f>_xlfn.IFNA(VLOOKUP(Table1[[#This Row],[STATION (current)]],AllP20!B$2:R$93,17,FALSE),"")</f>
        <v>114.81497</v>
      </c>
      <c r="M7" s="10">
        <f>IFERROR(Table1[[#This Row],[2016_P20]]-Table1[[#This Row],[OldP80@NAVD]],"")</f>
        <v>1.8512675242485699</v>
      </c>
      <c r="N7" s="14">
        <f>_xlfn.IFNA(VLOOKUP(Table1[[#This Row],[STATION (current)]],AllP20!B$2:U$93,20,FALSE),"")</f>
        <v>114.88827000000001</v>
      </c>
      <c r="O7" s="10">
        <f>IFERROR(Table1[[#This Row],[2017_P20]]-Table1[[#This Row],[OldP80@NAVD]],"")</f>
        <v>1.9245675242485731</v>
      </c>
      <c r="P7" s="2">
        <v>-0.8562975242485602</v>
      </c>
      <c r="Q7" s="4" t="s">
        <v>32</v>
      </c>
      <c r="R7" s="10">
        <v>113.82</v>
      </c>
      <c r="S7" s="13">
        <f>Table1[[#This Row],[P80NGVD]]+Table1[[#This Row],[shift]]</f>
        <v>112.96370247575143</v>
      </c>
      <c r="T7" s="13"/>
      <c r="U7" s="13"/>
      <c r="V7" s="13"/>
      <c r="W7" s="13"/>
      <c r="X7" s="13"/>
      <c r="Y7" s="13"/>
      <c r="Z7" s="13"/>
      <c r="AA7" s="13"/>
      <c r="AB7" s="13"/>
      <c r="AC7"/>
    </row>
    <row r="8" spans="1:29" x14ac:dyDescent="0.25">
      <c r="A8" s="4"/>
      <c r="B8" s="14" t="str">
        <f>_xlfn.IFNA(VLOOKUP(Table1[[#This Row],[STATION (current)]],AllP20!B$2:C$93,2,FALSE),"")</f>
        <v/>
      </c>
      <c r="C8" s="15"/>
      <c r="D8" s="10" t="str">
        <f>_xlfn.IFNA(VLOOKUP(Table1[[#This Row],[STATION (current)]],AllP20!B$2:F$93,5,FALSE),"")</f>
        <v/>
      </c>
      <c r="E8" s="10" t="str">
        <f>IFERROR(Table1[[#This Row],[2012_P20]]-Table1[[#This Row],[OldP80@NAVD]],"")</f>
        <v/>
      </c>
      <c r="F8" s="14" t="str">
        <f>_xlfn.IFNA(VLOOKUP(Table1[[#This Row],[STATION (current)]],AllP20!B$2:I$93,8,FALSE),"")</f>
        <v/>
      </c>
      <c r="G8" s="10" t="str">
        <f>IFERROR(Table1[[#This Row],[2013_P20]]-Table1[[#This Row],[OldP80@NAVD]],"")</f>
        <v/>
      </c>
      <c r="H8" s="10" t="str">
        <f>_xlfn.IFNA(VLOOKUP(Table1[[#This Row],[STATION (current)]],AllP20!B$2:L$93,11,FALSE),"")</f>
        <v/>
      </c>
      <c r="I8" s="10" t="str">
        <f>IFERROR(Table1[[#This Row],[2014_P20]]-Table1[[#This Row],[OldP80@NAVD]],"")</f>
        <v/>
      </c>
      <c r="J8" s="14" t="str">
        <f>_xlfn.IFNA(VLOOKUP(Table1[[#This Row],[STATION (current)]],AllP20!B$2:O$93,14,FALSE),"")</f>
        <v/>
      </c>
      <c r="K8" s="10" t="str">
        <f>IFERROR(Table1[[#This Row],[2015_P20]]-Table1[[#This Row],[OldP80@NAVD]],"")</f>
        <v/>
      </c>
      <c r="L8" s="10" t="str">
        <f>_xlfn.IFNA(VLOOKUP(Table1[[#This Row],[STATION (current)]],AllP20!B$2:R$93,17,FALSE),"")</f>
        <v/>
      </c>
      <c r="M8" s="10" t="str">
        <f>IFERROR(Table1[[#This Row],[2016_P20]]-Table1[[#This Row],[OldP80@NAVD]],"")</f>
        <v/>
      </c>
      <c r="N8" s="14" t="str">
        <f>_xlfn.IFNA(VLOOKUP(Table1[[#This Row],[STATION (current)]],AllP20!B$2:U$93,20,FALSE),"")</f>
        <v/>
      </c>
      <c r="O8" s="10" t="str">
        <f>IFERROR(Table1[[#This Row],[2017_P20]]-Table1[[#This Row],[OldP80@NAVD]],"")</f>
        <v/>
      </c>
      <c r="P8" s="25">
        <v>-1.1499999999999999</v>
      </c>
      <c r="Q8" s="4" t="s">
        <v>46</v>
      </c>
      <c r="R8" s="10">
        <v>89.29</v>
      </c>
      <c r="S8" s="13">
        <f>Table1[[#This Row],[P80NGVD]]+Table1[[#This Row],[shift]]</f>
        <v>88.14</v>
      </c>
      <c r="T8" s="13"/>
      <c r="U8" s="13"/>
      <c r="V8" s="13"/>
      <c r="W8" s="13"/>
      <c r="X8" s="13"/>
      <c r="Y8" s="13"/>
      <c r="Z8" s="13"/>
      <c r="AA8" s="13"/>
      <c r="AB8" s="13"/>
      <c r="AC8"/>
    </row>
    <row r="9" spans="1:29" x14ac:dyDescent="0.25">
      <c r="A9" s="4"/>
      <c r="B9" s="14" t="str">
        <f>_xlfn.IFNA(VLOOKUP(Table1[[#This Row],[STATION (current)]],AllP20!B$2:C$93,2,FALSE),"")</f>
        <v/>
      </c>
      <c r="C9" s="15"/>
      <c r="D9" s="10" t="str">
        <f>_xlfn.IFNA(VLOOKUP(Table1[[#This Row],[STATION (current)]],AllP20!B$2:F$93,5,FALSE),"")</f>
        <v/>
      </c>
      <c r="E9" s="10" t="str">
        <f>IFERROR(Table1[[#This Row],[2012_P20]]-Table1[[#This Row],[OldP80@NAVD]],"")</f>
        <v/>
      </c>
      <c r="F9" s="14" t="str">
        <f>_xlfn.IFNA(VLOOKUP(Table1[[#This Row],[STATION (current)]],AllP20!B$2:I$93,8,FALSE),"")</f>
        <v/>
      </c>
      <c r="G9" s="10" t="str">
        <f>IFERROR(Table1[[#This Row],[2013_P20]]-Table1[[#This Row],[OldP80@NAVD]],"")</f>
        <v/>
      </c>
      <c r="H9" s="10" t="str">
        <f>_xlfn.IFNA(VLOOKUP(Table1[[#This Row],[STATION (current)]],AllP20!B$2:L$93,11,FALSE),"")</f>
        <v/>
      </c>
      <c r="I9" s="10" t="str">
        <f>IFERROR(Table1[[#This Row],[2014_P20]]-Table1[[#This Row],[OldP80@NAVD]],"")</f>
        <v/>
      </c>
      <c r="J9" s="14" t="str">
        <f>_xlfn.IFNA(VLOOKUP(Table1[[#This Row],[STATION (current)]],AllP20!B$2:O$93,14,FALSE),"")</f>
        <v/>
      </c>
      <c r="K9" s="10" t="str">
        <f>IFERROR(Table1[[#This Row],[2015_P20]]-Table1[[#This Row],[OldP80@NAVD]],"")</f>
        <v/>
      </c>
      <c r="L9" s="10" t="str">
        <f>_xlfn.IFNA(VLOOKUP(Table1[[#This Row],[STATION (current)]],AllP20!B$2:R$93,17,FALSE),"")</f>
        <v/>
      </c>
      <c r="M9" s="10" t="str">
        <f>IFERROR(Table1[[#This Row],[2016_P20]]-Table1[[#This Row],[OldP80@NAVD]],"")</f>
        <v/>
      </c>
      <c r="N9" s="14" t="str">
        <f>_xlfn.IFNA(VLOOKUP(Table1[[#This Row],[STATION (current)]],AllP20!B$2:U$93,20,FALSE),"")</f>
        <v/>
      </c>
      <c r="O9" s="10" t="str">
        <f>IFERROR(Table1[[#This Row],[2017_P20]]-Table1[[#This Row],[OldP80@NAVD]],"")</f>
        <v/>
      </c>
      <c r="P9" s="25">
        <v>-1.42</v>
      </c>
      <c r="Q9" s="4" t="s">
        <v>55</v>
      </c>
      <c r="R9" s="10">
        <v>89.87</v>
      </c>
      <c r="S9" s="13">
        <f>Table1[[#This Row],[P80NGVD]]+Table1[[#This Row],[shift]]</f>
        <v>88.45</v>
      </c>
      <c r="T9" s="13"/>
      <c r="U9" s="13"/>
      <c r="V9" s="13"/>
      <c r="W9" s="13"/>
      <c r="X9" s="13"/>
      <c r="Y9" s="13"/>
      <c r="Z9" s="13"/>
      <c r="AA9" s="13"/>
      <c r="AB9" s="13"/>
      <c r="AC9"/>
    </row>
    <row r="10" spans="1:29" x14ac:dyDescent="0.25">
      <c r="A10" s="4" t="s">
        <v>96</v>
      </c>
      <c r="B10" s="14">
        <f>_xlfn.IFNA(VLOOKUP(Table1[[#This Row],[STATION (current)]],AllP20!B$2:C$93,2,FALSE),"")</f>
        <v>81.811120000000003</v>
      </c>
      <c r="C10" s="15">
        <f>IFERROR(Table1[[#This Row],[2011_P20]]-Table1[[#This Row],[OldP80@NAVD]],"")</f>
        <v>3.0383355235258591E-2</v>
      </c>
      <c r="D10" s="10">
        <f>_xlfn.IFNA(VLOOKUP(Table1[[#This Row],[STATION (current)]],AllP20!B$2:F$93,5,FALSE),"")</f>
        <v>81.718159999999997</v>
      </c>
      <c r="E10" s="10">
        <f>IFERROR(Table1[[#This Row],[2012_P20]]-Table1[[#This Row],[OldP80@NAVD]],"")</f>
        <v>-6.2576644764746447E-2</v>
      </c>
      <c r="F10" s="14">
        <f>_xlfn.IFNA(VLOOKUP(Table1[[#This Row],[STATION (current)]],AllP20!B$2:I$93,8,FALSE),"")</f>
        <v>81.615669999999994</v>
      </c>
      <c r="G10" s="10">
        <f>IFERROR(Table1[[#This Row],[2013_P20]]-Table1[[#This Row],[OldP80@NAVD]],"")</f>
        <v>-0.16506664476474953</v>
      </c>
      <c r="H10" s="10">
        <f>_xlfn.IFNA(VLOOKUP(Table1[[#This Row],[STATION (current)]],AllP20!B$2:L$93,11,FALSE),"")</f>
        <v>81.611639999999994</v>
      </c>
      <c r="I10" s="10">
        <f>IFERROR(Table1[[#This Row],[2014_P20]]-Table1[[#This Row],[OldP80@NAVD]],"")</f>
        <v>-0.16909664476474973</v>
      </c>
      <c r="J10" s="14">
        <f>_xlfn.IFNA(VLOOKUP(Table1[[#This Row],[STATION (current)]],AllP20!B$2:O$93,14,FALSE),"")</f>
        <v>81.613219999999998</v>
      </c>
      <c r="K10" s="10">
        <f>IFERROR(Table1[[#This Row],[2015_P20]]-Table1[[#This Row],[OldP80@NAVD]],"")</f>
        <v>-0.16751664476474559</v>
      </c>
      <c r="L10" s="10">
        <f>_xlfn.IFNA(VLOOKUP(Table1[[#This Row],[STATION (current)]],AllP20!B$2:R$93,17,FALSE),"")</f>
        <v>81.667150000000007</v>
      </c>
      <c r="M10" s="10">
        <f>IFERROR(Table1[[#This Row],[2016_P20]]-Table1[[#This Row],[OldP80@NAVD]],"")</f>
        <v>-0.11358664476473734</v>
      </c>
      <c r="N10" s="14">
        <f>_xlfn.IFNA(VLOOKUP(Table1[[#This Row],[STATION (current)]],AllP20!B$2:U$93,20,FALSE),"")</f>
        <v>81.667150000000007</v>
      </c>
      <c r="O10" s="10">
        <f>IFERROR(Table1[[#This Row],[2017_P20]]-Table1[[#This Row],[OldP80@NAVD]],"")</f>
        <v>-0.11358664476473734</v>
      </c>
      <c r="P10" s="2">
        <v>-0.87926335523525867</v>
      </c>
      <c r="Q10" s="4" t="s">
        <v>66</v>
      </c>
      <c r="R10" s="10">
        <v>82.66</v>
      </c>
      <c r="S10" s="13">
        <f>Table1[[#This Row],[P80NGVD]]+Table1[[#This Row],[shift]]</f>
        <v>81.780736644764744</v>
      </c>
      <c r="T10" s="13"/>
      <c r="U10" s="13"/>
      <c r="V10" s="13"/>
      <c r="W10" s="13"/>
      <c r="X10" s="13"/>
      <c r="Y10" s="13"/>
      <c r="Z10" s="13"/>
      <c r="AA10" s="13"/>
      <c r="AB10" s="13"/>
      <c r="AC10"/>
    </row>
    <row r="11" spans="1:29" x14ac:dyDescent="0.25">
      <c r="A11" s="4" t="s">
        <v>98</v>
      </c>
      <c r="B11" s="14">
        <f>_xlfn.IFNA(VLOOKUP(Table1[[#This Row],[STATION (current)]],AllP20!B$2:C$93,2,FALSE),"")</f>
        <v>114.14001</v>
      </c>
      <c r="C11" s="15">
        <f>IFERROR(Table1[[#This Row],[2011_P20]]-Table1[[#This Row],[OldP80@NAVD]],"")</f>
        <v>5.0010000000000332E-2</v>
      </c>
      <c r="D11" s="10">
        <f>_xlfn.IFNA(VLOOKUP(Table1[[#This Row],[STATION (current)]],AllP20!B$2:F$93,5,FALSE),"")</f>
        <v>113.86086</v>
      </c>
      <c r="E11" s="10">
        <f>IFERROR(Table1[[#This Row],[2012_P20]]-Table1[[#This Row],[OldP80@NAVD]],"")</f>
        <v>-0.22914000000000101</v>
      </c>
      <c r="F11" s="14">
        <f>_xlfn.IFNA(VLOOKUP(Table1[[#This Row],[STATION (current)]],AllP20!B$2:I$93,8,FALSE),"")</f>
        <v>113.75</v>
      </c>
      <c r="G11" s="10">
        <f>IFERROR(Table1[[#This Row],[2013_P20]]-Table1[[#This Row],[OldP80@NAVD]],"")</f>
        <v>-0.34000000000000341</v>
      </c>
      <c r="H11" s="10">
        <f>_xlfn.IFNA(VLOOKUP(Table1[[#This Row],[STATION (current)]],AllP20!B$2:L$93,11,FALSE),"")</f>
        <v>113.86429</v>
      </c>
      <c r="I11" s="10">
        <f>IFERROR(Table1[[#This Row],[2014_P20]]-Table1[[#This Row],[OldP80@NAVD]],"")</f>
        <v>-0.22571000000000652</v>
      </c>
      <c r="J11" s="14">
        <f>_xlfn.IFNA(VLOOKUP(Table1[[#This Row],[STATION (current)]],AllP20!B$2:O$93,14,FALSE),"")</f>
        <v>113.96</v>
      </c>
      <c r="K11" s="10">
        <f>IFERROR(Table1[[#This Row],[2015_P20]]-Table1[[#This Row],[OldP80@NAVD]],"")</f>
        <v>-0.13000000000000966</v>
      </c>
      <c r="L11" s="10">
        <f>_xlfn.IFNA(VLOOKUP(Table1[[#This Row],[STATION (current)]],AllP20!B$2:R$93,17,FALSE),"")</f>
        <v>114.06071</v>
      </c>
      <c r="M11" s="10">
        <f>IFERROR(Table1[[#This Row],[2016_P20]]-Table1[[#This Row],[OldP80@NAVD]],"")</f>
        <v>-2.9290000000003147E-2</v>
      </c>
      <c r="N11" s="14">
        <f>_xlfn.IFNA(VLOOKUP(Table1[[#This Row],[STATION (current)]],AllP20!B$2:U$93,20,FALSE),"")</f>
        <v>114.15705</v>
      </c>
      <c r="O11" s="10">
        <f>IFERROR(Table1[[#This Row],[2017_P20]]-Table1[[#This Row],[OldP80@NAVD]],"")</f>
        <v>6.7049999999994725E-2</v>
      </c>
      <c r="P11" s="25">
        <v>-1.03</v>
      </c>
      <c r="Q11" s="4" t="s">
        <v>62</v>
      </c>
      <c r="R11" s="10">
        <v>115.12</v>
      </c>
      <c r="S11" s="13">
        <f>Table1[[#This Row],[P80NGVD]]+Table1[[#This Row],[shift]]</f>
        <v>114.09</v>
      </c>
      <c r="T11" s="13"/>
      <c r="U11" s="13"/>
      <c r="V11" s="13"/>
      <c r="W11" s="13"/>
      <c r="X11" s="13"/>
      <c r="Y11" s="13"/>
      <c r="Z11" s="13"/>
      <c r="AA11" s="13"/>
      <c r="AB11" s="13"/>
      <c r="AC11"/>
    </row>
    <row r="12" spans="1:29" x14ac:dyDescent="0.25">
      <c r="A12" s="4" t="s">
        <v>88</v>
      </c>
      <c r="B12" s="14">
        <f>_xlfn.IFNA(VLOOKUP(Table1[[#This Row],[STATION (current)]],AllP20!B$2:C$93,2,FALSE),"")</f>
        <v>63.757669999999997</v>
      </c>
      <c r="C12" s="15">
        <f>IFERROR(Table1[[#This Row],[2011_P20]]-Table1[[#This Row],[OldP80@NAVD]],"")</f>
        <v>-0.53233000000000885</v>
      </c>
      <c r="D12" s="10">
        <f>_xlfn.IFNA(VLOOKUP(Table1[[#This Row],[STATION (current)]],AllP20!B$2:F$93,5,FALSE),"")</f>
        <v>63.757669999999997</v>
      </c>
      <c r="E12" s="10">
        <f>IFERROR(Table1[[#This Row],[2012_P20]]-Table1[[#This Row],[OldP80@NAVD]],"")</f>
        <v>-0.53233000000000885</v>
      </c>
      <c r="F12" s="14">
        <f>_xlfn.IFNA(VLOOKUP(Table1[[#This Row],[STATION (current)]],AllP20!B$2:I$93,8,FALSE),"")</f>
        <v>63.757669999999997</v>
      </c>
      <c r="G12" s="10">
        <f>IFERROR(Table1[[#This Row],[2013_P20]]-Table1[[#This Row],[OldP80@NAVD]],"")</f>
        <v>-0.53233000000000885</v>
      </c>
      <c r="H12" s="10">
        <f>_xlfn.IFNA(VLOOKUP(Table1[[#This Row],[STATION (current)]],AllP20!B$2:L$93,11,FALSE),"")</f>
        <v>63.757669999999997</v>
      </c>
      <c r="I12" s="10">
        <f>IFERROR(Table1[[#This Row],[2014_P20]]-Table1[[#This Row],[OldP80@NAVD]],"")</f>
        <v>-0.53233000000000885</v>
      </c>
      <c r="J12" s="14">
        <f>_xlfn.IFNA(VLOOKUP(Table1[[#This Row],[STATION (current)]],AllP20!B$2:O$93,14,FALSE),"")</f>
        <v>63.757669999999997</v>
      </c>
      <c r="K12" s="10">
        <f>IFERROR(Table1[[#This Row],[2015_P20]]-Table1[[#This Row],[OldP80@NAVD]],"")</f>
        <v>-0.53233000000000885</v>
      </c>
      <c r="L12" s="10">
        <f>_xlfn.IFNA(VLOOKUP(Table1[[#This Row],[STATION (current)]],AllP20!B$2:R$93,17,FALSE),"")</f>
        <v>63.757669999999997</v>
      </c>
      <c r="M12" s="10">
        <f>IFERROR(Table1[[#This Row],[2016_P20]]-Table1[[#This Row],[OldP80@NAVD]],"")</f>
        <v>-0.53233000000000885</v>
      </c>
      <c r="N12" s="14">
        <f>_xlfn.IFNA(VLOOKUP(Table1[[#This Row],[STATION (current)]],AllP20!B$2:U$93,20,FALSE),"")</f>
        <v>63.757669999999997</v>
      </c>
      <c r="O12" s="10">
        <f>IFERROR(Table1[[#This Row],[2017_P20]]-Table1[[#This Row],[OldP80@NAVD]],"")</f>
        <v>-0.53233000000000885</v>
      </c>
      <c r="P12" s="25">
        <v>-0.8</v>
      </c>
      <c r="Q12" s="4" t="s">
        <v>36</v>
      </c>
      <c r="R12" s="10">
        <v>65.09</v>
      </c>
      <c r="S12" s="13">
        <f>Table1[[#This Row],[P80NGVD]]+Table1[[#This Row],[shift]]</f>
        <v>64.290000000000006</v>
      </c>
      <c r="T12" s="13"/>
      <c r="U12" s="13"/>
      <c r="V12" s="13"/>
      <c r="W12" s="13"/>
      <c r="X12" s="13"/>
      <c r="Y12" s="13"/>
      <c r="Z12" s="13"/>
      <c r="AA12" s="13"/>
      <c r="AB12" s="13"/>
      <c r="AC12"/>
    </row>
    <row r="13" spans="1:29" hidden="1" x14ac:dyDescent="0.25">
      <c r="A13" s="4" t="s">
        <v>91</v>
      </c>
      <c r="B13" s="10">
        <v>67.162570000000002</v>
      </c>
      <c r="C13" s="13"/>
      <c r="D13" s="10">
        <f>_xlfn.IFNA(VLOOKUP(Table1[[#This Row],[STATION (current)]],AllP20!B$2:F$93,5,FALSE),"")</f>
        <v>66.3386</v>
      </c>
      <c r="E13" s="10"/>
      <c r="F13" s="10">
        <f>_xlfn.IFNA(VLOOKUP(Table1[[#This Row],[STATION (current)]],AllP20!B$2:I$93,8,FALSE),"")</f>
        <v>66.789000000000001</v>
      </c>
      <c r="G13" s="10"/>
      <c r="H13" s="10">
        <f>_xlfn.IFNA(VLOOKUP(Table1[[#This Row],[STATION (current)]],AllP20!B$2:L$93,11,FALSE),"")</f>
        <v>67.504000000000005</v>
      </c>
      <c r="I13" s="10"/>
      <c r="J13" s="10">
        <f>_xlfn.IFNA(VLOOKUP(Table1[[#This Row],[STATION (current)]],AllP20!B$2:O$93,14,FALSE),"")</f>
        <v>68.124570000000006</v>
      </c>
      <c r="K13" s="10"/>
      <c r="L13" s="10">
        <f>_xlfn.IFNA(VLOOKUP(Table1[[#This Row],[STATION (current)]],AllP20!B$2:R$93,17,FALSE),"")</f>
        <v>68.229330000000004</v>
      </c>
      <c r="M13" s="10"/>
      <c r="N13" s="10">
        <f>_xlfn.IFNA(VLOOKUP(Table1[[#This Row],[STATION (current)]],AllP20!B$2:U$93,20,FALSE),"")</f>
        <v>67.21857</v>
      </c>
      <c r="O13" s="10"/>
      <c r="P13" s="10"/>
      <c r="Q13" s="4"/>
      <c r="R13" s="10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/>
    </row>
    <row r="14" spans="1:29" x14ac:dyDescent="0.25">
      <c r="A14" s="4" t="s">
        <v>92</v>
      </c>
      <c r="B14" s="14">
        <f>_xlfn.IFNA(VLOOKUP(Table1[[#This Row],[STATION (current)]],AllP20!B$2:C$93,2,FALSE),"")</f>
        <v>61.72</v>
      </c>
      <c r="C14" s="15">
        <f>IFERROR(Table1[[#This Row],[2011_P20]]-Table1[[#This Row],[OldP80@NAVD]],"")</f>
        <v>3.0000000000001137E-2</v>
      </c>
      <c r="D14" s="10">
        <f>_xlfn.IFNA(VLOOKUP(Table1[[#This Row],[STATION (current)]],AllP20!B$2:F$93,5,FALSE),"")</f>
        <v>61.61</v>
      </c>
      <c r="E14" s="10">
        <f>IFERROR(Table1[[#This Row],[2012_P20]]-Table1[[#This Row],[OldP80@NAVD]],"")</f>
        <v>-7.9999999999998295E-2</v>
      </c>
      <c r="F14" s="14">
        <f>_xlfn.IFNA(VLOOKUP(Table1[[#This Row],[STATION (current)]],AllP20!B$2:I$93,8,FALSE),"")</f>
        <v>61.61</v>
      </c>
      <c r="G14" s="10">
        <f>IFERROR(Table1[[#This Row],[2013_P20]]-Table1[[#This Row],[OldP80@NAVD]],"")</f>
        <v>-7.9999999999998295E-2</v>
      </c>
      <c r="H14" s="10">
        <f>_xlfn.IFNA(VLOOKUP(Table1[[#This Row],[STATION (current)]],AllP20!B$2:L$93,11,FALSE),"")</f>
        <v>61.61</v>
      </c>
      <c r="I14" s="10">
        <f>IFERROR(Table1[[#This Row],[2014_P20]]-Table1[[#This Row],[OldP80@NAVD]],"")</f>
        <v>-7.9999999999998295E-2</v>
      </c>
      <c r="J14" s="14">
        <f>_xlfn.IFNA(VLOOKUP(Table1[[#This Row],[STATION (current)]],AllP20!B$2:O$93,14,FALSE),"")</f>
        <v>61.61</v>
      </c>
      <c r="K14" s="10">
        <f>IFERROR(Table1[[#This Row],[2015_P20]]-Table1[[#This Row],[OldP80@NAVD]],"")</f>
        <v>-7.9999999999998295E-2</v>
      </c>
      <c r="L14" s="10">
        <f>_xlfn.IFNA(VLOOKUP(Table1[[#This Row],[STATION (current)]],AllP20!B$2:R$93,17,FALSE),"")</f>
        <v>61.61</v>
      </c>
      <c r="M14" s="10">
        <f>IFERROR(Table1[[#This Row],[2015_P20]]-Table1[[#This Row],[OldP80@NAVD]],"")</f>
        <v>-7.9999999999998295E-2</v>
      </c>
      <c r="N14" s="14">
        <f>_xlfn.IFNA(VLOOKUP(Table1[[#This Row],[STATION (current)]],AllP20!B$2:U$93,20,FALSE),"")</f>
        <v>61.61</v>
      </c>
      <c r="O14" s="10">
        <f>IFERROR(Table1[[#This Row],[2017_P20]]-Table1[[#This Row],[OldP80@NAVD]],"")</f>
        <v>-7.9999999999998295E-2</v>
      </c>
      <c r="P14" s="25">
        <v>-0.88</v>
      </c>
      <c r="Q14" s="4" t="s">
        <v>23</v>
      </c>
      <c r="R14" s="10">
        <v>62.57</v>
      </c>
      <c r="S14" s="13">
        <f>Table1[[#This Row],[P80NGVD]]+Table1[[#This Row],[shift]]</f>
        <v>61.69</v>
      </c>
      <c r="T14" s="13"/>
      <c r="U14" s="13"/>
      <c r="V14" s="13"/>
      <c r="W14" s="13"/>
      <c r="X14" s="13"/>
      <c r="Y14" s="13"/>
      <c r="Z14" s="13"/>
      <c r="AA14" s="13"/>
      <c r="AB14" s="13"/>
      <c r="AC14"/>
    </row>
    <row r="15" spans="1:29" hidden="1" x14ac:dyDescent="0.25">
      <c r="A15" s="4" t="s">
        <v>93</v>
      </c>
      <c r="B15" s="10">
        <v>59.998190000000001</v>
      </c>
      <c r="C15" s="13"/>
      <c r="D15" s="10">
        <f>_xlfn.IFNA(VLOOKUP(Table1[[#This Row],[STATION (current)]],AllP20!B$2:F$93,5,FALSE),"")</f>
        <v>59.39114</v>
      </c>
      <c r="E15" s="10"/>
      <c r="F15" s="10">
        <f>_xlfn.IFNA(VLOOKUP(Table1[[#This Row],[STATION (current)]],AllP20!B$2:I$93,8,FALSE),"")</f>
        <v>59.395290000000003</v>
      </c>
      <c r="G15" s="10"/>
      <c r="H15" s="10">
        <f>_xlfn.IFNA(VLOOKUP(Table1[[#This Row],[STATION (current)]],AllP20!B$2:L$93,11,FALSE),"")</f>
        <v>59.71143</v>
      </c>
      <c r="I15" s="10"/>
      <c r="J15" s="10">
        <f>_xlfn.IFNA(VLOOKUP(Table1[[#This Row],[STATION (current)]],AllP20!B$2:O$93,14,FALSE),"")</f>
        <v>59.864359999999998</v>
      </c>
      <c r="K15" s="10"/>
      <c r="L15" s="10">
        <f>_xlfn.IFNA(VLOOKUP(Table1[[#This Row],[STATION (current)]],AllP20!B$2:R$93,17,FALSE),"")</f>
        <v>59.634</v>
      </c>
      <c r="M15" s="10"/>
      <c r="N15" s="10">
        <f>_xlfn.IFNA(VLOOKUP(Table1[[#This Row],[STATION (current)]],AllP20!B$2:U$93,20,FALSE),"")</f>
        <v>59.243859999999998</v>
      </c>
      <c r="O15" s="10"/>
      <c r="P15" s="10"/>
      <c r="Q15" s="4"/>
      <c r="R15" s="10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/>
    </row>
    <row r="16" spans="1:29" hidden="1" x14ac:dyDescent="0.25">
      <c r="A16" s="4" t="s">
        <v>94</v>
      </c>
      <c r="B16" s="10">
        <v>60.39714</v>
      </c>
      <c r="C16" s="13"/>
      <c r="D16" s="10">
        <f>_xlfn.IFNA(VLOOKUP(Table1[[#This Row],[STATION (current)]],AllP20!B$2:F$93,5,FALSE),"")</f>
        <v>59.848570000000002</v>
      </c>
      <c r="E16" s="10"/>
      <c r="F16" s="10">
        <f>_xlfn.IFNA(VLOOKUP(Table1[[#This Row],[STATION (current)]],AllP20!B$2:I$93,8,FALSE),"")</f>
        <v>59.99418</v>
      </c>
      <c r="G16" s="10"/>
      <c r="H16" s="10">
        <f>_xlfn.IFNA(VLOOKUP(Table1[[#This Row],[STATION (current)]],AllP20!B$2:L$93,11,FALSE),"")</f>
        <v>60.42286</v>
      </c>
      <c r="I16" s="10"/>
      <c r="J16" s="10">
        <f>_xlfn.IFNA(VLOOKUP(Table1[[#This Row],[STATION (current)]],AllP20!B$2:O$93,14,FALSE),"")</f>
        <v>60.607840000000003</v>
      </c>
      <c r="K16" s="10"/>
      <c r="L16" s="10">
        <f>_xlfn.IFNA(VLOOKUP(Table1[[#This Row],[STATION (current)]],AllP20!B$2:R$93,17,FALSE),"")</f>
        <v>60.262</v>
      </c>
      <c r="M16" s="10"/>
      <c r="N16" s="10">
        <f>_xlfn.IFNA(VLOOKUP(Table1[[#This Row],[STATION (current)]],AllP20!B$2:U$93,20,FALSE),"")</f>
        <v>59.720289999999999</v>
      </c>
      <c r="O16" s="10"/>
      <c r="P16" s="10"/>
      <c r="Q16" s="4"/>
      <c r="R16" s="10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/>
    </row>
    <row r="17" spans="1:29" x14ac:dyDescent="0.25">
      <c r="A17" s="4" t="s">
        <v>95</v>
      </c>
      <c r="B17" s="14">
        <f>_xlfn.IFNA(VLOOKUP(Table1[[#This Row],[STATION (current)]],AllP20!B$2:C$93,2,FALSE),"")</f>
        <v>65.022090000000006</v>
      </c>
      <c r="C17" s="15">
        <f>IFERROR(Table1[[#This Row],[2011_P20]]-Table1[[#This Row],[OldP80@NAVD]],"")</f>
        <v>-7.791000000000281E-2</v>
      </c>
      <c r="D17" s="10">
        <f>_xlfn.IFNA(VLOOKUP(Table1[[#This Row],[STATION (current)]],AllP20!B$2:F$93,5,FALSE),"")</f>
        <v>65.096100000000007</v>
      </c>
      <c r="E17" s="10">
        <f>IFERROR(Table1[[#This Row],[2012_P20]]-Table1[[#This Row],[OldP80@NAVD]],"")</f>
        <v>-3.9000000000015689E-3</v>
      </c>
      <c r="F17" s="14">
        <f>_xlfn.IFNA(VLOOKUP(Table1[[#This Row],[STATION (current)]],AllP20!B$2:I$93,8,FALSE),"")</f>
        <v>65.137469999999993</v>
      </c>
      <c r="G17" s="10">
        <f>IFERROR(Table1[[#This Row],[2013_P20]]-Table1[[#This Row],[OldP80@NAVD]],"")</f>
        <v>3.7469999999984793E-2</v>
      </c>
      <c r="H17" s="10">
        <f>_xlfn.IFNA(VLOOKUP(Table1[[#This Row],[STATION (current)]],AllP20!B$2:L$93,11,FALSE),"")</f>
        <v>65.286619999999999</v>
      </c>
      <c r="I17" s="10">
        <f>IFERROR(Table1[[#This Row],[2014_P20]]-Table1[[#This Row],[OldP80@NAVD]],"")</f>
        <v>0.18661999999999068</v>
      </c>
      <c r="J17" s="14">
        <f>_xlfn.IFNA(VLOOKUP(Table1[[#This Row],[STATION (current)]],AllP20!B$2:O$93,14,FALSE),"")</f>
        <v>65.5</v>
      </c>
      <c r="K17" s="10">
        <f>IFERROR(Table1[[#This Row],[2015_P20]]-Table1[[#This Row],[OldP80@NAVD]],"")</f>
        <v>0.39999999999999147</v>
      </c>
      <c r="L17" s="10">
        <f>_xlfn.IFNA(VLOOKUP(Table1[[#This Row],[STATION (current)]],AllP20!B$2:R$93,17,FALSE),"")</f>
        <v>65.60333</v>
      </c>
      <c r="M17" s="10">
        <f>IFERROR(Table1[[#This Row],[2015_P20]]-Table1[[#This Row],[OldP80@NAVD]],"")</f>
        <v>0.39999999999999147</v>
      </c>
      <c r="N17" s="14">
        <f>_xlfn.IFNA(VLOOKUP(Table1[[#This Row],[STATION (current)]],AllP20!B$2:U$93,20,FALSE),"")</f>
        <v>65.372140000000002</v>
      </c>
      <c r="O17" s="10">
        <f>IFERROR(Table1[[#This Row],[2017_P20]]-Table1[[#This Row],[OldP80@NAVD]],"")</f>
        <v>0.27213999999999317</v>
      </c>
      <c r="P17" s="25">
        <v>-0.82</v>
      </c>
      <c r="Q17" s="4" t="s">
        <v>30</v>
      </c>
      <c r="R17" s="10">
        <v>65.92</v>
      </c>
      <c r="S17" s="13">
        <f>Table1[[#This Row],[P80NGVD]]+Table1[[#This Row],[shift]]</f>
        <v>65.100000000000009</v>
      </c>
      <c r="T17" s="13"/>
      <c r="U17" s="13"/>
      <c r="V17" s="13"/>
      <c r="W17" s="13"/>
      <c r="X17" s="13"/>
      <c r="Y17" s="13"/>
      <c r="Z17" s="13"/>
      <c r="AA17" s="13"/>
      <c r="AB17" s="13"/>
      <c r="AC17"/>
    </row>
    <row r="18" spans="1:29" hidden="1" x14ac:dyDescent="0.25">
      <c r="A18" s="4" t="s">
        <v>89</v>
      </c>
      <c r="B18" s="14">
        <f>_xlfn.IFNA(VLOOKUP(Table1[[#This Row],[STATION (current)]],AllP20!B$2:C$93,2,FALSE),"")</f>
        <v>69.3</v>
      </c>
      <c r="C18" s="13"/>
      <c r="D18" s="10">
        <f>_xlfn.IFNA(VLOOKUP(Table1[[#This Row],[STATION (current)]],AllP20!B$2:F$93,5,FALSE),"")</f>
        <v>69.3</v>
      </c>
      <c r="E18" s="10"/>
      <c r="F18" s="10">
        <f>_xlfn.IFNA(VLOOKUP(Table1[[#This Row],[STATION (current)]],AllP20!B$2:I$93,8,FALSE),"")</f>
        <v>69.385909999999996</v>
      </c>
      <c r="G18" s="10"/>
      <c r="H18" s="10">
        <f>_xlfn.IFNA(VLOOKUP(Table1[[#This Row],[STATION (current)]],AllP20!B$2:L$93,11,FALSE),"")</f>
        <v>69.371809999999996</v>
      </c>
      <c r="I18" s="10"/>
      <c r="J18" s="10">
        <f>_xlfn.IFNA(VLOOKUP(Table1[[#This Row],[STATION (current)]],AllP20!B$2:O$93,14,FALSE),"")</f>
        <v>69.375630000000001</v>
      </c>
      <c r="K18" s="10"/>
      <c r="L18" s="10">
        <f>_xlfn.IFNA(VLOOKUP(Table1[[#This Row],[STATION (current)]],AllP20!B$2:R$93,17,FALSE),"")</f>
        <v>69.315560000000005</v>
      </c>
      <c r="M18" s="10"/>
      <c r="N18" s="10">
        <f>_xlfn.IFNA(VLOOKUP(Table1[[#This Row],[STATION (current)]],AllP20!B$2:U$93,20,FALSE),"")</f>
        <v>69.34</v>
      </c>
      <c r="O18" s="10"/>
      <c r="P18" s="12">
        <v>-0.8</v>
      </c>
      <c r="Q18" s="4"/>
      <c r="R18" s="10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/>
    </row>
    <row r="19" spans="1:29" x14ac:dyDescent="0.25">
      <c r="A19" s="4" t="s">
        <v>99</v>
      </c>
      <c r="B19" s="14">
        <f>_xlfn.IFNA(VLOOKUP(Table1[[#This Row],[STATION (current)]],AllP20!B$2:C$93,2,FALSE),"")</f>
        <v>61.676000000000002</v>
      </c>
      <c r="C19" s="15">
        <f>IFERROR(Table1[[#This Row],[2011_P20]]-Table1[[#This Row],[OldP80@NAVD]],"")</f>
        <v>1.6260000000000048</v>
      </c>
      <c r="D19" s="10">
        <f>_xlfn.IFNA(VLOOKUP(Table1[[#This Row],[STATION (current)]],AllP20!B$2:F$93,5,FALSE),"")</f>
        <v>61.636789999999998</v>
      </c>
      <c r="E19" s="10">
        <f>IFERROR(Table1[[#This Row],[2012_P20]]-Table1[[#This Row],[OldP80@NAVD]],"")</f>
        <v>1.5867900000000006</v>
      </c>
      <c r="F19" s="14">
        <f>_xlfn.IFNA(VLOOKUP(Table1[[#This Row],[STATION (current)]],AllP20!B$2:I$93,8,FALSE),"")</f>
        <v>61.830460000000002</v>
      </c>
      <c r="G19" s="10">
        <f>IFERROR(Table1[[#This Row],[2013_P20]]-Table1[[#This Row],[OldP80@NAVD]],"")</f>
        <v>1.780460000000005</v>
      </c>
      <c r="H19" s="10">
        <f>_xlfn.IFNA(VLOOKUP(Table1[[#This Row],[STATION (current)]],AllP20!B$2:L$93,11,FALSE),"")</f>
        <v>61.93488</v>
      </c>
      <c r="I19" s="10">
        <f>IFERROR(Table1[[#This Row],[2014_P20]]-Table1[[#This Row],[OldP80@NAVD]],"")</f>
        <v>1.8848800000000026</v>
      </c>
      <c r="J19" s="14">
        <f>_xlfn.IFNA(VLOOKUP(Table1[[#This Row],[STATION (current)]],AllP20!B$2:O$93,14,FALSE),"")</f>
        <v>62.030079999999998</v>
      </c>
      <c r="K19" s="10">
        <f>IFERROR(Table1[[#This Row],[2015_P20]]-Table1[[#This Row],[OldP80@NAVD]],"")</f>
        <v>1.980080000000001</v>
      </c>
      <c r="L19" s="10">
        <f>_xlfn.IFNA(VLOOKUP(Table1[[#This Row],[STATION (current)]],AllP20!B$2:R$93,17,FALSE),"")</f>
        <v>62.101849999999999</v>
      </c>
      <c r="M19" s="10">
        <f>IFERROR(Table1[[#This Row],[2015_P20]]-Table1[[#This Row],[OldP80@NAVD]],"")</f>
        <v>1.980080000000001</v>
      </c>
      <c r="N19" s="14">
        <f>_xlfn.IFNA(VLOOKUP(Table1[[#This Row],[STATION (current)]],AllP20!B$2:U$93,20,FALSE),"")</f>
        <v>61.954000000000001</v>
      </c>
      <c r="O19" s="10">
        <f>IFERROR(Table1[[#This Row],[2017_P20]]-Table1[[#This Row],[OldP80@NAVD]],"")</f>
        <v>1.9040000000000035</v>
      </c>
      <c r="P19" s="25">
        <v>-0.82</v>
      </c>
      <c r="Q19" s="4" t="s">
        <v>38</v>
      </c>
      <c r="R19" s="10">
        <v>60.87</v>
      </c>
      <c r="S19" s="13">
        <f>Table1[[#This Row],[P80NGVD]]+Table1[[#This Row],[shift]]</f>
        <v>60.05</v>
      </c>
      <c r="T19" s="13"/>
      <c r="U19" s="13"/>
      <c r="V19" s="13"/>
      <c r="W19" s="13"/>
      <c r="X19" s="13"/>
      <c r="Y19" s="13"/>
      <c r="Z19" s="13"/>
      <c r="AA19" s="13"/>
      <c r="AB19" s="13"/>
      <c r="AC19"/>
    </row>
    <row r="20" spans="1:29" hidden="1" x14ac:dyDescent="0.25">
      <c r="A20" s="4" t="s">
        <v>90</v>
      </c>
      <c r="B20" s="10">
        <v>64.08</v>
      </c>
      <c r="C20" s="13"/>
      <c r="D20" s="10">
        <f>_xlfn.IFNA(VLOOKUP(Table1[[#This Row],[STATION (current)]],AllP20!B$2:F$93,5,FALSE),"")</f>
        <v>64.08</v>
      </c>
      <c r="E20" s="10"/>
      <c r="F20" s="10">
        <f>_xlfn.IFNA(VLOOKUP(Table1[[#This Row],[STATION (current)]],AllP20!B$2:I$93,8,FALSE),"")</f>
        <v>64.08</v>
      </c>
      <c r="G20" s="10"/>
      <c r="H20" s="10">
        <f>_xlfn.IFNA(VLOOKUP(Table1[[#This Row],[STATION (current)]],AllP20!B$2:L$93,11,FALSE),"")</f>
        <v>64.08</v>
      </c>
      <c r="I20" s="10"/>
      <c r="J20" s="10">
        <f>_xlfn.IFNA(VLOOKUP(Table1[[#This Row],[STATION (current)]],AllP20!B$2:O$93,14,FALSE),"")</f>
        <v>64.08</v>
      </c>
      <c r="K20" s="10"/>
      <c r="L20" s="10">
        <f>_xlfn.IFNA(VLOOKUP(Table1[[#This Row],[STATION (current)]],AllP20!B$2:R$93,17,FALSE),"")</f>
        <v>64.08</v>
      </c>
      <c r="M20" s="10"/>
      <c r="N20" s="10">
        <f>_xlfn.IFNA(VLOOKUP(Table1[[#This Row],[STATION (current)]],AllP20!B$2:U$93,20,FALSE),"")</f>
        <v>64.08</v>
      </c>
      <c r="O20" s="10"/>
      <c r="P20" s="10"/>
      <c r="Q20" s="4"/>
      <c r="R20" s="10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/>
    </row>
    <row r="21" spans="1:29" x14ac:dyDescent="0.25">
      <c r="A21" s="4" t="s">
        <v>97</v>
      </c>
      <c r="B21" s="14">
        <f>_xlfn.IFNA(VLOOKUP(Table1[[#This Row],[STATION (current)]],AllP20!B$2:C$93,2,FALSE),"")</f>
        <v>71.560569999999998</v>
      </c>
      <c r="C21" s="15">
        <f>IFERROR(Table1[[#This Row],[2011_P20]]-Table1[[#This Row],[OldP80@NAVD]],"")</f>
        <v>1.3190191760532031</v>
      </c>
      <c r="D21" s="10">
        <f>_xlfn.IFNA(VLOOKUP(Table1[[#This Row],[STATION (current)]],AllP20!B$2:F$93,5,FALSE),"")</f>
        <v>71.480540000000005</v>
      </c>
      <c r="E21" s="10">
        <f>IFERROR(Table1[[#This Row],[2012_P20]]-Table1[[#This Row],[OldP80@NAVD]],"")</f>
        <v>1.2389891760532095</v>
      </c>
      <c r="F21" s="14">
        <f>_xlfn.IFNA(VLOOKUP(Table1[[#This Row],[STATION (current)]],AllP20!B$2:I$93,8,FALSE),"")</f>
        <v>71.322239999999994</v>
      </c>
      <c r="G21" s="10">
        <f>IFERROR(Table1[[#This Row],[2013_P20]]-Table1[[#This Row],[OldP80@NAVD]],"")</f>
        <v>1.0806891760531983</v>
      </c>
      <c r="H21" s="10">
        <f>_xlfn.IFNA(VLOOKUP(Table1[[#This Row],[STATION (current)]],AllP20!B$2:L$93,11,FALSE),"")</f>
        <v>71.177700000000002</v>
      </c>
      <c r="I21" s="10">
        <f>IFERROR(Table1[[#This Row],[2014_P20]]-Table1[[#This Row],[OldP80@NAVD]],"")</f>
        <v>0.93614917605320613</v>
      </c>
      <c r="J21" s="14">
        <f>_xlfn.IFNA(VLOOKUP(Table1[[#This Row],[STATION (current)]],AllP20!B$2:O$93,14,FALSE),"")</f>
        <v>71.296959999999999</v>
      </c>
      <c r="K21" s="10">
        <f>IFERROR(Table1[[#This Row],[2015_P20]]-Table1[[#This Row],[OldP80@NAVD]],"")</f>
        <v>1.0554091760532032</v>
      </c>
      <c r="L21" s="10">
        <f>_xlfn.IFNA(VLOOKUP(Table1[[#This Row],[STATION (current)]],AllP20!B$2:R$93,17,FALSE),"")</f>
        <v>71.378730000000004</v>
      </c>
      <c r="M21" s="10">
        <f>IFERROR(Table1[[#This Row],[2016_P20]]-Table1[[#This Row],[OldP80@NAVD]],"")</f>
        <v>1.1371791760532091</v>
      </c>
      <c r="N21" s="14">
        <f>_xlfn.IFNA(VLOOKUP(Table1[[#This Row],[STATION (current)]],AllP20!B$2:U$93,20,FALSE),"")</f>
        <v>71.259559999999993</v>
      </c>
      <c r="O21" s="10">
        <f>IFERROR(Table1[[#This Row],[2017_P20]]-Table1[[#This Row],[OldP80@NAVD]],"")</f>
        <v>1.018009176053198</v>
      </c>
      <c r="P21" s="2">
        <v>-1.1384491760532061</v>
      </c>
      <c r="Q21" s="4" t="s">
        <v>9</v>
      </c>
      <c r="R21" s="10">
        <v>71.38</v>
      </c>
      <c r="S21" s="13">
        <f>Table1[[#This Row],[P80NGVD]]+Table1[[#This Row],[shift]]</f>
        <v>70.241550823946795</v>
      </c>
      <c r="T21" s="13"/>
      <c r="U21" s="13"/>
      <c r="V21" s="13"/>
      <c r="W21" s="13"/>
      <c r="X21" s="13"/>
      <c r="Y21" s="13"/>
      <c r="Z21" s="13"/>
      <c r="AA21" s="13"/>
      <c r="AB21" s="13"/>
      <c r="AC21"/>
    </row>
    <row r="22" spans="1:29" x14ac:dyDescent="0.25">
      <c r="A22" s="4" t="s">
        <v>100</v>
      </c>
      <c r="B22" s="14">
        <f>_xlfn.IFNA(VLOOKUP(Table1[[#This Row],[STATION (current)]],AllP20!B$2:C$93,2,FALSE),"")</f>
        <v>129.18045000000001</v>
      </c>
      <c r="C22" s="15">
        <f>IFERROR(Table1[[#This Row],[2011_P20]]-Table1[[#This Row],[OldP80@NAVD]],"")</f>
        <v>-0.1295499999999663</v>
      </c>
      <c r="D22" s="10">
        <f>_xlfn.IFNA(VLOOKUP(Table1[[#This Row],[STATION (current)]],AllP20!B$2:F$93,5,FALSE),"")</f>
        <v>129.26043000000001</v>
      </c>
      <c r="E22" s="10">
        <f>IFERROR(Table1[[#This Row],[2012_P20]]-Table1[[#This Row],[OldP80@NAVD]],"")</f>
        <v>-4.9569999999960146E-2</v>
      </c>
      <c r="F22" s="14">
        <f>_xlfn.IFNA(VLOOKUP(Table1[[#This Row],[STATION (current)]],AllP20!B$2:I$93,8,FALSE),"")</f>
        <v>129.33799999999999</v>
      </c>
      <c r="G22" s="10">
        <f>IFERROR(Table1[[#This Row],[2013_P20]]-Table1[[#This Row],[OldP80@NAVD]],"")</f>
        <v>2.8000000000020009E-2</v>
      </c>
      <c r="H22" s="10">
        <f>_xlfn.IFNA(VLOOKUP(Table1[[#This Row],[STATION (current)]],AllP20!B$2:L$93,11,FALSE),"")</f>
        <v>129.38999999999999</v>
      </c>
      <c r="I22" s="10">
        <f>IFERROR(Table1[[#This Row],[2014_P20]]-Table1[[#This Row],[OldP80@NAVD]],"")</f>
        <v>8.0000000000012506E-2</v>
      </c>
      <c r="J22" s="14">
        <f>_xlfn.IFNA(VLOOKUP(Table1[[#This Row],[STATION (current)]],AllP20!B$2:O$93,14,FALSE),"")</f>
        <v>129.45613</v>
      </c>
      <c r="K22" s="10">
        <f>IFERROR(Table1[[#This Row],[2015_P20]]-Table1[[#This Row],[OldP80@NAVD]],"")</f>
        <v>0.14613000000002785</v>
      </c>
      <c r="L22" s="10">
        <f>_xlfn.IFNA(VLOOKUP(Table1[[#This Row],[STATION (current)]],AllP20!B$2:R$93,17,FALSE),"")</f>
        <v>129.54159000000001</v>
      </c>
      <c r="M22" s="10">
        <f>IFERROR(Table1[[#This Row],[2016_P20]]-Table1[[#This Row],[OldP80@NAVD]],"")</f>
        <v>0.23159000000003971</v>
      </c>
      <c r="N22" s="14">
        <f>_xlfn.IFNA(VLOOKUP(Table1[[#This Row],[STATION (current)]],AllP20!B$2:U$93,20,FALSE),"")</f>
        <v>129.55309</v>
      </c>
      <c r="O22" s="10">
        <f>IFERROR(Table1[[#This Row],[2017_P20]]-Table1[[#This Row],[OldP80@NAVD]],"")</f>
        <v>0.24309000000002357</v>
      </c>
      <c r="P22" s="25">
        <v>-0.57999999999999996</v>
      </c>
      <c r="Q22" s="4" t="s">
        <v>43</v>
      </c>
      <c r="R22" s="10">
        <v>129.88999999999999</v>
      </c>
      <c r="S22" s="13">
        <f>Table1[[#This Row],[P80NGVD]]+Table1[[#This Row],[shift]]</f>
        <v>129.30999999999997</v>
      </c>
      <c r="T22" s="13"/>
      <c r="U22" s="13"/>
      <c r="V22" s="13"/>
      <c r="W22" s="13"/>
      <c r="X22" s="13"/>
      <c r="Y22" s="13"/>
      <c r="Z22" s="13"/>
      <c r="AA22" s="13"/>
      <c r="AB22" s="13"/>
      <c r="AC22"/>
    </row>
    <row r="23" spans="1:29" x14ac:dyDescent="0.25">
      <c r="A23" s="4" t="s">
        <v>103</v>
      </c>
      <c r="B23" s="14">
        <f>_xlfn.IFNA(VLOOKUP(Table1[[#This Row],[STATION (current)]],AllP20!B$2:C$93,2,FALSE),"")</f>
        <v>97.47</v>
      </c>
      <c r="C23" s="15">
        <f>IFERROR(Table1[[#This Row],[2011_P20]]-Table1[[#This Row],[OldP80@NAVD]],"")</f>
        <v>-0.17000000000000171</v>
      </c>
      <c r="D23" s="10">
        <f>_xlfn.IFNA(VLOOKUP(Table1[[#This Row],[STATION (current)]],AllP20!B$2:F$93,5,FALSE),"")</f>
        <v>97.302000000000007</v>
      </c>
      <c r="E23" s="10">
        <f>IFERROR(Table1[[#This Row],[2012_P20]]-Table1[[#This Row],[OldP80@NAVD]],"")</f>
        <v>-0.33799999999999386</v>
      </c>
      <c r="F23" s="14">
        <f>_xlfn.IFNA(VLOOKUP(Table1[[#This Row],[STATION (current)]],AllP20!B$2:I$93,8,FALSE),"")</f>
        <v>97.352000000000004</v>
      </c>
      <c r="G23" s="10">
        <f>IFERROR(Table1[[#This Row],[2013_P20]]-Table1[[#This Row],[OldP80@NAVD]],"")</f>
        <v>-0.2879999999999967</v>
      </c>
      <c r="H23" s="10">
        <f>_xlfn.IFNA(VLOOKUP(Table1[[#This Row],[STATION (current)]],AllP20!B$2:L$93,11,FALSE),"")</f>
        <v>97.531999999999996</v>
      </c>
      <c r="I23" s="10">
        <f>IFERROR(Table1[[#This Row],[2014_P20]]-Table1[[#This Row],[OldP80@NAVD]],"")</f>
        <v>-0.10800000000000409</v>
      </c>
      <c r="J23" s="14">
        <f>_xlfn.IFNA(VLOOKUP(Table1[[#This Row],[STATION (current)]],AllP20!B$2:O$93,14,FALSE),"")</f>
        <v>97.691999999999993</v>
      </c>
      <c r="K23" s="10">
        <f>IFERROR(Table1[[#This Row],[2015_P20]]-Table1[[#This Row],[OldP80@NAVD]],"")</f>
        <v>5.1999999999992497E-2</v>
      </c>
      <c r="L23" s="10">
        <f>_xlfn.IFNA(VLOOKUP(Table1[[#This Row],[STATION (current)]],AllP20!B$2:R$93,17,FALSE),"")</f>
        <v>97.84</v>
      </c>
      <c r="M23" s="10">
        <f>IFERROR(Table1[[#This Row],[2016_P20]]-Table1[[#This Row],[OldP80@NAVD]],"")</f>
        <v>0.20000000000000284</v>
      </c>
      <c r="N23" s="14">
        <f>_xlfn.IFNA(VLOOKUP(Table1[[#This Row],[STATION (current)]],AllP20!B$2:U$93,20,FALSE),"")</f>
        <v>97.69</v>
      </c>
      <c r="O23" s="10">
        <f>IFERROR(Table1[[#This Row],[2017_P20]]-Table1[[#This Row],[OldP80@NAVD]],"")</f>
        <v>4.9999999999997158E-2</v>
      </c>
      <c r="P23" s="25">
        <v>-0.79</v>
      </c>
      <c r="Q23" s="4" t="s">
        <v>7</v>
      </c>
      <c r="R23" s="10">
        <v>98.43</v>
      </c>
      <c r="S23" s="13">
        <f>Table1[[#This Row],[P80NGVD]]+Table1[[#This Row],[shift]]</f>
        <v>97.64</v>
      </c>
      <c r="T23" s="13"/>
      <c r="U23" s="13"/>
      <c r="V23" s="13"/>
      <c r="W23" s="13"/>
      <c r="X23" s="13"/>
      <c r="Y23" s="13"/>
      <c r="Z23" s="13"/>
      <c r="AA23" s="13"/>
      <c r="AB23" s="13"/>
      <c r="AC23"/>
    </row>
    <row r="24" spans="1:29" hidden="1" x14ac:dyDescent="0.25">
      <c r="A24" s="4" t="s">
        <v>101</v>
      </c>
      <c r="B24" s="10">
        <v>97.370469999999997</v>
      </c>
      <c r="C24" s="13"/>
      <c r="D24" s="10">
        <f>_xlfn.IFNA(VLOOKUP(Table1[[#This Row],[STATION (current)]],AllP20!B$2:F$93,5,FALSE),"")</f>
        <v>98.58</v>
      </c>
      <c r="E24" s="10"/>
      <c r="F24" s="10">
        <f>_xlfn.IFNA(VLOOKUP(Table1[[#This Row],[STATION (current)]],AllP20!B$2:I$93,8,FALSE),"")</f>
        <v>98.58</v>
      </c>
      <c r="G24" s="10"/>
      <c r="H24" s="10">
        <f>_xlfn.IFNA(VLOOKUP(Table1[[#This Row],[STATION (current)]],AllP20!B$2:L$93,11,FALSE),"")</f>
        <v>98.58</v>
      </c>
      <c r="I24" s="10"/>
      <c r="J24" s="10">
        <f>_xlfn.IFNA(VLOOKUP(Table1[[#This Row],[STATION (current)]],AllP20!B$2:O$93,14,FALSE),"")</f>
        <v>98.58</v>
      </c>
      <c r="K24" s="10"/>
      <c r="L24" s="10">
        <f>_xlfn.IFNA(VLOOKUP(Table1[[#This Row],[STATION (current)]],AllP20!B$2:R$93,17,FALSE),"")</f>
        <v>98.58</v>
      </c>
      <c r="M24" s="10"/>
      <c r="N24" s="10">
        <f>_xlfn.IFNA(VLOOKUP(Table1[[#This Row],[STATION (current)]],AllP20!B$2:U$93,20,FALSE),"")</f>
        <v>98.58</v>
      </c>
      <c r="O24" s="10"/>
      <c r="P24" s="10"/>
      <c r="Q24" s="4"/>
      <c r="R24" s="10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/>
    </row>
    <row r="25" spans="1:29" hidden="1" x14ac:dyDescent="0.25">
      <c r="A25" s="4" t="s">
        <v>103</v>
      </c>
      <c r="B25" s="10">
        <v>97.47</v>
      </c>
      <c r="C25" s="13"/>
      <c r="D25" s="10">
        <f>_xlfn.IFNA(VLOOKUP(Table1[[#This Row],[STATION (current)]],AllP20!B$2:F$93,5,FALSE),"")</f>
        <v>97.302000000000007</v>
      </c>
      <c r="E25" s="10"/>
      <c r="F25" s="10">
        <f>_xlfn.IFNA(VLOOKUP(Table1[[#This Row],[STATION (current)]],AllP20!B$2:I$93,8,FALSE),"")</f>
        <v>97.352000000000004</v>
      </c>
      <c r="G25" s="10"/>
      <c r="H25" s="10">
        <f>_xlfn.IFNA(VLOOKUP(Table1[[#This Row],[STATION (current)]],AllP20!B$2:L$93,11,FALSE),"")</f>
        <v>97.531999999999996</v>
      </c>
      <c r="I25" s="10"/>
      <c r="J25" s="10">
        <f>_xlfn.IFNA(VLOOKUP(Table1[[#This Row],[STATION (current)]],AllP20!B$2:O$93,14,FALSE),"")</f>
        <v>97.691999999999993</v>
      </c>
      <c r="K25" s="10"/>
      <c r="L25" s="10">
        <f>_xlfn.IFNA(VLOOKUP(Table1[[#This Row],[STATION (current)]],AllP20!B$2:R$93,17,FALSE),"")</f>
        <v>97.84</v>
      </c>
      <c r="M25" s="10"/>
      <c r="N25" s="10">
        <f>_xlfn.IFNA(VLOOKUP(Table1[[#This Row],[STATION (current)]],AllP20!B$2:U$93,20,FALSE),"")</f>
        <v>97.69</v>
      </c>
      <c r="O25" s="10"/>
      <c r="P25" s="10"/>
      <c r="Q25" s="4"/>
      <c r="R25" s="10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/>
    </row>
    <row r="26" spans="1:29" hidden="1" x14ac:dyDescent="0.25">
      <c r="A26" s="4" t="s">
        <v>104</v>
      </c>
      <c r="B26" s="10">
        <v>100.73</v>
      </c>
      <c r="C26" s="13"/>
      <c r="D26" s="10">
        <f>_xlfn.IFNA(VLOOKUP(Table1[[#This Row],[STATION (current)]],AllP20!B$2:F$93,5,FALSE),"")</f>
        <v>100.73</v>
      </c>
      <c r="E26" s="10"/>
      <c r="F26" s="10">
        <f>_xlfn.IFNA(VLOOKUP(Table1[[#This Row],[STATION (current)]],AllP20!B$2:I$93,8,FALSE),"")</f>
        <v>100.73</v>
      </c>
      <c r="G26" s="10"/>
      <c r="H26" s="10">
        <f>_xlfn.IFNA(VLOOKUP(Table1[[#This Row],[STATION (current)]],AllP20!B$2:L$93,11,FALSE),"")</f>
        <v>100.73</v>
      </c>
      <c r="I26" s="10"/>
      <c r="J26" s="10">
        <f>_xlfn.IFNA(VLOOKUP(Table1[[#This Row],[STATION (current)]],AllP20!B$2:O$93,14,FALSE),"")</f>
        <v>100.73</v>
      </c>
      <c r="K26" s="10"/>
      <c r="L26" s="10">
        <f>_xlfn.IFNA(VLOOKUP(Table1[[#This Row],[STATION (current)]],AllP20!B$2:R$93,17,FALSE),"")</f>
        <v>100.73</v>
      </c>
      <c r="M26" s="10"/>
      <c r="N26" s="10">
        <f>_xlfn.IFNA(VLOOKUP(Table1[[#This Row],[STATION (current)]],AllP20!B$2:U$93,20,FALSE),"")</f>
        <v>100.73</v>
      </c>
      <c r="O26" s="10"/>
      <c r="P26" s="10"/>
      <c r="Q26" s="4"/>
      <c r="R26" s="10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/>
    </row>
    <row r="27" spans="1:29" hidden="1" x14ac:dyDescent="0.25">
      <c r="A27" s="4" t="s">
        <v>105</v>
      </c>
      <c r="B27" s="10">
        <v>98.577029999999993</v>
      </c>
      <c r="C27" s="13"/>
      <c r="D27" s="10">
        <f>_xlfn.IFNA(VLOOKUP(Table1[[#This Row],[STATION (current)]],AllP20!B$2:F$93,5,FALSE),"")</f>
        <v>98.544939999999997</v>
      </c>
      <c r="E27" s="10"/>
      <c r="F27" s="10">
        <f>_xlfn.IFNA(VLOOKUP(Table1[[#This Row],[STATION (current)]],AllP20!B$2:I$93,8,FALSE),"")</f>
        <v>98.644229999999993</v>
      </c>
      <c r="G27" s="10"/>
      <c r="H27" s="10">
        <f>_xlfn.IFNA(VLOOKUP(Table1[[#This Row],[STATION (current)]],AllP20!B$2:L$93,11,FALSE),"")</f>
        <v>98.741990000000001</v>
      </c>
      <c r="I27" s="10"/>
      <c r="J27" s="10">
        <f>_xlfn.IFNA(VLOOKUP(Table1[[#This Row],[STATION (current)]],AllP20!B$2:O$93,14,FALSE),"")</f>
        <v>98.817719999999994</v>
      </c>
      <c r="K27" s="10"/>
      <c r="L27" s="10">
        <f>_xlfn.IFNA(VLOOKUP(Table1[[#This Row],[STATION (current)]],AllP20!B$2:R$93,17,FALSE),"")</f>
        <v>98.921180000000007</v>
      </c>
      <c r="M27" s="10"/>
      <c r="N27" s="10">
        <f>_xlfn.IFNA(VLOOKUP(Table1[[#This Row],[STATION (current)]],AllP20!B$2:U$93,20,FALSE),"")</f>
        <v>98.924999999999997</v>
      </c>
      <c r="O27" s="10"/>
      <c r="P27" s="10"/>
      <c r="Q27" s="4"/>
      <c r="R27" s="10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/>
    </row>
    <row r="28" spans="1:29" hidden="1" x14ac:dyDescent="0.25">
      <c r="A28" s="4" t="s">
        <v>106</v>
      </c>
      <c r="B28" s="10">
        <v>98.52</v>
      </c>
      <c r="C28" s="13"/>
      <c r="D28" s="10">
        <f>_xlfn.IFNA(VLOOKUP(Table1[[#This Row],[STATION (current)]],AllP20!B$2:F$93,5,FALSE),"")</f>
        <v>98.54</v>
      </c>
      <c r="E28" s="10"/>
      <c r="F28" s="10">
        <f>_xlfn.IFNA(VLOOKUP(Table1[[#This Row],[STATION (current)]],AllP20!B$2:I$93,8,FALSE),"")</f>
        <v>98.742000000000004</v>
      </c>
      <c r="G28" s="10"/>
      <c r="H28" s="10">
        <f>_xlfn.IFNA(VLOOKUP(Table1[[#This Row],[STATION (current)]],AllP20!B$2:L$93,11,FALSE),"")</f>
        <v>98.941999999999993</v>
      </c>
      <c r="I28" s="10"/>
      <c r="J28" s="10">
        <f>_xlfn.IFNA(VLOOKUP(Table1[[#This Row],[STATION (current)]],AllP20!B$2:O$93,14,FALSE),"")</f>
        <v>99.09</v>
      </c>
      <c r="K28" s="10"/>
      <c r="L28" s="10">
        <f>_xlfn.IFNA(VLOOKUP(Table1[[#This Row],[STATION (current)]],AllP20!B$2:R$93,17,FALSE),"")</f>
        <v>99.244</v>
      </c>
      <c r="M28" s="10"/>
      <c r="N28" s="10">
        <f>_xlfn.IFNA(VLOOKUP(Table1[[#This Row],[STATION (current)]],AllP20!B$2:U$93,20,FALSE),"")</f>
        <v>99.23</v>
      </c>
      <c r="O28" s="10"/>
      <c r="P28" s="10"/>
      <c r="Q28" s="4"/>
      <c r="R28" s="10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/>
    </row>
    <row r="29" spans="1:29" x14ac:dyDescent="0.25">
      <c r="A29" s="4"/>
      <c r="B29" s="14" t="str">
        <f>_xlfn.IFNA(VLOOKUP(Table1[[#This Row],[STATION (current)]],AllP20!B$2:C$93,2,FALSE),"")</f>
        <v/>
      </c>
      <c r="C29" s="13"/>
      <c r="D29" s="10" t="str">
        <f>_xlfn.IFNA(VLOOKUP(Table1[[#This Row],[STATION (current)]],AllP20!B$2:F$93,5,FALSE),"")</f>
        <v/>
      </c>
      <c r="E29" s="10"/>
      <c r="F29" s="14" t="str">
        <f>_xlfn.IFNA(VLOOKUP(Table1[[#This Row],[STATION (current)]],AllP20!B$2:I$93,8,FALSE),"")</f>
        <v/>
      </c>
      <c r="G29" s="10"/>
      <c r="H29" s="10" t="str">
        <f>_xlfn.IFNA(VLOOKUP(Table1[[#This Row],[STATION (current)]],AllP20!B$2:L$93,11,FALSE),"")</f>
        <v/>
      </c>
      <c r="I29" s="10"/>
      <c r="J29" s="14" t="str">
        <f>_xlfn.IFNA(VLOOKUP(Table1[[#This Row],[STATION (current)]],AllP20!B$2:O$93,14,FALSE),"")</f>
        <v/>
      </c>
      <c r="K29" s="10"/>
      <c r="L29" s="10" t="str">
        <f>_xlfn.IFNA(VLOOKUP(Table1[[#This Row],[STATION (current)]],AllP20!B$2:R$93,17,FALSE),"")</f>
        <v/>
      </c>
      <c r="M29" s="10"/>
      <c r="N29" s="14" t="str">
        <f>_xlfn.IFNA(VLOOKUP(Table1[[#This Row],[STATION (current)]],AllP20!B$2:U$93,20,FALSE),"")</f>
        <v/>
      </c>
      <c r="O29" s="10"/>
      <c r="P29" s="10">
        <v>-1</v>
      </c>
      <c r="Q29" s="4" t="s">
        <v>17</v>
      </c>
      <c r="R29" s="10">
        <v>95.28</v>
      </c>
      <c r="S29" s="13">
        <f>Table1[[#This Row],[P80NGVD]]+Table1[[#This Row],[shift]]</f>
        <v>94.28</v>
      </c>
      <c r="T29" s="13"/>
      <c r="U29" s="13"/>
      <c r="V29" s="13"/>
      <c r="W29" s="13"/>
      <c r="X29" s="13"/>
      <c r="Y29" s="13"/>
      <c r="Z29" s="13"/>
      <c r="AA29" s="13"/>
      <c r="AB29" s="13"/>
      <c r="AC29"/>
    </row>
    <row r="30" spans="1:29" x14ac:dyDescent="0.25">
      <c r="A30" s="4" t="s">
        <v>109</v>
      </c>
      <c r="B30" s="14">
        <f>_xlfn.IFNA(VLOOKUP(Table1[[#This Row],[STATION (current)]],AllP20!B$2:C$93,2,FALSE),"")</f>
        <v>92.81</v>
      </c>
      <c r="C30" s="15">
        <f>IFERROR(Table1[[#This Row],[2011_P20]]-Table1[[#This Row],[OldP80@NAVD]],"")</f>
        <v>-0.40999999999999659</v>
      </c>
      <c r="D30" s="10">
        <f>_xlfn.IFNA(VLOOKUP(Table1[[#This Row],[STATION (current)]],AllP20!B$2:F$93,5,FALSE),"")</f>
        <v>92.86</v>
      </c>
      <c r="E30" s="10">
        <f>IFERROR(Table1[[#This Row],[2012_P20]]-Table1[[#This Row],[OldP80@NAVD]],"")</f>
        <v>-0.35999999999999943</v>
      </c>
      <c r="F30" s="14">
        <f>_xlfn.IFNA(VLOOKUP(Table1[[#This Row],[STATION (current)]],AllP20!B$2:I$93,8,FALSE),"")</f>
        <v>93.25</v>
      </c>
      <c r="G30" s="10">
        <f>IFERROR(Table1[[#This Row],[2013_P20]]-Table1[[#This Row],[OldP80@NAVD]],"")</f>
        <v>3.0000000000001137E-2</v>
      </c>
      <c r="H30" s="10">
        <f>_xlfn.IFNA(VLOOKUP(Table1[[#This Row],[STATION (current)]],AllP20!B$2:L$93,11,FALSE),"")</f>
        <v>93.56</v>
      </c>
      <c r="I30" s="10">
        <f>IFERROR(Table1[[#This Row],[2014_P20]]-Table1[[#This Row],[OldP80@NAVD]],"")</f>
        <v>0.34000000000000341</v>
      </c>
      <c r="J30" s="14">
        <f>_xlfn.IFNA(VLOOKUP(Table1[[#This Row],[STATION (current)]],AllP20!B$2:O$93,14,FALSE),"")</f>
        <v>93.77</v>
      </c>
      <c r="K30" s="10">
        <f>IFERROR(Table1[[#This Row],[2015_P20]]-Table1[[#This Row],[OldP80@NAVD]],"")</f>
        <v>0.54999999999999716</v>
      </c>
      <c r="L30" s="10">
        <f>_xlfn.IFNA(VLOOKUP(Table1[[#This Row],[STATION (current)]],AllP20!B$2:R$93,17,FALSE),"")</f>
        <v>94.063999999999993</v>
      </c>
      <c r="M30" s="10">
        <f>IFERROR(Table1[[#This Row],[2016_P20]]-Table1[[#This Row],[OldP80@NAVD]],"")</f>
        <v>0.84399999999999409</v>
      </c>
      <c r="N30" s="14">
        <f>_xlfn.IFNA(VLOOKUP(Table1[[#This Row],[STATION (current)]],AllP20!B$2:U$93,20,FALSE),"")</f>
        <v>94.054000000000002</v>
      </c>
      <c r="O30" s="10">
        <f>IFERROR(Table1[[#This Row],[2017_P20]]-Table1[[#This Row],[OldP80@NAVD]],"")</f>
        <v>0.83400000000000318</v>
      </c>
      <c r="P30" s="25">
        <v>-0.85</v>
      </c>
      <c r="Q30" s="4" t="s">
        <v>21</v>
      </c>
      <c r="R30" s="10">
        <v>94.07</v>
      </c>
      <c r="S30" s="13">
        <f>Table1[[#This Row],[P80NGVD]]+Table1[[#This Row],[shift]]</f>
        <v>93.22</v>
      </c>
      <c r="T30" s="13"/>
      <c r="U30" s="13"/>
      <c r="V30" s="13"/>
      <c r="W30" s="13"/>
      <c r="X30" s="13"/>
      <c r="Y30" s="13"/>
      <c r="Z30" s="13"/>
      <c r="AA30" s="13"/>
      <c r="AB30" s="13"/>
      <c r="AC30"/>
    </row>
    <row r="31" spans="1:29" hidden="1" x14ac:dyDescent="0.25">
      <c r="A31" s="4" t="s">
        <v>108</v>
      </c>
      <c r="B31" s="10">
        <v>93.152889999999999</v>
      </c>
      <c r="C31" s="13"/>
      <c r="D31" s="10">
        <f>_xlfn.IFNA(VLOOKUP(Table1[[#This Row],[STATION (current)]],AllP20!B$2:F$93,5,FALSE),"")</f>
        <v>93.24933</v>
      </c>
      <c r="E31" s="10"/>
      <c r="F31" s="10">
        <f>_xlfn.IFNA(VLOOKUP(Table1[[#This Row],[STATION (current)]],AllP20!B$2:I$93,8,FALSE),"")</f>
        <v>93.600960000000001</v>
      </c>
      <c r="G31" s="10"/>
      <c r="H31" s="10">
        <f>_xlfn.IFNA(VLOOKUP(Table1[[#This Row],[STATION (current)]],AllP20!B$2:L$93,11,FALSE),"")</f>
        <v>93.820400000000006</v>
      </c>
      <c r="I31" s="10"/>
      <c r="J31" s="10">
        <f>_xlfn.IFNA(VLOOKUP(Table1[[#This Row],[STATION (current)]],AllP20!B$2:O$93,14,FALSE),"")</f>
        <v>94.047799999999995</v>
      </c>
      <c r="K31" s="10"/>
      <c r="L31" s="10">
        <f>_xlfn.IFNA(VLOOKUP(Table1[[#This Row],[STATION (current)]],AllP20!B$2:R$93,17,FALSE),"")</f>
        <v>94.272760000000005</v>
      </c>
      <c r="M31" s="10"/>
      <c r="N31" s="10">
        <f>_xlfn.IFNA(VLOOKUP(Table1[[#This Row],[STATION (current)]],AllP20!B$2:U$93,20,FALSE),"")</f>
        <v>94.261449999999996</v>
      </c>
      <c r="O31" s="10"/>
      <c r="P31" s="10"/>
      <c r="Q31" s="4"/>
      <c r="R31" s="10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/>
    </row>
    <row r="32" spans="1:29" hidden="1" x14ac:dyDescent="0.25">
      <c r="A32" s="4" t="s">
        <v>107</v>
      </c>
      <c r="B32" s="10">
        <v>92.81</v>
      </c>
      <c r="C32" s="13"/>
      <c r="D32" s="10">
        <f>_xlfn.IFNA(VLOOKUP(Table1[[#This Row],[STATION (current)]],AllP20!B$2:F$93,5,FALSE),"")</f>
        <v>95.68</v>
      </c>
      <c r="E32" s="10"/>
      <c r="F32" s="10">
        <f>_xlfn.IFNA(VLOOKUP(Table1[[#This Row],[STATION (current)]],AllP20!B$2:I$93,8,FALSE),"")</f>
        <v>95.68</v>
      </c>
      <c r="G32" s="10"/>
      <c r="H32" s="10">
        <f>_xlfn.IFNA(VLOOKUP(Table1[[#This Row],[STATION (current)]],AllP20!B$2:L$93,11,FALSE),"")</f>
        <v>95.68</v>
      </c>
      <c r="I32" s="10"/>
      <c r="J32" s="10">
        <f>_xlfn.IFNA(VLOOKUP(Table1[[#This Row],[STATION (current)]],AllP20!B$2:O$93,14,FALSE),"")</f>
        <v>95.68</v>
      </c>
      <c r="K32" s="10"/>
      <c r="L32" s="10">
        <f>_xlfn.IFNA(VLOOKUP(Table1[[#This Row],[STATION (current)]],AllP20!B$2:R$93,17,FALSE),"")</f>
        <v>95.68</v>
      </c>
      <c r="M32" s="10"/>
      <c r="N32" s="10">
        <f>_xlfn.IFNA(VLOOKUP(Table1[[#This Row],[STATION (current)]],AllP20!B$2:U$93,20,FALSE),"")</f>
        <v>95.68</v>
      </c>
      <c r="O32" s="10"/>
      <c r="P32" s="10"/>
      <c r="Q32" s="4"/>
      <c r="R32" s="10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/>
    </row>
    <row r="33" spans="1:33" x14ac:dyDescent="0.25">
      <c r="A33" s="4" t="s">
        <v>111</v>
      </c>
      <c r="B33" s="14">
        <f>_xlfn.IFNA(VLOOKUP(Table1[[#This Row],[STATION (current)]],AllP20!B$2:C$93,2,FALSE),"")</f>
        <v>102.59884</v>
      </c>
      <c r="C33" s="15">
        <f>IFERROR(Table1[[#This Row],[2011_P20]]-Table1[[#This Row],[OldP80@NAVD]],"")</f>
        <v>0.26185663537819437</v>
      </c>
      <c r="D33" s="10">
        <f>_xlfn.IFNA(VLOOKUP(Table1[[#This Row],[STATION (current)]],AllP20!B$2:F$93,5,FALSE),"")</f>
        <v>102.93</v>
      </c>
      <c r="E33" s="10">
        <f>IFERROR(Table1[[#This Row],[2012_P20]]-Table1[[#This Row],[OldP80@NAVD]],"")</f>
        <v>0.59301663537820559</v>
      </c>
      <c r="F33" s="14">
        <f>_xlfn.IFNA(VLOOKUP(Table1[[#This Row],[STATION (current)]],AllP20!B$2:I$93,8,FALSE),"")</f>
        <v>102.97941</v>
      </c>
      <c r="G33" s="10">
        <f>IFERROR(Table1[[#This Row],[2013_P20]]-Table1[[#This Row],[OldP80@NAVD]],"")</f>
        <v>0.64242663537820022</v>
      </c>
      <c r="H33" s="10">
        <f>_xlfn.IFNA(VLOOKUP(Table1[[#This Row],[STATION (current)]],AllP20!B$2:L$93,11,FALSE),"")</f>
        <v>103.19069</v>
      </c>
      <c r="I33" s="10">
        <f>IFERROR(Table1[[#This Row],[2014_P20]]-Table1[[#This Row],[OldP80@NAVD]],"")</f>
        <v>0.85370663537820235</v>
      </c>
      <c r="J33" s="14">
        <f>_xlfn.IFNA(VLOOKUP(Table1[[#This Row],[STATION (current)]],AllP20!B$2:O$93,14,FALSE),"")</f>
        <v>103.42</v>
      </c>
      <c r="K33" s="10">
        <f>IFERROR(Table1[[#This Row],[2015_P20]]-Table1[[#This Row],[OldP80@NAVD]],"")</f>
        <v>1.0830166353782005</v>
      </c>
      <c r="L33" s="10">
        <f>_xlfn.IFNA(VLOOKUP(Table1[[#This Row],[STATION (current)]],AllP20!B$2:R$93,17,FALSE),"")</f>
        <v>103.59535</v>
      </c>
      <c r="M33" s="10">
        <f>IFERROR(Table1[[#This Row],[2016_P20]]-Table1[[#This Row],[OldP80@NAVD]],"")</f>
        <v>1.258366635378195</v>
      </c>
      <c r="N33" s="14">
        <f>_xlfn.IFNA(VLOOKUP(Table1[[#This Row],[STATION (current)]],AllP20!B$2:U$93,20,FALSE),"")</f>
        <v>103.57353000000001</v>
      </c>
      <c r="O33" s="10">
        <f>IFERROR(Table1[[#This Row],[2017_P20]]-Table1[[#This Row],[OldP80@NAVD]],"")</f>
        <v>1.236546635378204</v>
      </c>
      <c r="P33" s="2">
        <v>-0.85301663537820183</v>
      </c>
      <c r="Q33" s="4" t="s">
        <v>15</v>
      </c>
      <c r="R33" s="10">
        <v>103.19</v>
      </c>
      <c r="S33" s="13">
        <f>Table1[[#This Row],[P80NGVD]]+Table1[[#This Row],[shift]]</f>
        <v>102.3369833646218</v>
      </c>
      <c r="T33" s="13"/>
      <c r="U33" s="13"/>
      <c r="V33" s="13"/>
      <c r="W33" s="13"/>
      <c r="X33" s="13"/>
      <c r="Y33" s="13"/>
      <c r="Z33" s="13"/>
      <c r="AA33" s="13"/>
      <c r="AB33" s="13"/>
      <c r="AC33"/>
    </row>
    <row r="34" spans="1:33" hidden="1" x14ac:dyDescent="0.25">
      <c r="A34" s="4" t="s">
        <v>110</v>
      </c>
      <c r="B34" s="10">
        <v>102.59884</v>
      </c>
      <c r="C34" s="13"/>
      <c r="D34" s="10">
        <f>_xlfn.IFNA(VLOOKUP(Table1[[#This Row],[STATION (current)]],AllP20!B$2:F$93,5,FALSE),"")</f>
        <v>104.17</v>
      </c>
      <c r="E34" s="10"/>
      <c r="F34" s="10">
        <f>_xlfn.IFNA(VLOOKUP(Table1[[#This Row],[STATION (current)]],AllP20!B$2:I$93,8,FALSE),"")</f>
        <v>104.17</v>
      </c>
      <c r="G34" s="10"/>
      <c r="H34" s="10">
        <f>_xlfn.IFNA(VLOOKUP(Table1[[#This Row],[STATION (current)]],AllP20!B$2:L$93,11,FALSE),"")</f>
        <v>104.17</v>
      </c>
      <c r="I34" s="10"/>
      <c r="J34" s="10">
        <f>_xlfn.IFNA(VLOOKUP(Table1[[#This Row],[STATION (current)]],AllP20!B$2:O$93,14,FALSE),"")</f>
        <v>104.17</v>
      </c>
      <c r="K34" s="10"/>
      <c r="L34" s="10">
        <f>_xlfn.IFNA(VLOOKUP(Table1[[#This Row],[STATION (current)]],AllP20!B$2:R$93,17,FALSE),"")</f>
        <v>104.18407999999999</v>
      </c>
      <c r="M34" s="10"/>
      <c r="N34" s="10">
        <f>_xlfn.IFNA(VLOOKUP(Table1[[#This Row],[STATION (current)]],AllP20!B$2:U$93,20,FALSE),"")</f>
        <v>104.17</v>
      </c>
      <c r="O34" s="10"/>
      <c r="P34" s="10"/>
      <c r="Q34" s="4"/>
      <c r="R34" s="10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/>
    </row>
    <row r="35" spans="1:33" hidden="1" x14ac:dyDescent="0.25">
      <c r="A35" s="4" t="s">
        <v>119</v>
      </c>
      <c r="B35" s="10">
        <v>102.5</v>
      </c>
      <c r="C35" s="13"/>
      <c r="D35" s="10">
        <f>_xlfn.IFNA(VLOOKUP(Table1[[#This Row],[STATION (current)]],AllP20!B$2:F$93,5,FALSE),"")</f>
        <v>102.5</v>
      </c>
      <c r="E35" s="10"/>
      <c r="F35" s="10">
        <f>_xlfn.IFNA(VLOOKUP(Table1[[#This Row],[STATION (current)]],AllP20!B$2:I$93,8,FALSE),"")</f>
        <v>102.5</v>
      </c>
      <c r="G35" s="10"/>
      <c r="H35" s="10">
        <f>_xlfn.IFNA(VLOOKUP(Table1[[#This Row],[STATION (current)]],AllP20!B$2:L$93,11,FALSE),"")</f>
        <v>102.5</v>
      </c>
      <c r="I35" s="10"/>
      <c r="J35" s="10">
        <f>_xlfn.IFNA(VLOOKUP(Table1[[#This Row],[STATION (current)]],AllP20!B$2:O$93,14,FALSE),"")</f>
        <v>102.52667</v>
      </c>
      <c r="K35" s="10"/>
      <c r="L35" s="10">
        <f>_xlfn.IFNA(VLOOKUP(Table1[[#This Row],[STATION (current)]],AllP20!B$2:R$93,17,FALSE),"")</f>
        <v>102.59</v>
      </c>
      <c r="M35" s="10"/>
      <c r="N35" s="10">
        <f>_xlfn.IFNA(VLOOKUP(Table1[[#This Row],[STATION (current)]],AllP20!B$2:U$93,20,FALSE),"")</f>
        <v>102.59</v>
      </c>
      <c r="O35" s="10"/>
      <c r="P35" s="10"/>
      <c r="Q35" s="4"/>
      <c r="R35" s="10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/>
    </row>
    <row r="36" spans="1:33" hidden="1" x14ac:dyDescent="0.25">
      <c r="A36" s="4" t="s">
        <v>120</v>
      </c>
      <c r="B36" s="10" t="s">
        <v>121</v>
      </c>
      <c r="C36" s="13" t="str">
        <f>IFERROR(Table1[[#This Row],[2011_P20]]-Table1[[#This Row],[OldP80@NAVD]],"")</f>
        <v/>
      </c>
      <c r="D36" s="10" t="str">
        <f>_xlfn.IFNA(VLOOKUP(Table1[[#This Row],[STATION (current)]],AllP20!B$2:F$93,5,FALSE),"")</f>
        <v>NA</v>
      </c>
      <c r="E36" s="10"/>
      <c r="F36" s="10" t="str">
        <f>_xlfn.IFNA(VLOOKUP(Table1[[#This Row],[STATION (current)]],AllP20!B$2:I$93,8,FALSE),"")</f>
        <v>NA</v>
      </c>
      <c r="G36" s="10"/>
      <c r="H36" s="10" t="str">
        <f>_xlfn.IFNA(VLOOKUP(Table1[[#This Row],[STATION (current)]],AllP20!B$2:L$93,11,FALSE),"")</f>
        <v>NA</v>
      </c>
      <c r="I36" s="10"/>
      <c r="J36" s="10" t="str">
        <f>_xlfn.IFNA(VLOOKUP(Table1[[#This Row],[STATION (current)]],AllP20!B$2:O$93,14,FALSE),"")</f>
        <v>NA</v>
      </c>
      <c r="K36" s="10"/>
      <c r="L36" s="10">
        <f>_xlfn.IFNA(VLOOKUP(Table1[[#This Row],[STATION (current)]],AllP20!B$2:R$93,17,FALSE),"")</f>
        <v>103.39245</v>
      </c>
      <c r="M36" s="10"/>
      <c r="N36" s="10">
        <f>_xlfn.IFNA(VLOOKUP(Table1[[#This Row],[STATION (current)]],AllP20!B$2:U$93,20,FALSE),"")</f>
        <v>103.40600000000001</v>
      </c>
      <c r="O36" s="10"/>
      <c r="P36" s="10"/>
      <c r="Q36" s="4"/>
      <c r="R36" s="10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/>
      <c r="AD36"/>
      <c r="AE36"/>
      <c r="AF36"/>
      <c r="AG36"/>
    </row>
    <row r="37" spans="1:33" hidden="1" x14ac:dyDescent="0.25">
      <c r="A37" s="4" t="s">
        <v>112</v>
      </c>
      <c r="B37" s="10">
        <v>98.44</v>
      </c>
      <c r="C37" s="13"/>
      <c r="D37" s="10">
        <f>_xlfn.IFNA(VLOOKUP(Table1[[#This Row],[STATION (current)]],AllP20!B$2:F$93,5,FALSE),"")</f>
        <v>98.44</v>
      </c>
      <c r="E37" s="10"/>
      <c r="F37" s="10">
        <f>_xlfn.IFNA(VLOOKUP(Table1[[#This Row],[STATION (current)]],AllP20!B$2:I$93,8,FALSE),"")</f>
        <v>98.44</v>
      </c>
      <c r="G37" s="10"/>
      <c r="H37" s="10">
        <f>_xlfn.IFNA(VLOOKUP(Table1[[#This Row],[STATION (current)]],AllP20!B$2:L$93,11,FALSE),"")</f>
        <v>98.44</v>
      </c>
      <c r="I37" s="10"/>
      <c r="J37" s="10">
        <f>_xlfn.IFNA(VLOOKUP(Table1[[#This Row],[STATION (current)]],AllP20!B$2:O$93,14,FALSE),"")</f>
        <v>98.44</v>
      </c>
      <c r="K37" s="10"/>
      <c r="L37" s="10">
        <f>_xlfn.IFNA(VLOOKUP(Table1[[#This Row],[STATION (current)]],AllP20!B$2:R$93,17,FALSE),"")</f>
        <v>98.44</v>
      </c>
      <c r="M37" s="10"/>
      <c r="N37" s="10">
        <f>_xlfn.IFNA(VLOOKUP(Table1[[#This Row],[STATION (current)]],AllP20!B$2:U$93,20,FALSE),"")</f>
        <v>98.44</v>
      </c>
      <c r="O37" s="10"/>
      <c r="P37" s="10"/>
      <c r="Q37" s="4"/>
      <c r="R37" s="10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/>
      <c r="AD37"/>
      <c r="AE37"/>
      <c r="AF37"/>
      <c r="AG37"/>
    </row>
    <row r="38" spans="1:33" hidden="1" x14ac:dyDescent="0.25">
      <c r="A38" s="4" t="s">
        <v>113</v>
      </c>
      <c r="B38" s="10">
        <v>96.172389999999993</v>
      </c>
      <c r="C38" s="13"/>
      <c r="D38" s="10">
        <f>_xlfn.IFNA(VLOOKUP(Table1[[#This Row],[STATION (current)]],AllP20!B$2:F$93,5,FALSE),"")</f>
        <v>96.462350000000001</v>
      </c>
      <c r="E38" s="10"/>
      <c r="F38" s="10">
        <f>_xlfn.IFNA(VLOOKUP(Table1[[#This Row],[STATION (current)]],AllP20!B$2:I$93,8,FALSE),"")</f>
        <v>96.837199999999996</v>
      </c>
      <c r="G38" s="10"/>
      <c r="H38" s="10">
        <f>_xlfn.IFNA(VLOOKUP(Table1[[#This Row],[STATION (current)]],AllP20!B$2:L$93,11,FALSE),"")</f>
        <v>97.093010000000007</v>
      </c>
      <c r="I38" s="10"/>
      <c r="J38" s="10">
        <f>_xlfn.IFNA(VLOOKUP(Table1[[#This Row],[STATION (current)]],AllP20!B$2:O$93,14,FALSE),"")</f>
        <v>97.357709999999997</v>
      </c>
      <c r="K38" s="10"/>
      <c r="L38" s="10">
        <f>_xlfn.IFNA(VLOOKUP(Table1[[#This Row],[STATION (current)]],AllP20!B$2:R$93,17,FALSE),"")</f>
        <v>97.582070000000002</v>
      </c>
      <c r="M38" s="10"/>
      <c r="N38" s="10">
        <f>_xlfn.IFNA(VLOOKUP(Table1[[#This Row],[STATION (current)]],AllP20!B$2:U$93,20,FALSE),"")</f>
        <v>97.645520000000005</v>
      </c>
      <c r="O38" s="10"/>
      <c r="P38" s="10"/>
      <c r="Q38" s="4"/>
      <c r="R38" s="10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/>
      <c r="AD38"/>
      <c r="AE38"/>
      <c r="AF38"/>
      <c r="AG38"/>
    </row>
    <row r="39" spans="1:33" hidden="1" x14ac:dyDescent="0.25">
      <c r="A39" s="4" t="s">
        <v>114</v>
      </c>
      <c r="B39" s="10">
        <v>96.6</v>
      </c>
      <c r="C39" s="13"/>
      <c r="D39" s="10">
        <f>_xlfn.IFNA(VLOOKUP(Table1[[#This Row],[STATION (current)]],AllP20!B$2:F$93,5,FALSE),"")</f>
        <v>96.82</v>
      </c>
      <c r="E39" s="10"/>
      <c r="F39" s="10">
        <f>_xlfn.IFNA(VLOOKUP(Table1[[#This Row],[STATION (current)]],AllP20!B$2:I$93,8,FALSE),"")</f>
        <v>96.98</v>
      </c>
      <c r="G39" s="10"/>
      <c r="H39" s="10">
        <f>_xlfn.IFNA(VLOOKUP(Table1[[#This Row],[STATION (current)]],AllP20!B$2:L$93,11,FALSE),"")</f>
        <v>97.12</v>
      </c>
      <c r="I39" s="10"/>
      <c r="J39" s="10">
        <f>_xlfn.IFNA(VLOOKUP(Table1[[#This Row],[STATION (current)]],AllP20!B$2:O$93,14,FALSE),"")</f>
        <v>97.221999999999994</v>
      </c>
      <c r="K39" s="10"/>
      <c r="L39" s="10">
        <f>_xlfn.IFNA(VLOOKUP(Table1[[#This Row],[STATION (current)]],AllP20!B$2:R$93,17,FALSE),"")</f>
        <v>97.39</v>
      </c>
      <c r="M39" s="10"/>
      <c r="N39" s="10">
        <f>_xlfn.IFNA(VLOOKUP(Table1[[#This Row],[STATION (current)]],AllP20!B$2:U$93,20,FALSE),"")</f>
        <v>97.623999999999995</v>
      </c>
      <c r="O39" s="10"/>
      <c r="P39" s="10"/>
      <c r="Q39" s="4"/>
      <c r="R39" s="10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/>
      <c r="AD39"/>
      <c r="AE39"/>
      <c r="AF39"/>
      <c r="AG39"/>
    </row>
    <row r="40" spans="1:33" hidden="1" x14ac:dyDescent="0.25">
      <c r="A40" s="4" t="s">
        <v>115</v>
      </c>
      <c r="B40" s="10">
        <v>87.828050000000005</v>
      </c>
      <c r="C40" s="13"/>
      <c r="D40" s="10">
        <f>_xlfn.IFNA(VLOOKUP(Table1[[#This Row],[STATION (current)]],AllP20!B$2:F$93,5,FALSE),"")</f>
        <v>88.017110000000002</v>
      </c>
      <c r="E40" s="10"/>
      <c r="F40" s="10">
        <f>_xlfn.IFNA(VLOOKUP(Table1[[#This Row],[STATION (current)]],AllP20!B$2:I$93,8,FALSE),"")</f>
        <v>88.335329999999999</v>
      </c>
      <c r="G40" s="10"/>
      <c r="H40" s="10">
        <f>_xlfn.IFNA(VLOOKUP(Table1[[#This Row],[STATION (current)]],AllP20!B$2:L$93,11,FALSE),"")</f>
        <v>88.769329999999997</v>
      </c>
      <c r="I40" s="10"/>
      <c r="J40" s="10">
        <f>_xlfn.IFNA(VLOOKUP(Table1[[#This Row],[STATION (current)]],AllP20!B$2:O$93,14,FALSE),"")</f>
        <v>89.138800000000003</v>
      </c>
      <c r="K40" s="10"/>
      <c r="L40" s="10">
        <f>_xlfn.IFNA(VLOOKUP(Table1[[#This Row],[STATION (current)]],AllP20!B$2:R$93,17,FALSE),"")</f>
        <v>89.344440000000006</v>
      </c>
      <c r="M40" s="10"/>
      <c r="N40" s="10">
        <f>_xlfn.IFNA(VLOOKUP(Table1[[#This Row],[STATION (current)]],AllP20!B$2:U$93,20,FALSE),"")</f>
        <v>89.317430000000002</v>
      </c>
      <c r="O40" s="10"/>
      <c r="P40" s="10"/>
      <c r="Q40" s="4"/>
      <c r="R40" s="10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/>
      <c r="AD40"/>
      <c r="AE40"/>
      <c r="AF40"/>
      <c r="AG40"/>
    </row>
    <row r="41" spans="1:33" x14ac:dyDescent="0.25">
      <c r="A41" s="4" t="s">
        <v>118</v>
      </c>
      <c r="B41" s="14">
        <f>_xlfn.IFNA(VLOOKUP(Table1[[#This Row],[STATION (current)]],AllP20!B$2:C$93,2,FALSE),"")</f>
        <v>91.73</v>
      </c>
      <c r="C41" s="15">
        <f>IFERROR(Table1[[#This Row],[2011_P20]]-Table1[[#This Row],[OldP80@NAVD]],"")</f>
        <v>0.10999999999999943</v>
      </c>
      <c r="D41" s="10">
        <f>_xlfn.IFNA(VLOOKUP(Table1[[#This Row],[STATION (current)]],AllP20!B$2:F$93,5,FALSE),"")</f>
        <v>91.66</v>
      </c>
      <c r="E41" s="10">
        <f>IFERROR(Table1[[#This Row],[2012_P20]]-Table1[[#This Row],[OldP80@NAVD]],"")</f>
        <v>3.9999999999992042E-2</v>
      </c>
      <c r="F41" s="14">
        <f>_xlfn.IFNA(VLOOKUP(Table1[[#This Row],[STATION (current)]],AllP20!B$2:I$93,8,FALSE),"")</f>
        <v>91.64</v>
      </c>
      <c r="G41" s="10">
        <f>IFERROR(Table1[[#This Row],[2013_P20]]-Table1[[#This Row],[OldP80@NAVD]],"")</f>
        <v>1.9999999999996021E-2</v>
      </c>
      <c r="H41" s="10">
        <f>_xlfn.IFNA(VLOOKUP(Table1[[#This Row],[STATION (current)]],AllP20!B$2:L$93,11,FALSE),"")</f>
        <v>91.7</v>
      </c>
      <c r="I41" s="10">
        <f>IFERROR(Table1[[#This Row],[2014_P20]]-Table1[[#This Row],[OldP80@NAVD]],"")</f>
        <v>7.9999999999998295E-2</v>
      </c>
      <c r="J41" s="14">
        <f>_xlfn.IFNA(VLOOKUP(Table1[[#This Row],[STATION (current)]],AllP20!B$2:O$93,14,FALSE),"")</f>
        <v>91.75</v>
      </c>
      <c r="K41" s="10">
        <f>IFERROR(Table1[[#This Row],[2015_P20]]-Table1[[#This Row],[OldP80@NAVD]],"")</f>
        <v>0.12999999999999545</v>
      </c>
      <c r="L41" s="10">
        <f>_xlfn.IFNA(VLOOKUP(Table1[[#This Row],[STATION (current)]],AllP20!B$2:R$93,17,FALSE),"")</f>
        <v>91.79</v>
      </c>
      <c r="M41" s="10">
        <f>IFERROR(Table1[[#This Row],[2016_P20]]-Table1[[#This Row],[OldP80@NAVD]],"")</f>
        <v>0.17000000000000171</v>
      </c>
      <c r="N41" s="14">
        <f>_xlfn.IFNA(VLOOKUP(Table1[[#This Row],[STATION (current)]],AllP20!B$2:U$93,20,FALSE),"")</f>
        <v>91.75</v>
      </c>
      <c r="O41" s="10">
        <f>IFERROR(Table1[[#This Row],[2017_P20]]-Table1[[#This Row],[OldP80@NAVD]],"")</f>
        <v>0.12999999999999545</v>
      </c>
      <c r="P41" s="10">
        <v>-1.02</v>
      </c>
      <c r="Q41" s="4" t="s">
        <v>5</v>
      </c>
      <c r="R41" s="10">
        <v>92.64</v>
      </c>
      <c r="S41" s="13">
        <f>Table1[[#This Row],[P80NGVD]]+Table1[[#This Row],[shift]]</f>
        <v>91.62</v>
      </c>
      <c r="T41" s="13"/>
      <c r="U41" s="13"/>
      <c r="V41" s="13"/>
      <c r="W41" s="13"/>
      <c r="X41" s="13"/>
      <c r="Y41" s="13"/>
      <c r="Z41" s="13"/>
      <c r="AA41" s="13"/>
      <c r="AB41" s="13"/>
      <c r="AC41"/>
      <c r="AD41"/>
      <c r="AE41"/>
      <c r="AF41"/>
      <c r="AG41"/>
    </row>
    <row r="42" spans="1:33" hidden="1" x14ac:dyDescent="0.25">
      <c r="A42" s="4" t="s">
        <v>117</v>
      </c>
      <c r="B42" s="10">
        <v>89.547560000000004</v>
      </c>
      <c r="C42" s="13"/>
      <c r="D42" s="10">
        <f>_xlfn.IFNA(VLOOKUP(Table1[[#This Row],[STATION (current)]],AllP20!B$2:F$93,5,FALSE),"")</f>
        <v>89.523949999999999</v>
      </c>
      <c r="E42" s="10"/>
      <c r="F42" s="10">
        <f>_xlfn.IFNA(VLOOKUP(Table1[[#This Row],[STATION (current)]],AllP20!B$2:I$93,8,FALSE),"")</f>
        <v>89.686570000000003</v>
      </c>
      <c r="G42" s="10"/>
      <c r="H42" s="10">
        <f>_xlfn.IFNA(VLOOKUP(Table1[[#This Row],[STATION (current)]],AllP20!B$2:L$93,11,FALSE),"")</f>
        <v>89.840320000000006</v>
      </c>
      <c r="I42" s="10"/>
      <c r="J42" s="10">
        <f>_xlfn.IFNA(VLOOKUP(Table1[[#This Row],[STATION (current)]],AllP20!B$2:O$93,14,FALSE),"")</f>
        <v>90.068920000000006</v>
      </c>
      <c r="K42" s="10"/>
      <c r="L42" s="10">
        <f>_xlfn.IFNA(VLOOKUP(Table1[[#This Row],[STATION (current)]],AllP20!B$2:R$93,17,FALSE),"")</f>
        <v>90.162570000000002</v>
      </c>
      <c r="M42" s="10"/>
      <c r="N42" s="10">
        <f>_xlfn.IFNA(VLOOKUP(Table1[[#This Row],[STATION (current)]],AllP20!B$2:U$93,20,FALSE),"")</f>
        <v>90.155950000000004</v>
      </c>
      <c r="O42" s="10"/>
      <c r="P42" s="10"/>
      <c r="Q42" s="4"/>
      <c r="R42" s="10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/>
      <c r="AD42"/>
      <c r="AE42"/>
      <c r="AF42"/>
      <c r="AG42"/>
    </row>
    <row r="43" spans="1:33" hidden="1" x14ac:dyDescent="0.25">
      <c r="A43" s="4" t="s">
        <v>116</v>
      </c>
      <c r="B43" s="10">
        <v>91.73</v>
      </c>
      <c r="C43" s="13"/>
      <c r="D43" s="10">
        <f>_xlfn.IFNA(VLOOKUP(Table1[[#This Row],[STATION (current)]],AllP20!B$2:F$93,5,FALSE),"")</f>
        <v>91.483599999999996</v>
      </c>
      <c r="E43" s="10"/>
      <c r="F43" s="10">
        <f>_xlfn.IFNA(VLOOKUP(Table1[[#This Row],[STATION (current)]],AllP20!B$2:I$93,8,FALSE),"")</f>
        <v>91.499709999999993</v>
      </c>
      <c r="G43" s="10"/>
      <c r="H43" s="10">
        <f>_xlfn.IFNA(VLOOKUP(Table1[[#This Row],[STATION (current)]],AllP20!B$2:L$93,11,FALSE),"")</f>
        <v>91.552260000000004</v>
      </c>
      <c r="I43" s="10"/>
      <c r="J43" s="10">
        <f>_xlfn.IFNA(VLOOKUP(Table1[[#This Row],[STATION (current)]],AllP20!B$2:O$93,14,FALSE),"")</f>
        <v>91.620270000000005</v>
      </c>
      <c r="K43" s="10"/>
      <c r="L43" s="10">
        <f>_xlfn.IFNA(VLOOKUP(Table1[[#This Row],[STATION (current)]],AllP20!B$2:R$93,17,FALSE),"")</f>
        <v>91.682730000000006</v>
      </c>
      <c r="M43" s="10"/>
      <c r="N43" s="10">
        <f>_xlfn.IFNA(VLOOKUP(Table1[[#This Row],[STATION (current)]],AllP20!B$2:U$93,20,FALSE),"")</f>
        <v>91.641990000000007</v>
      </c>
      <c r="O43" s="10"/>
      <c r="P43" s="10"/>
      <c r="Q43" s="4"/>
      <c r="R43" s="10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/>
      <c r="AD43"/>
      <c r="AE43"/>
      <c r="AF43"/>
      <c r="AG43"/>
    </row>
    <row r="44" spans="1:33" x14ac:dyDescent="0.25">
      <c r="A44" s="4" t="s">
        <v>122</v>
      </c>
      <c r="B44" s="14">
        <f>_xlfn.IFNA(VLOOKUP(Table1[[#This Row],[STATION (current)]],AllP20!B$2:C$93,2,FALSE),"")</f>
        <v>22.20392</v>
      </c>
      <c r="C44" s="15">
        <f>IFERROR(Table1[[#This Row],[2011_P20]]-Table1[[#This Row],[OldP80@NAVD]],"")</f>
        <v>-0.49886412990272078</v>
      </c>
      <c r="D44" s="10">
        <f>_xlfn.IFNA(VLOOKUP(Table1[[#This Row],[STATION (current)]],AllP20!B$2:F$93,5,FALSE),"")</f>
        <v>22.057690000000001</v>
      </c>
      <c r="E44" s="10">
        <f>IFERROR(Table1[[#This Row],[2012_P20]]-Table1[[#This Row],[OldP80@NAVD]],"")</f>
        <v>-0.64509412990271997</v>
      </c>
      <c r="F44" s="14">
        <f>_xlfn.IFNA(VLOOKUP(Table1[[#This Row],[STATION (current)]],AllP20!B$2:I$93,8,FALSE),"")</f>
        <v>20.728149999999999</v>
      </c>
      <c r="G44" s="10">
        <f>IFERROR(Table1[[#This Row],[2013_P20]]-Table1[[#This Row],[OldP80@NAVD]],"")</f>
        <v>-1.9746341299027215</v>
      </c>
      <c r="H44" s="10">
        <f>_xlfn.IFNA(VLOOKUP(Table1[[#This Row],[STATION (current)]],AllP20!B$2:L$93,11,FALSE),"")</f>
        <v>20.514230000000001</v>
      </c>
      <c r="I44" s="10">
        <f>IFERROR(Table1[[#This Row],[2014_P20]]-Table1[[#This Row],[OldP80@NAVD]],"")</f>
        <v>-2.1885541299027196</v>
      </c>
      <c r="J44" s="14">
        <f>_xlfn.IFNA(VLOOKUP(Table1[[#This Row],[STATION (current)]],AllP20!B$2:O$93,14,FALSE),"")</f>
        <v>20.651630000000001</v>
      </c>
      <c r="K44" s="10">
        <f>IFERROR(Table1[[#This Row],[2015_P20]]-Table1[[#This Row],[OldP80@NAVD]],"")</f>
        <v>-2.0511541299027201</v>
      </c>
      <c r="L44" s="10">
        <f>_xlfn.IFNA(VLOOKUP(Table1[[#This Row],[STATION (current)]],AllP20!B$2:R$93,17,FALSE),"")</f>
        <v>20.627690000000001</v>
      </c>
      <c r="M44" s="10">
        <f>IFERROR(Table1[[#This Row],[2016_P20]]-Table1[[#This Row],[OldP80@NAVD]],"")</f>
        <v>-2.0750941299027197</v>
      </c>
      <c r="N44" s="14">
        <f>_xlfn.IFNA(VLOOKUP(Table1[[#This Row],[STATION (current)]],AllP20!B$2:U$93,20,FALSE),"")</f>
        <v>20.446249999999999</v>
      </c>
      <c r="O44" s="10">
        <f>IFERROR(Table1[[#This Row],[2017_P20]]-Table1[[#This Row],[OldP80@NAVD]],"")</f>
        <v>-2.2565341299027217</v>
      </c>
      <c r="P44" s="26">
        <v>-1.0072158700972795</v>
      </c>
      <c r="Q44" s="4" t="s">
        <v>50</v>
      </c>
      <c r="R44" s="10">
        <v>23.71</v>
      </c>
      <c r="S44" s="13">
        <f>Table1[[#This Row],[P80NGVD]]+Table1[[#This Row],[shift]]</f>
        <v>22.702784129902721</v>
      </c>
      <c r="T44" s="13"/>
      <c r="U44" s="13"/>
      <c r="V44" s="13"/>
      <c r="W44" s="13"/>
      <c r="X44" s="13"/>
      <c r="Y44" s="13"/>
      <c r="Z44" s="13"/>
      <c r="AA44" s="13"/>
      <c r="AB44" s="13"/>
      <c r="AC44"/>
      <c r="AD44"/>
      <c r="AE44"/>
      <c r="AF44"/>
      <c r="AG44"/>
    </row>
    <row r="45" spans="1:33" x14ac:dyDescent="0.25">
      <c r="A45" s="4" t="s">
        <v>123</v>
      </c>
      <c r="B45" s="14">
        <f>_xlfn.IFNA(VLOOKUP(Table1[[#This Row],[STATION (current)]],AllP20!B$2:C$93,2,FALSE),"")</f>
        <v>80.78</v>
      </c>
      <c r="C45" s="15">
        <f>IFERROR(Table1[[#This Row],[2011_P20]]-Table1[[#This Row],[OldP80@NAVD]],"")</f>
        <v>-4.3256618951758696E-2</v>
      </c>
      <c r="D45" s="10">
        <f>_xlfn.IFNA(VLOOKUP(Table1[[#This Row],[STATION (current)]],AllP20!B$2:F$93,5,FALSE),"")</f>
        <v>80.804410000000004</v>
      </c>
      <c r="E45" s="10">
        <f>IFERROR(Table1[[#This Row],[2012_P20]]-Table1[[#This Row],[OldP80@NAVD]],"")</f>
        <v>-1.8846618951755545E-2</v>
      </c>
      <c r="F45" s="14">
        <f>_xlfn.IFNA(VLOOKUP(Table1[[#This Row],[STATION (current)]],AllP20!B$2:I$93,8,FALSE),"")</f>
        <v>80.88</v>
      </c>
      <c r="G45" s="10">
        <f>IFERROR(Table1[[#This Row],[2013_P20]]-Table1[[#This Row],[OldP80@NAVD]],"")</f>
        <v>5.6743381048235619E-2</v>
      </c>
      <c r="H45" s="10">
        <f>_xlfn.IFNA(VLOOKUP(Table1[[#This Row],[STATION (current)]],AllP20!B$2:L$93,11,FALSE),"")</f>
        <v>80.966669999999993</v>
      </c>
      <c r="I45" s="10">
        <f>IFERROR(Table1[[#This Row],[2014_P20]]-Table1[[#This Row],[OldP80@NAVD]],"")</f>
        <v>0.14341338104823365</v>
      </c>
      <c r="J45" s="14">
        <f>_xlfn.IFNA(VLOOKUP(Table1[[#This Row],[STATION (current)]],AllP20!B$2:O$93,14,FALSE),"")</f>
        <v>81.06</v>
      </c>
      <c r="K45" s="10">
        <f>IFERROR(Table1[[#This Row],[2015_P20]]-Table1[[#This Row],[OldP80@NAVD]],"")</f>
        <v>0.23674338104824244</v>
      </c>
      <c r="L45" s="10">
        <f>_xlfn.IFNA(VLOOKUP(Table1[[#This Row],[STATION (current)]],AllP20!B$2:R$93,17,FALSE),"")</f>
        <v>81.126000000000005</v>
      </c>
      <c r="M45" s="10">
        <f>IFERROR(Table1[[#This Row],[2016_P20]]-Table1[[#This Row],[OldP80@NAVD]],"")</f>
        <v>0.30274338104824494</v>
      </c>
      <c r="N45" s="14">
        <f>_xlfn.IFNA(VLOOKUP(Table1[[#This Row],[STATION (current)]],AllP20!B$2:U$93,20,FALSE),"")</f>
        <v>81.180000000000007</v>
      </c>
      <c r="O45" s="10">
        <f>IFERROR(Table1[[#This Row],[2017_P20]]-Table1[[#This Row],[OldP80@NAVD]],"")</f>
        <v>0.35674338104824699</v>
      </c>
      <c r="P45" s="2">
        <v>-1.0367433810482423</v>
      </c>
      <c r="Q45" s="4" t="s">
        <v>34</v>
      </c>
      <c r="R45" s="10">
        <v>81.86</v>
      </c>
      <c r="S45" s="13">
        <f>Table1[[#This Row],[P80NGVD]]+Table1[[#This Row],[shift]]</f>
        <v>80.82325661895176</v>
      </c>
      <c r="T45" s="13"/>
      <c r="U45" s="13"/>
      <c r="V45" s="13"/>
      <c r="W45" s="13"/>
      <c r="X45" s="13"/>
      <c r="Y45" s="13"/>
      <c r="Z45" s="13"/>
      <c r="AA45" s="13"/>
      <c r="AB45" s="13"/>
      <c r="AC45"/>
      <c r="AD45"/>
      <c r="AE45"/>
      <c r="AF45"/>
      <c r="AG45"/>
    </row>
    <row r="46" spans="1:33" x14ac:dyDescent="0.25">
      <c r="A46" s="4" t="s">
        <v>124</v>
      </c>
      <c r="B46" s="14">
        <f>_xlfn.IFNA(VLOOKUP(Table1[[#This Row],[STATION (current)]],AllP20!B$2:C$93,2,FALSE),"")</f>
        <v>92.27</v>
      </c>
      <c r="C46" s="15">
        <f>IFERROR(Table1[[#This Row],[2011_P20]]-Table1[[#This Row],[OldP80@NAVD]],"")</f>
        <v>-0.24073664476475187</v>
      </c>
      <c r="D46" s="10">
        <f>_xlfn.IFNA(VLOOKUP(Table1[[#This Row],[STATION (current)]],AllP20!B$2:F$93,5,FALSE),"")</f>
        <v>92.008240000000001</v>
      </c>
      <c r="E46" s="10">
        <f>IFERROR(Table1[[#This Row],[2012_P20]]-Table1[[#This Row],[OldP80@NAVD]],"")</f>
        <v>-0.5024966447647472</v>
      </c>
      <c r="F46" s="14">
        <f>_xlfn.IFNA(VLOOKUP(Table1[[#This Row],[STATION (current)]],AllP20!B$2:I$93,8,FALSE),"")</f>
        <v>91.959180000000003</v>
      </c>
      <c r="G46" s="10">
        <f>IFERROR(Table1[[#This Row],[2013_P20]]-Table1[[#This Row],[OldP80@NAVD]],"")</f>
        <v>-0.55155664476474442</v>
      </c>
      <c r="H46" s="10">
        <f>_xlfn.IFNA(VLOOKUP(Table1[[#This Row],[STATION (current)]],AllP20!B$2:L$93,11,FALSE),"")</f>
        <v>92.157929999999993</v>
      </c>
      <c r="I46" s="10">
        <f>IFERROR(Table1[[#This Row],[2014_P20]]-Table1[[#This Row],[OldP80@NAVD]],"")</f>
        <v>-0.35280664476475465</v>
      </c>
      <c r="J46" s="14">
        <f>_xlfn.IFNA(VLOOKUP(Table1[[#This Row],[STATION (current)]],AllP20!B$2:O$93,14,FALSE),"")</f>
        <v>92.331209999999999</v>
      </c>
      <c r="K46" s="10">
        <f>IFERROR(Table1[[#This Row],[2015_P20]]-Table1[[#This Row],[OldP80@NAVD]],"")</f>
        <v>-0.17952664476474922</v>
      </c>
      <c r="L46" s="10">
        <f>_xlfn.IFNA(VLOOKUP(Table1[[#This Row],[STATION (current)]],AllP20!B$2:R$93,17,FALSE),"")</f>
        <v>92.610969999999995</v>
      </c>
      <c r="M46" s="10">
        <f>IFERROR(Table1[[#This Row],[2016_P20]]-Table1[[#This Row],[OldP80@NAVD]],"")</f>
        <v>0.10023335523524679</v>
      </c>
      <c r="N46" s="14">
        <f>_xlfn.IFNA(VLOOKUP(Table1[[#This Row],[STATION (current)]],AllP20!B$2:U$93,20,FALSE),"")</f>
        <v>92.697040000000001</v>
      </c>
      <c r="O46" s="10">
        <f>IFERROR(Table1[[#This Row],[2017_P20]]-Table1[[#This Row],[OldP80@NAVD]],"")</f>
        <v>0.18630335523525332</v>
      </c>
      <c r="P46" s="2">
        <v>-0.87926335523525867</v>
      </c>
      <c r="Q46" s="4" t="s">
        <v>52</v>
      </c>
      <c r="R46" s="10">
        <v>93.39</v>
      </c>
      <c r="S46" s="13">
        <f>Table1[[#This Row],[P80NGVD]]+Table1[[#This Row],[shift]]</f>
        <v>92.510736644764748</v>
      </c>
      <c r="T46" s="13"/>
      <c r="U46" s="13"/>
      <c r="V46" s="13"/>
      <c r="W46" s="13"/>
      <c r="X46" s="13"/>
      <c r="Y46" s="13"/>
      <c r="Z46" s="13"/>
      <c r="AA46" s="13"/>
      <c r="AB46" s="13"/>
      <c r="AC46"/>
      <c r="AD46"/>
      <c r="AE46"/>
      <c r="AF46"/>
      <c r="AG46"/>
    </row>
    <row r="47" spans="1:33" x14ac:dyDescent="0.25">
      <c r="A47" s="4" t="s">
        <v>125</v>
      </c>
      <c r="B47" s="14">
        <f>_xlfn.IFNA(VLOOKUP(Table1[[#This Row],[STATION (current)]],AllP20!B$2:C$93,2,FALSE),"")</f>
        <v>108.76515999999999</v>
      </c>
      <c r="C47" s="15">
        <f>IFERROR(Table1[[#This Row],[2011_P20]]-Table1[[#This Row],[OldP80@NAVD]],"")</f>
        <v>1.5159999999994511E-2</v>
      </c>
      <c r="D47" s="10">
        <f>_xlfn.IFNA(VLOOKUP(Table1[[#This Row],[STATION (current)]],AllP20!B$2:F$93,5,FALSE),"")</f>
        <v>108.7645</v>
      </c>
      <c r="E47" s="10">
        <f>IFERROR(Table1[[#This Row],[2012_P20]]-Table1[[#This Row],[OldP80@NAVD]],"")</f>
        <v>1.4499999999998181E-2</v>
      </c>
      <c r="F47" s="14">
        <f>_xlfn.IFNA(VLOOKUP(Table1[[#This Row],[STATION (current)]],AllP20!B$2:I$93,8,FALSE),"")</f>
        <v>108.78937000000001</v>
      </c>
      <c r="G47" s="10">
        <f>IFERROR(Table1[[#This Row],[2013_P20]]-Table1[[#This Row],[OldP80@NAVD]],"")</f>
        <v>3.9370000000005234E-2</v>
      </c>
      <c r="H47" s="10">
        <f>_xlfn.IFNA(VLOOKUP(Table1[[#This Row],[STATION (current)]],AllP20!B$2:L$93,11,FALSE),"")</f>
        <v>108.81007</v>
      </c>
      <c r="I47" s="10">
        <f>IFERROR(Table1[[#This Row],[2014_P20]]-Table1[[#This Row],[OldP80@NAVD]],"")</f>
        <v>6.0069999999996071E-2</v>
      </c>
      <c r="J47" s="14">
        <f>_xlfn.IFNA(VLOOKUP(Table1[[#This Row],[STATION (current)]],AllP20!B$2:O$93,14,FALSE),"")</f>
        <v>108.81355000000001</v>
      </c>
      <c r="K47" s="10">
        <f>IFERROR(Table1[[#This Row],[2015_P20]]-Table1[[#This Row],[OldP80@NAVD]],"")</f>
        <v>6.3550000000006435E-2</v>
      </c>
      <c r="L47" s="10">
        <f>_xlfn.IFNA(VLOOKUP(Table1[[#This Row],[STATION (current)]],AllP20!B$2:R$93,17,FALSE),"")</f>
        <v>108.81355000000001</v>
      </c>
      <c r="M47" s="10">
        <f>IFERROR(Table1[[#This Row],[2016_P20]]-Table1[[#This Row],[OldP80@NAVD]],"")</f>
        <v>6.3550000000006435E-2</v>
      </c>
      <c r="N47" s="14">
        <f>_xlfn.IFNA(VLOOKUP(Table1[[#This Row],[STATION (current)]],AllP20!B$2:U$93,20,FALSE),"")</f>
        <v>108.81355000000001</v>
      </c>
      <c r="O47" s="10">
        <f>IFERROR(Table1[[#This Row],[2017_P20]]-Table1[[#This Row],[OldP80@NAVD]],"")</f>
        <v>6.3550000000006435E-2</v>
      </c>
      <c r="P47" s="2">
        <v>-1.2</v>
      </c>
      <c r="Q47" s="4" t="s">
        <v>42</v>
      </c>
      <c r="R47" s="10">
        <v>109.95</v>
      </c>
      <c r="S47" s="13">
        <f>Table1[[#This Row],[P80NGVD]]+Table1[[#This Row],[shift]]</f>
        <v>108.75</v>
      </c>
      <c r="T47" s="13"/>
      <c r="U47" s="13"/>
      <c r="V47" s="13"/>
      <c r="W47" s="13"/>
      <c r="X47" s="13"/>
      <c r="Y47" s="13"/>
      <c r="Z47" s="13"/>
      <c r="AA47" s="13"/>
      <c r="AB47" s="13"/>
      <c r="AC47"/>
      <c r="AD47"/>
      <c r="AE47"/>
      <c r="AF47"/>
      <c r="AG47"/>
    </row>
    <row r="48" spans="1:33" hidden="1" x14ac:dyDescent="0.25">
      <c r="A48" s="4" t="s">
        <v>155</v>
      </c>
      <c r="B48" s="14">
        <f>_xlfn.IFNA(VLOOKUP(Table1[[#This Row],[STATION (current)]],AllP20!B$2:C$93,2,FALSE),"")</f>
        <v>104.85</v>
      </c>
      <c r="C48" s="13"/>
      <c r="D48" s="10">
        <f>_xlfn.IFNA(VLOOKUP(Table1[[#This Row],[STATION (current)]],AllP20!B$2:F$93,5,FALSE),"")</f>
        <v>106.93463</v>
      </c>
      <c r="E48" s="10"/>
      <c r="F48" s="10">
        <f>_xlfn.IFNA(VLOOKUP(Table1[[#This Row],[STATION (current)]],AllP20!B$2:I$93,8,FALSE),"")</f>
        <v>107.34075</v>
      </c>
      <c r="G48" s="10"/>
      <c r="H48" s="10">
        <f>_xlfn.IFNA(VLOOKUP(Table1[[#This Row],[STATION (current)]],AllP20!B$2:L$93,11,FALSE),"")</f>
        <v>107.78316</v>
      </c>
      <c r="I48" s="10"/>
      <c r="J48" s="10">
        <f>_xlfn.IFNA(VLOOKUP(Table1[[#This Row],[STATION (current)]],AllP20!B$2:O$93,14,FALSE),"")</f>
        <v>108.14569</v>
      </c>
      <c r="K48" s="10"/>
      <c r="L48" s="10">
        <f>_xlfn.IFNA(VLOOKUP(Table1[[#This Row],[STATION (current)]],AllP20!B$2:R$93,17,FALSE),"")</f>
        <v>108.31133</v>
      </c>
      <c r="M48" s="10"/>
      <c r="N48" s="10">
        <f>_xlfn.IFNA(VLOOKUP(Table1[[#This Row],[STATION (current)]],AllP20!B$2:U$93,20,FALSE),"")</f>
        <v>108.35736</v>
      </c>
      <c r="O48" s="10"/>
      <c r="P48" s="12">
        <v>-1.2</v>
      </c>
      <c r="Q48" s="4"/>
      <c r="R48" s="10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/>
      <c r="AD48"/>
      <c r="AE48"/>
      <c r="AF48"/>
      <c r="AG48"/>
    </row>
    <row r="49" spans="1:33" x14ac:dyDescent="0.25">
      <c r="A49" s="4" t="s">
        <v>130</v>
      </c>
      <c r="B49" s="14">
        <f>_xlfn.IFNA(VLOOKUP(Table1[[#This Row],[STATION (current)]],AllP20!B$2:C$93,2,FALSE),"")</f>
        <v>80.195390000000003</v>
      </c>
      <c r="C49" s="15">
        <f>IFERROR(Table1[[#This Row],[2011_P20]]-Table1[[#This Row],[OldP80@NAVD]],"")</f>
        <v>-4.878496480047545E-2</v>
      </c>
      <c r="D49" s="10">
        <f>_xlfn.IFNA(VLOOKUP(Table1[[#This Row],[STATION (current)]],AllP20!B$2:F$93,5,FALSE),"")</f>
        <v>79.71123</v>
      </c>
      <c r="E49" s="10">
        <f>IFERROR(Table1[[#This Row],[2012_P20]]-Table1[[#This Row],[OldP80@NAVD]],"")</f>
        <v>-0.53294496480047826</v>
      </c>
      <c r="F49" s="14">
        <f>_xlfn.IFNA(VLOOKUP(Table1[[#This Row],[STATION (current)]],AllP20!B$2:I$93,8,FALSE),"")</f>
        <v>79.576340000000002</v>
      </c>
      <c r="G49" s="10">
        <f>IFERROR(Table1[[#This Row],[2013_P20]]-Table1[[#This Row],[OldP80@NAVD]],"")</f>
        <v>-0.66783496480047688</v>
      </c>
      <c r="H49" s="10">
        <f>_xlfn.IFNA(VLOOKUP(Table1[[#This Row],[STATION (current)]],AllP20!B$2:L$93,11,FALSE),"")</f>
        <v>79.64385</v>
      </c>
      <c r="I49" s="10">
        <f>IFERROR(Table1[[#This Row],[2014_P20]]-Table1[[#This Row],[OldP80@NAVD]],"")</f>
        <v>-0.60032496480047826</v>
      </c>
      <c r="J49" s="14">
        <f>_xlfn.IFNA(VLOOKUP(Table1[[#This Row],[STATION (current)]],AllP20!B$2:O$93,14,FALSE),"")</f>
        <v>79.73648</v>
      </c>
      <c r="K49" s="10">
        <f>IFERROR(Table1[[#This Row],[2015_P20]]-Table1[[#This Row],[OldP80@NAVD]],"")</f>
        <v>-0.50769496480047849</v>
      </c>
      <c r="L49" s="10">
        <f>_xlfn.IFNA(VLOOKUP(Table1[[#This Row],[STATION (current)]],AllP20!B$2:R$93,17,FALSE),"")</f>
        <v>79.823980000000006</v>
      </c>
      <c r="M49" s="10">
        <f>IFERROR(Table1[[#This Row],[2016_P20]]-Table1[[#This Row],[OldP80@NAVD]],"")</f>
        <v>-0.4201949648004728</v>
      </c>
      <c r="N49" s="14">
        <f>_xlfn.IFNA(VLOOKUP(Table1[[#This Row],[STATION (current)]],AllP20!B$2:U$93,20,FALSE),"")</f>
        <v>79.83</v>
      </c>
      <c r="O49" s="10">
        <f>IFERROR(Table1[[#This Row],[2017_P20]]-Table1[[#This Row],[OldP80@NAVD]],"")</f>
        <v>-0.41417496480048044</v>
      </c>
      <c r="P49" s="2">
        <v>-0.88582503519952294</v>
      </c>
      <c r="Q49" s="4" t="s">
        <v>64</v>
      </c>
      <c r="R49" s="10">
        <v>81.13</v>
      </c>
      <c r="S49" s="13">
        <f>Table1[[#This Row],[P80NGVD]]+Table1[[#This Row],[shift]]</f>
        <v>80.244174964800479</v>
      </c>
      <c r="T49" s="13"/>
      <c r="U49" s="13"/>
      <c r="V49" s="13"/>
      <c r="W49" s="13"/>
      <c r="X49" s="13"/>
      <c r="Y49" s="13"/>
      <c r="Z49" s="13"/>
      <c r="AA49" s="13"/>
      <c r="AB49" s="13"/>
      <c r="AC49"/>
      <c r="AD49"/>
      <c r="AE49"/>
      <c r="AF49"/>
      <c r="AG49"/>
    </row>
    <row r="50" spans="1:33" x14ac:dyDescent="0.25">
      <c r="A50" s="4" t="s">
        <v>44</v>
      </c>
      <c r="B50" s="14">
        <f>_xlfn.IFNA(VLOOKUP(Table1[[#This Row],[STATION (current)]],AllP20!B$2:C$93,2,FALSE),"")</f>
        <v>67.782219999999995</v>
      </c>
      <c r="C50" s="15">
        <f>IFERROR(Table1[[#This Row],[2011_P20]]-Table1[[#This Row],[OldP80@NAVD]],"")</f>
        <v>3.2219999999995252E-2</v>
      </c>
      <c r="D50" s="10">
        <f>_xlfn.IFNA(VLOOKUP(Table1[[#This Row],[STATION (current)]],AllP20!B$2:F$93,5,FALSE),"")</f>
        <v>67.719070000000002</v>
      </c>
      <c r="E50" s="10">
        <f>IFERROR(Table1[[#This Row],[2012_P20]]-Table1[[#This Row],[OldP80@NAVD]],"")</f>
        <v>-3.0929999999997904E-2</v>
      </c>
      <c r="F50" s="14">
        <f>_xlfn.IFNA(VLOOKUP(Table1[[#This Row],[STATION (current)]],AllP20!B$2:I$93,8,FALSE),"")</f>
        <v>67.760599999999997</v>
      </c>
      <c r="G50" s="10">
        <f>IFERROR(Table1[[#This Row],[2013_P20]]-Table1[[#This Row],[OldP80@NAVD]],"")</f>
        <v>1.0599999999996612E-2</v>
      </c>
      <c r="H50" s="10">
        <f>_xlfn.IFNA(VLOOKUP(Table1[[#This Row],[STATION (current)]],AllP20!B$2:L$93,11,FALSE),"")</f>
        <v>67.799840000000003</v>
      </c>
      <c r="I50" s="10">
        <f>IFERROR(Table1[[#This Row],[2014_P20]]-Table1[[#This Row],[OldP80@NAVD]],"")</f>
        <v>4.9840000000003215E-2</v>
      </c>
      <c r="J50" s="14">
        <f>_xlfn.IFNA(VLOOKUP(Table1[[#This Row],[STATION (current)]],AllP20!B$2:O$93,14,FALSE),"")</f>
        <v>67.83</v>
      </c>
      <c r="K50" s="10">
        <f>IFERROR(Table1[[#This Row],[2015_P20]]-Table1[[#This Row],[OldP80@NAVD]],"")</f>
        <v>7.9999999999998295E-2</v>
      </c>
      <c r="L50" s="10">
        <f>_xlfn.IFNA(VLOOKUP(Table1[[#This Row],[STATION (current)]],AllP20!B$2:R$93,17,FALSE),"")</f>
        <v>67.86936</v>
      </c>
      <c r="M50" s="10">
        <f>IFERROR(Table1[[#This Row],[2016_P20]]-Table1[[#This Row],[OldP80@NAVD]],"")</f>
        <v>0.11936000000000035</v>
      </c>
      <c r="N50" s="14">
        <f>_xlfn.IFNA(VLOOKUP(Table1[[#This Row],[STATION (current)]],AllP20!B$2:U$93,20,FALSE),"")</f>
        <v>67.871660000000006</v>
      </c>
      <c r="O50" s="10">
        <f>IFERROR(Table1[[#This Row],[2017_P20]]-Table1[[#This Row],[OldP80@NAVD]],"")</f>
        <v>0.12166000000000565</v>
      </c>
      <c r="P50" s="25">
        <v>-1.18</v>
      </c>
      <c r="Q50" s="4" t="s">
        <v>44</v>
      </c>
      <c r="R50" s="10">
        <v>68.930000000000007</v>
      </c>
      <c r="S50" s="13">
        <f>Table1[[#This Row],[P80NGVD]]+Table1[[#This Row],[shift]]</f>
        <v>67.75</v>
      </c>
      <c r="T50" s="13"/>
      <c r="U50" s="13"/>
      <c r="V50" s="13"/>
      <c r="W50" s="13"/>
      <c r="X50" s="13"/>
      <c r="Y50" s="13"/>
      <c r="Z50" s="13"/>
      <c r="AA50" s="13"/>
      <c r="AB50" s="13"/>
      <c r="AC50"/>
      <c r="AD50"/>
      <c r="AE50"/>
      <c r="AF50"/>
      <c r="AG50"/>
    </row>
    <row r="51" spans="1:33" x14ac:dyDescent="0.25">
      <c r="A51" s="4" t="s">
        <v>131</v>
      </c>
      <c r="B51" s="14">
        <f>_xlfn.IFNA(VLOOKUP(Table1[[#This Row],[STATION (current)]],AllP20!B$2:C$93,2,FALSE),"")</f>
        <v>85.051789999999997</v>
      </c>
      <c r="C51" s="15">
        <f>IFERROR(Table1[[#This Row],[2011_P20]]-Table1[[#This Row],[OldP80@NAVD]],"")</f>
        <v>-0.37222753363509753</v>
      </c>
      <c r="D51" s="10">
        <f>_xlfn.IFNA(VLOOKUP(Table1[[#This Row],[STATION (current)]],AllP20!B$2:F$93,5,FALSE),"")</f>
        <v>85.11909</v>
      </c>
      <c r="E51" s="10">
        <f>IFERROR(Table1[[#This Row],[2012_P20]]-Table1[[#This Row],[OldP80@NAVD]],"")</f>
        <v>-0.30492753363509451</v>
      </c>
      <c r="F51" s="14">
        <f>_xlfn.IFNA(VLOOKUP(Table1[[#This Row],[STATION (current)]],AllP20!B$2:I$93,8,FALSE),"")</f>
        <v>85.091200000000001</v>
      </c>
      <c r="G51" s="10">
        <f>IFERROR(Table1[[#This Row],[2013_P20]]-Table1[[#This Row],[OldP80@NAVD]],"")</f>
        <v>-0.33281753363509381</v>
      </c>
      <c r="H51" s="10">
        <f>_xlfn.IFNA(VLOOKUP(Table1[[#This Row],[STATION (current)]],AllP20!B$2:L$93,11,FALSE),"")</f>
        <v>85.022000000000006</v>
      </c>
      <c r="I51" s="10">
        <f>IFERROR(Table1[[#This Row],[2014_P20]]-Table1[[#This Row],[OldP80@NAVD]],"")</f>
        <v>-0.40201753363508885</v>
      </c>
      <c r="J51" s="14">
        <f>_xlfn.IFNA(VLOOKUP(Table1[[#This Row],[STATION (current)]],AllP20!B$2:O$93,14,FALSE),"")</f>
        <v>85.084000000000003</v>
      </c>
      <c r="K51" s="10">
        <f>IFERROR(Table1[[#This Row],[2015_P20]]-Table1[[#This Row],[OldP80@NAVD]],"")</f>
        <v>-0.34001753363509124</v>
      </c>
      <c r="L51" s="10">
        <f>_xlfn.IFNA(VLOOKUP(Table1[[#This Row],[STATION (current)]],AllP20!B$2:R$93,17,FALSE),"")</f>
        <v>85.177999999999997</v>
      </c>
      <c r="M51" s="10">
        <f>IFERROR(Table1[[#This Row],[2016_P20]]-Table1[[#This Row],[OldP80@NAVD]],"")</f>
        <v>-0.24601753363509715</v>
      </c>
      <c r="N51" s="14">
        <f>_xlfn.IFNA(VLOOKUP(Table1[[#This Row],[STATION (current)]],AllP20!B$2:U$93,20,FALSE),"")</f>
        <v>85.23</v>
      </c>
      <c r="O51" s="10">
        <f>IFERROR(Table1[[#This Row],[2017_P20]]-Table1[[#This Row],[OldP80@NAVD]],"")</f>
        <v>-0.19401753363509044</v>
      </c>
      <c r="P51" s="2">
        <v>-0.87598246636490029</v>
      </c>
      <c r="Q51" s="4" t="s">
        <v>72</v>
      </c>
      <c r="R51" s="10">
        <v>86.3</v>
      </c>
      <c r="S51" s="13">
        <f>Table1[[#This Row],[P80NGVD]]+Table1[[#This Row],[shift]]</f>
        <v>85.424017533635094</v>
      </c>
      <c r="T51" s="13"/>
      <c r="U51" s="13"/>
      <c r="V51" s="13"/>
      <c r="W51" s="13"/>
      <c r="X51" s="13"/>
      <c r="Y51" s="13"/>
      <c r="Z51" s="13"/>
      <c r="AA51" s="13"/>
      <c r="AB51" s="13"/>
      <c r="AC51"/>
      <c r="AD51"/>
      <c r="AE51"/>
      <c r="AF51"/>
      <c r="AG51"/>
    </row>
    <row r="52" spans="1:33" hidden="1" x14ac:dyDescent="0.25">
      <c r="A52" s="4" t="s">
        <v>126</v>
      </c>
      <c r="B52" s="10">
        <v>128.22728000000001</v>
      </c>
      <c r="C52" s="13"/>
      <c r="D52" s="10">
        <f>_xlfn.IFNA(VLOOKUP(Table1[[#This Row],[STATION (current)]],AllP20!B$2:F$93,5,FALSE),"")</f>
        <v>127.78765</v>
      </c>
      <c r="E52" s="10"/>
      <c r="F52" s="10">
        <f>_xlfn.IFNA(VLOOKUP(Table1[[#This Row],[STATION (current)]],AllP20!B$2:I$93,8,FALSE),"")</f>
        <v>127.7</v>
      </c>
      <c r="G52" s="10"/>
      <c r="H52" s="10">
        <f>_xlfn.IFNA(VLOOKUP(Table1[[#This Row],[STATION (current)]],AllP20!B$2:L$93,11,FALSE),"")</f>
        <v>127.75389</v>
      </c>
      <c r="I52" s="10"/>
      <c r="J52" s="10">
        <f>_xlfn.IFNA(VLOOKUP(Table1[[#This Row],[STATION (current)]],AllP20!B$2:O$93,14,FALSE),"")</f>
        <v>127.83</v>
      </c>
      <c r="K52" s="10"/>
      <c r="L52" s="10">
        <f>_xlfn.IFNA(VLOOKUP(Table1[[#This Row],[STATION (current)]],AllP20!B$2:R$93,17,FALSE),"")</f>
        <v>127.91347</v>
      </c>
      <c r="M52" s="10"/>
      <c r="N52" s="10">
        <f>_xlfn.IFNA(VLOOKUP(Table1[[#This Row],[STATION (current)]],AllP20!B$2:U$93,20,FALSE),"")</f>
        <v>128.02195</v>
      </c>
      <c r="O52" s="10"/>
      <c r="P52" s="10"/>
      <c r="Q52" s="4"/>
      <c r="R52" s="10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/>
      <c r="AD52"/>
      <c r="AE52"/>
      <c r="AF52"/>
      <c r="AG52"/>
    </row>
    <row r="53" spans="1:33" x14ac:dyDescent="0.25">
      <c r="A53" s="4" t="s">
        <v>127</v>
      </c>
      <c r="B53" s="14">
        <f>_xlfn.IFNA(VLOOKUP(Table1[[#This Row],[STATION (current)]],AllP20!B$2:C$93,2,FALSE),"")</f>
        <v>100.44453</v>
      </c>
      <c r="C53" s="15">
        <f>IFERROR(Table1[[#This Row],[2011_P20]]-Table1[[#This Row],[OldP80@NAVD]],"")</f>
        <v>-4.9802493742305387E-2</v>
      </c>
      <c r="D53" s="10">
        <f>_xlfn.IFNA(VLOOKUP(Table1[[#This Row],[STATION (current)]],AllP20!B$2:F$93,5,FALSE),"")</f>
        <v>100.548</v>
      </c>
      <c r="E53" s="10">
        <f>IFERROR(Table1[[#This Row],[2012_P20]]-Table1[[#This Row],[OldP80@NAVD]],"")</f>
        <v>5.3667506257696118E-2</v>
      </c>
      <c r="F53" s="14">
        <f>_xlfn.IFNA(VLOOKUP(Table1[[#This Row],[STATION (current)]],AllP20!B$2:I$93,8,FALSE),"")</f>
        <v>100.61842</v>
      </c>
      <c r="G53" s="10">
        <f>IFERROR(Table1[[#This Row],[2013_P20]]-Table1[[#This Row],[OldP80@NAVD]],"")</f>
        <v>0.12408750625769471</v>
      </c>
      <c r="H53" s="10">
        <f>_xlfn.IFNA(VLOOKUP(Table1[[#This Row],[STATION (current)]],AllP20!B$2:L$93,11,FALSE),"")</f>
        <v>100.69437000000001</v>
      </c>
      <c r="I53" s="10">
        <f>IFERROR(Table1[[#This Row],[2014_P20]]-Table1[[#This Row],[OldP80@NAVD]],"")</f>
        <v>0.20003750625770067</v>
      </c>
      <c r="J53" s="14">
        <f>_xlfn.IFNA(VLOOKUP(Table1[[#This Row],[STATION (current)]],AllP20!B$2:O$93,14,FALSE),"")</f>
        <v>100.7131</v>
      </c>
      <c r="K53" s="10">
        <f>IFERROR(Table1[[#This Row],[2015_P20]]-Table1[[#This Row],[OldP80@NAVD]],"")</f>
        <v>0.21876750625769148</v>
      </c>
      <c r="L53" s="10">
        <f>_xlfn.IFNA(VLOOKUP(Table1[[#This Row],[STATION (current)]],AllP20!B$2:R$93,17,FALSE),"")</f>
        <v>100.71</v>
      </c>
      <c r="M53" s="10">
        <f>IFERROR(Table1[[#This Row],[2016_P20]]-Table1[[#This Row],[OldP80@NAVD]],"")</f>
        <v>0.21566750625768805</v>
      </c>
      <c r="N53" s="14">
        <f>_xlfn.IFNA(VLOOKUP(Table1[[#This Row],[STATION (current)]],AllP20!B$2:U$93,20,FALSE),"")</f>
        <v>100.61537</v>
      </c>
      <c r="O53" s="10">
        <f>IFERROR(Table1[[#This Row],[2017_P20]]-Table1[[#This Row],[OldP80@NAVD]],"")</f>
        <v>0.12103750625769294</v>
      </c>
      <c r="P53" s="2">
        <v>-0.89566750625769298</v>
      </c>
      <c r="Q53" s="4" t="s">
        <v>53</v>
      </c>
      <c r="R53" s="10">
        <v>101.39</v>
      </c>
      <c r="S53" s="13">
        <f>Table1[[#This Row],[P80NGVD]]+Table1[[#This Row],[shift]]</f>
        <v>100.49433249374231</v>
      </c>
      <c r="T53" s="13"/>
      <c r="U53" s="13"/>
      <c r="V53" s="13"/>
      <c r="W53" s="13"/>
      <c r="X53" s="13"/>
      <c r="Y53" s="13"/>
      <c r="Z53" s="13"/>
      <c r="AA53" s="13"/>
      <c r="AB53" s="13"/>
      <c r="AC53"/>
      <c r="AD53"/>
      <c r="AE53"/>
      <c r="AF53"/>
      <c r="AG53"/>
    </row>
    <row r="54" spans="1:33" x14ac:dyDescent="0.25">
      <c r="A54" s="4" t="s">
        <v>132</v>
      </c>
      <c r="B54" s="14">
        <f>_xlfn.IFNA(VLOOKUP(Table1[[#This Row],[STATION (current)]],AllP20!B$2:C$93,2,FALSE),"")</f>
        <v>47.643430000000002</v>
      </c>
      <c r="C54" s="15">
        <f>IFERROR(Table1[[#This Row],[2011_P20]]-Table1[[#This Row],[OldP80@NAVD]],"")</f>
        <v>-3.0299205777247096E-2</v>
      </c>
      <c r="D54" s="10">
        <f>_xlfn.IFNA(VLOOKUP(Table1[[#This Row],[STATION (current)]],AllP20!B$2:F$93,5,FALSE),"")</f>
        <v>47.63</v>
      </c>
      <c r="E54" s="10">
        <f>IFERROR(Table1[[#This Row],[2012_P20]]-Table1[[#This Row],[OldP80@NAVD]],"")</f>
        <v>-4.3729205777246705E-2</v>
      </c>
      <c r="F54" s="14">
        <f>_xlfn.IFNA(VLOOKUP(Table1[[#This Row],[STATION (current)]],AllP20!B$2:I$93,8,FALSE),"")</f>
        <v>47.743429999999996</v>
      </c>
      <c r="G54" s="10">
        <f>IFERROR(Table1[[#This Row],[2013_P20]]-Table1[[#This Row],[OldP80@NAVD]],"")</f>
        <v>6.970079422274722E-2</v>
      </c>
      <c r="H54" s="10">
        <f>_xlfn.IFNA(VLOOKUP(Table1[[#This Row],[STATION (current)]],AllP20!B$2:L$93,11,FALSE),"")</f>
        <v>47.801670000000001</v>
      </c>
      <c r="I54" s="10">
        <f>IFERROR(Table1[[#This Row],[2014_P20]]-Table1[[#This Row],[OldP80@NAVD]],"")</f>
        <v>0.12794079422275217</v>
      </c>
      <c r="J54" s="14">
        <f>_xlfn.IFNA(VLOOKUP(Table1[[#This Row],[STATION (current)]],AllP20!B$2:O$93,14,FALSE),"")</f>
        <v>47.737789999999997</v>
      </c>
      <c r="K54" s="10">
        <f>IFERROR(Table1[[#This Row],[2015_P20]]-Table1[[#This Row],[OldP80@NAVD]],"")</f>
        <v>6.4060794222747575E-2</v>
      </c>
      <c r="L54" s="10">
        <f>_xlfn.IFNA(VLOOKUP(Table1[[#This Row],[STATION (current)]],AllP20!B$2:R$93,17,FALSE),"")</f>
        <v>47.074289999999998</v>
      </c>
      <c r="M54" s="10">
        <f>IFERROR(Table1[[#This Row],[2016_P20]]-Table1[[#This Row],[OldP80@NAVD]],"")</f>
        <v>-0.59943920577725152</v>
      </c>
      <c r="N54" s="14">
        <f>_xlfn.IFNA(VLOOKUP(Table1[[#This Row],[STATION (current)]],AllP20!B$2:U$93,20,FALSE),"")</f>
        <v>46.967329999999997</v>
      </c>
      <c r="O54" s="10">
        <f>IFERROR(Table1[[#This Row],[2017_P20]]-Table1[[#This Row],[OldP80@NAVD]],"")</f>
        <v>-0.70639920577725235</v>
      </c>
      <c r="P54" s="2">
        <v>-1.0662707942227523</v>
      </c>
      <c r="Q54" s="4" t="s">
        <v>28</v>
      </c>
      <c r="R54" s="10">
        <v>48.74</v>
      </c>
      <c r="S54" s="13">
        <f>Table1[[#This Row],[P80NGVD]]+Table1[[#This Row],[shift]]</f>
        <v>47.673729205777249</v>
      </c>
      <c r="T54" s="13"/>
      <c r="U54" s="13"/>
      <c r="V54" s="13"/>
      <c r="W54" s="13"/>
      <c r="X54" s="13"/>
      <c r="Y54" s="13"/>
      <c r="Z54" s="13"/>
      <c r="AA54" s="13"/>
      <c r="AB54" s="13"/>
      <c r="AC54"/>
      <c r="AD54"/>
      <c r="AE54"/>
      <c r="AF54"/>
      <c r="AG54"/>
    </row>
    <row r="55" spans="1:33" x14ac:dyDescent="0.25">
      <c r="A55" s="4" t="s">
        <v>40</v>
      </c>
      <c r="B55" s="14">
        <f>_xlfn.IFNA(VLOOKUP(Table1[[#This Row],[STATION (current)]],AllP20!B$2:C$93,2,FALSE),"")</f>
        <v>84.063850000000002</v>
      </c>
      <c r="C55" s="15">
        <f>IFERROR(Table1[[#This Row],[2011_P20]]-Table1[[#This Row],[OldP80@NAVD]],"")</f>
        <v>4.3850000000006162E-2</v>
      </c>
      <c r="D55" s="10">
        <f>_xlfn.IFNA(VLOOKUP(Table1[[#This Row],[STATION (current)]],AllP20!B$2:F$93,5,FALSE),"")</f>
        <v>84.067520000000002</v>
      </c>
      <c r="E55" s="10">
        <f>IFERROR(Table1[[#This Row],[2012_P20]]-Table1[[#This Row],[OldP80@NAVD]],"")</f>
        <v>4.752000000000578E-2</v>
      </c>
      <c r="F55" s="14">
        <f>_xlfn.IFNA(VLOOKUP(Table1[[#This Row],[STATION (current)]],AllP20!B$2:I$93,8,FALSE),"")</f>
        <v>84.102180000000004</v>
      </c>
      <c r="G55" s="10">
        <f>IFERROR(Table1[[#This Row],[2013_P20]]-Table1[[#This Row],[OldP80@NAVD]],"")</f>
        <v>8.2180000000008135E-2</v>
      </c>
      <c r="H55" s="10">
        <f>_xlfn.IFNA(VLOOKUP(Table1[[#This Row],[STATION (current)]],AllP20!B$2:L$93,11,FALSE),"")</f>
        <v>84.13364</v>
      </c>
      <c r="I55" s="10">
        <f>IFERROR(Table1[[#This Row],[2014_P20]]-Table1[[#This Row],[OldP80@NAVD]],"")</f>
        <v>0.11364000000000374</v>
      </c>
      <c r="J55" s="14">
        <f>_xlfn.IFNA(VLOOKUP(Table1[[#This Row],[STATION (current)]],AllP20!B$2:O$93,14,FALSE),"")</f>
        <v>84.154060000000001</v>
      </c>
      <c r="K55" s="10">
        <f>IFERROR(Table1[[#This Row],[2015_P20]]-Table1[[#This Row],[OldP80@NAVD]],"")</f>
        <v>0.13406000000000518</v>
      </c>
      <c r="L55" s="10">
        <f>_xlfn.IFNA(VLOOKUP(Table1[[#This Row],[STATION (current)]],AllP20!B$2:R$93,17,FALSE),"")</f>
        <v>84.177189999999996</v>
      </c>
      <c r="M55" s="10">
        <f>IFERROR(Table1[[#This Row],[2016_P20]]-Table1[[#This Row],[OldP80@NAVD]],"")</f>
        <v>0.15718999999999994</v>
      </c>
      <c r="N55" s="14">
        <f>_xlfn.IFNA(VLOOKUP(Table1[[#This Row],[STATION (current)]],AllP20!B$2:U$93,20,FALSE),"")</f>
        <v>84.196129999999997</v>
      </c>
      <c r="O55" s="10">
        <f>IFERROR(Table1[[#This Row],[2017_P20]]-Table1[[#This Row],[OldP80@NAVD]],"")</f>
        <v>0.17613000000000056</v>
      </c>
      <c r="P55" s="25">
        <v>-1.06</v>
      </c>
      <c r="Q55" s="4" t="s">
        <v>40</v>
      </c>
      <c r="R55" s="10">
        <v>85.08</v>
      </c>
      <c r="S55" s="13">
        <f>Table1[[#This Row],[P80NGVD]]+Table1[[#This Row],[shift]]</f>
        <v>84.02</v>
      </c>
      <c r="T55" s="13"/>
      <c r="U55" s="13"/>
      <c r="V55" s="13"/>
      <c r="W55" s="13"/>
      <c r="X55" s="13"/>
      <c r="Y55" s="13"/>
      <c r="Z55" s="13"/>
      <c r="AA55" s="13"/>
      <c r="AB55" s="13"/>
      <c r="AC55"/>
      <c r="AD55"/>
      <c r="AE55"/>
      <c r="AF55"/>
      <c r="AG55"/>
    </row>
    <row r="56" spans="1:33" x14ac:dyDescent="0.25">
      <c r="A56" s="4" t="s">
        <v>133</v>
      </c>
      <c r="B56" s="14">
        <f>_xlfn.IFNA(VLOOKUP(Table1[[#This Row],[STATION (current)]],AllP20!B$2:C$93,2,FALSE),"")</f>
        <v>91.481039999999993</v>
      </c>
      <c r="C56" s="15">
        <f>IFERROR(Table1[[#This Row],[2011_P20]]-Table1[[#This Row],[OldP80@NAVD]],"")</f>
        <v>-5.2977533635100826E-2</v>
      </c>
      <c r="D56" s="10">
        <f>_xlfn.IFNA(VLOOKUP(Table1[[#This Row],[STATION (current)]],AllP20!B$2:F$93,5,FALSE),"")</f>
        <v>91.354320000000001</v>
      </c>
      <c r="E56" s="10">
        <f>IFERROR(Table1[[#This Row],[2012_P20]]-Table1[[#This Row],[OldP80@NAVD]],"")</f>
        <v>-0.17969753363509255</v>
      </c>
      <c r="F56" s="14">
        <f>_xlfn.IFNA(VLOOKUP(Table1[[#This Row],[STATION (current)]],AllP20!B$2:I$93,8,FALSE),"")</f>
        <v>91.201139999999995</v>
      </c>
      <c r="G56" s="10">
        <f>IFERROR(Table1[[#This Row],[2013_P20]]-Table1[[#This Row],[OldP80@NAVD]],"")</f>
        <v>-0.33287753363509864</v>
      </c>
      <c r="H56" s="10">
        <f>_xlfn.IFNA(VLOOKUP(Table1[[#This Row],[STATION (current)]],AllP20!B$2:L$93,11,FALSE),"")</f>
        <v>91.306219999999996</v>
      </c>
      <c r="I56" s="10">
        <f>IFERROR(Table1[[#This Row],[2014_P20]]-Table1[[#This Row],[OldP80@NAVD]],"")</f>
        <v>-0.22779753363509769</v>
      </c>
      <c r="J56" s="14">
        <f>_xlfn.IFNA(VLOOKUP(Table1[[#This Row],[STATION (current)]],AllP20!B$2:O$93,14,FALSE),"")</f>
        <v>91.376499999999993</v>
      </c>
      <c r="K56" s="10">
        <f>IFERROR(Table1[[#This Row],[2015_P20]]-Table1[[#This Row],[OldP80@NAVD]],"")</f>
        <v>-0.1575175336351009</v>
      </c>
      <c r="L56" s="10">
        <f>_xlfn.IFNA(VLOOKUP(Table1[[#This Row],[STATION (current)]],AllP20!B$2:R$93,17,FALSE),"")</f>
        <v>91.458950000000002</v>
      </c>
      <c r="M56" s="10">
        <f>IFERROR(Table1[[#This Row],[2016_P20]]-Table1[[#This Row],[OldP80@NAVD]],"")</f>
        <v>-7.5067533635092332E-2</v>
      </c>
      <c r="N56" s="14">
        <f>_xlfn.IFNA(VLOOKUP(Table1[[#This Row],[STATION (current)]],AllP20!B$2:U$93,20,FALSE),"")</f>
        <v>91.476979999999998</v>
      </c>
      <c r="O56" s="10">
        <f>IFERROR(Table1[[#This Row],[2017_P20]]-Table1[[#This Row],[OldP80@NAVD]],"")</f>
        <v>-5.7037533635096338E-2</v>
      </c>
      <c r="P56" s="2">
        <v>-0.87598246636490029</v>
      </c>
      <c r="Q56" s="4" t="s">
        <v>59</v>
      </c>
      <c r="R56" s="10">
        <v>92.41</v>
      </c>
      <c r="S56" s="13">
        <f>Table1[[#This Row],[P80NGVD]]+Table1[[#This Row],[shift]]</f>
        <v>91.534017533635094</v>
      </c>
      <c r="T56" s="13"/>
      <c r="U56" s="13"/>
      <c r="V56" s="13"/>
      <c r="W56" s="13"/>
      <c r="X56" s="13"/>
      <c r="Y56" s="13"/>
      <c r="Z56" s="13"/>
      <c r="AA56" s="13"/>
      <c r="AB56" s="13"/>
      <c r="AC56"/>
      <c r="AD56"/>
      <c r="AE56"/>
      <c r="AF56"/>
      <c r="AG56"/>
    </row>
    <row r="57" spans="1:33" x14ac:dyDescent="0.25">
      <c r="A57" s="4" t="s">
        <v>56</v>
      </c>
      <c r="B57" s="14">
        <f>_xlfn.IFNA(VLOOKUP(Table1[[#This Row],[STATION (current)]],AllP20!B$2:C$93,2,FALSE),"")</f>
        <v>88.320710000000005</v>
      </c>
      <c r="C57" s="15">
        <f>IFERROR(Table1[[#This Row],[2011_P20]]-Table1[[#This Row],[OldP80@NAVD]],"")</f>
        <v>7.1000000001220087E-4</v>
      </c>
      <c r="D57" s="10">
        <f>_xlfn.IFNA(VLOOKUP(Table1[[#This Row],[STATION (current)]],AllP20!B$2:F$93,5,FALSE),"")</f>
        <v>88.201009999999997</v>
      </c>
      <c r="E57" s="10">
        <f>IFERROR(Table1[[#This Row],[2012_P20]]-Table1[[#This Row],[OldP80@NAVD]],"")</f>
        <v>-0.1189899999999966</v>
      </c>
      <c r="F57" s="14">
        <f>_xlfn.IFNA(VLOOKUP(Table1[[#This Row],[STATION (current)]],AllP20!B$2:I$93,8,FALSE),"")</f>
        <v>88.24</v>
      </c>
      <c r="G57" s="10">
        <f>IFERROR(Table1[[#This Row],[2013_P20]]-Table1[[#This Row],[OldP80@NAVD]],"")</f>
        <v>-7.9999999999998295E-2</v>
      </c>
      <c r="H57" s="10">
        <f>_xlfn.IFNA(VLOOKUP(Table1[[#This Row],[STATION (current)]],AllP20!B$2:L$93,11,FALSE),"")</f>
        <v>88.329430000000002</v>
      </c>
      <c r="I57" s="10">
        <f>IFERROR(Table1[[#This Row],[2014_P20]]-Table1[[#This Row],[OldP80@NAVD]],"")</f>
        <v>9.4300000000089312E-3</v>
      </c>
      <c r="J57" s="14">
        <f>_xlfn.IFNA(VLOOKUP(Table1[[#This Row],[STATION (current)]],AllP20!B$2:O$93,14,FALSE),"")</f>
        <v>88.38</v>
      </c>
      <c r="K57" s="10">
        <f>IFERROR(Table1[[#This Row],[2015_P20]]-Table1[[#This Row],[OldP80@NAVD]],"")</f>
        <v>6.0000000000002274E-2</v>
      </c>
      <c r="L57" s="10">
        <f>_xlfn.IFNA(VLOOKUP(Table1[[#This Row],[STATION (current)]],AllP20!B$2:R$93,17,FALSE),"")</f>
        <v>88.45975</v>
      </c>
      <c r="M57" s="10">
        <f>IFERROR(Table1[[#This Row],[2016_P20]]-Table1[[#This Row],[OldP80@NAVD]],"")</f>
        <v>0.13975000000000648</v>
      </c>
      <c r="N57" s="14">
        <f>_xlfn.IFNA(VLOOKUP(Table1[[#This Row],[STATION (current)]],AllP20!B$2:U$93,20,FALSE),"")</f>
        <v>88.550060000000002</v>
      </c>
      <c r="O57" s="10">
        <f>IFERROR(Table1[[#This Row],[2017_P20]]-Table1[[#This Row],[OldP80@NAVD]],"")</f>
        <v>0.23006000000000881</v>
      </c>
      <c r="P57" s="27">
        <v>-1.1200000000000001</v>
      </c>
      <c r="Q57" s="4" t="s">
        <v>56</v>
      </c>
      <c r="R57" s="10">
        <v>89.44</v>
      </c>
      <c r="S57" s="13">
        <f>Table1[[#This Row],[P80NGVD]]+Table1[[#This Row],[shift]]</f>
        <v>88.32</v>
      </c>
      <c r="T57" s="13"/>
      <c r="U57" s="13"/>
      <c r="V57" s="13"/>
      <c r="W57" s="13"/>
      <c r="X57" s="13"/>
      <c r="Y57" s="13"/>
      <c r="Z57" s="13"/>
      <c r="AA57" s="13"/>
      <c r="AB57" s="13"/>
      <c r="AC57"/>
      <c r="AD57"/>
      <c r="AE57"/>
      <c r="AF57"/>
      <c r="AG57"/>
    </row>
    <row r="58" spans="1:33" x14ac:dyDescent="0.25">
      <c r="A58" s="4" t="s">
        <v>128</v>
      </c>
      <c r="B58" s="14">
        <f>_xlfn.IFNA(VLOOKUP(Table1[[#This Row],[STATION (current)]],AllP20!B$2:C$93,2,FALSE),"")</f>
        <v>102.3472</v>
      </c>
      <c r="C58" s="15">
        <f>IFERROR(Table1[[#This Row],[2011_P20]]-Table1[[#This Row],[OldP80@NAVD]],"")</f>
        <v>2.7200000000007662E-2</v>
      </c>
      <c r="D58" s="10">
        <f>_xlfn.IFNA(VLOOKUP(Table1[[#This Row],[STATION (current)]],AllP20!B$2:F$93,5,FALSE),"")</f>
        <v>102.41985</v>
      </c>
      <c r="E58" s="10">
        <f>IFERROR(Table1[[#This Row],[2012_P20]]-Table1[[#This Row],[OldP80@NAVD]],"")</f>
        <v>9.9850000000003547E-2</v>
      </c>
      <c r="F58" s="14">
        <f>_xlfn.IFNA(VLOOKUP(Table1[[#This Row],[STATION (current)]],AllP20!B$2:I$93,8,FALSE),"")</f>
        <v>102.51130000000001</v>
      </c>
      <c r="G58" s="10">
        <f>IFERROR(Table1[[#This Row],[2013_P20]]-Table1[[#This Row],[OldP80@NAVD]],"")</f>
        <v>0.19130000000001246</v>
      </c>
      <c r="H58" s="10">
        <f>_xlfn.IFNA(VLOOKUP(Table1[[#This Row],[STATION (current)]],AllP20!B$2:L$93,11,FALSE),"")</f>
        <v>102.58417</v>
      </c>
      <c r="I58" s="10">
        <f>IFERROR(Table1[[#This Row],[2014_P20]]-Table1[[#This Row],[OldP80@NAVD]],"")</f>
        <v>0.26417000000000712</v>
      </c>
      <c r="J58" s="14">
        <f>_xlfn.IFNA(VLOOKUP(Table1[[#This Row],[STATION (current)]],AllP20!B$2:O$93,14,FALSE),"")</f>
        <v>102.64088</v>
      </c>
      <c r="K58" s="10">
        <f>IFERROR(Table1[[#This Row],[2015_P20]]-Table1[[#This Row],[OldP80@NAVD]],"")</f>
        <v>0.3208800000000025</v>
      </c>
      <c r="L58" s="10">
        <f>_xlfn.IFNA(VLOOKUP(Table1[[#This Row],[STATION (current)]],AllP20!B$2:R$93,17,FALSE),"")</f>
        <v>102.68</v>
      </c>
      <c r="M58" s="10">
        <f>IFERROR(Table1[[#This Row],[2016_P20]]-Table1[[#This Row],[OldP80@NAVD]],"")</f>
        <v>0.36000000000001364</v>
      </c>
      <c r="N58" s="14">
        <f>_xlfn.IFNA(VLOOKUP(Table1[[#This Row],[STATION (current)]],AllP20!B$2:U$93,20,FALSE),"")</f>
        <v>102.59772</v>
      </c>
      <c r="O58" s="10">
        <f>IFERROR(Table1[[#This Row],[2017_P20]]-Table1[[#This Row],[OldP80@NAVD]],"")</f>
        <v>0.27772000000000219</v>
      </c>
      <c r="P58" s="27">
        <v>-0.89</v>
      </c>
      <c r="Q58" s="4" t="s">
        <v>45</v>
      </c>
      <c r="R58" s="10">
        <v>103.21</v>
      </c>
      <c r="S58" s="13">
        <f>Table1[[#This Row],[P80NGVD]]+Table1[[#This Row],[shift]]</f>
        <v>102.32</v>
      </c>
      <c r="T58" s="13"/>
      <c r="U58" s="13"/>
      <c r="V58" s="13"/>
      <c r="W58" s="13"/>
      <c r="X58" s="13"/>
      <c r="Y58" s="13"/>
      <c r="Z58" s="13"/>
      <c r="AA58" s="13"/>
      <c r="AB58" s="13"/>
      <c r="AC58"/>
      <c r="AD58"/>
      <c r="AE58"/>
      <c r="AF58"/>
      <c r="AG58"/>
    </row>
    <row r="59" spans="1:33" x14ac:dyDescent="0.25">
      <c r="A59" s="4" t="s">
        <v>49</v>
      </c>
      <c r="B59" s="14">
        <f>_xlfn.IFNA(VLOOKUP(Table1[[#This Row],[STATION (current)]],AllP20!B$2:C$93,2,FALSE),"")</f>
        <v>130.10029</v>
      </c>
      <c r="C59" s="15">
        <f>IFERROR(Table1[[#This Row],[2011_P20]]-Table1[[#This Row],[OldP80@NAVD]],"")</f>
        <v>3.02899999999795E-2</v>
      </c>
      <c r="D59" s="10">
        <f>_xlfn.IFNA(VLOOKUP(Table1[[#This Row],[STATION (current)]],AllP20!B$2:F$93,5,FALSE),"")</f>
        <v>130.23765</v>
      </c>
      <c r="E59" s="10">
        <f>IFERROR(Table1[[#This Row],[2012_P20]]-Table1[[#This Row],[OldP80@NAVD]],"")</f>
        <v>0.16764999999998054</v>
      </c>
      <c r="F59" s="14">
        <f>_xlfn.IFNA(VLOOKUP(Table1[[#This Row],[STATION (current)]],AllP20!B$2:I$93,8,FALSE),"")</f>
        <v>130.36964</v>
      </c>
      <c r="G59" s="10">
        <f>IFERROR(Table1[[#This Row],[2013_P20]]-Table1[[#This Row],[OldP80@NAVD]],"")</f>
        <v>0.29963999999998236</v>
      </c>
      <c r="H59" s="10">
        <f>_xlfn.IFNA(VLOOKUP(Table1[[#This Row],[STATION (current)]],AllP20!B$2:L$93,11,FALSE),"")</f>
        <v>130.45643000000001</v>
      </c>
      <c r="I59" s="10">
        <f>IFERROR(Table1[[#This Row],[2014_P20]]-Table1[[#This Row],[OldP80@NAVD]],"")</f>
        <v>0.38642999999999006</v>
      </c>
      <c r="J59" s="14">
        <f>_xlfn.IFNA(VLOOKUP(Table1[[#This Row],[STATION (current)]],AllP20!B$2:O$93,14,FALSE),"")</f>
        <v>130.54</v>
      </c>
      <c r="K59" s="10">
        <f>IFERROR(Table1[[#This Row],[2015_P20]]-Table1[[#This Row],[OldP80@NAVD]],"")</f>
        <v>0.46999999999997044</v>
      </c>
      <c r="L59" s="10">
        <f>_xlfn.IFNA(VLOOKUP(Table1[[#This Row],[STATION (current)]],AllP20!B$2:R$93,17,FALSE),"")</f>
        <v>130.59553</v>
      </c>
      <c r="M59" s="10">
        <f>IFERROR(Table1[[#This Row],[2016_P20]]-Table1[[#This Row],[OldP80@NAVD]],"")</f>
        <v>0.52552999999997496</v>
      </c>
      <c r="N59" s="14">
        <f>_xlfn.IFNA(VLOOKUP(Table1[[#This Row],[STATION (current)]],AllP20!B$2:U$93,20,FALSE),"")</f>
        <v>130.63538</v>
      </c>
      <c r="O59" s="10">
        <f>IFERROR(Table1[[#This Row],[2017_P20]]-Table1[[#This Row],[OldP80@NAVD]],"")</f>
        <v>0.56537999999997623</v>
      </c>
      <c r="P59" s="25">
        <v>-1.01</v>
      </c>
      <c r="Q59" s="4" t="s">
        <v>49</v>
      </c>
      <c r="R59" s="10">
        <v>131.08000000000001</v>
      </c>
      <c r="S59" s="13">
        <f>Table1[[#This Row],[P80NGVD]]+Table1[[#This Row],[shift]]</f>
        <v>130.07000000000002</v>
      </c>
      <c r="T59" s="13"/>
      <c r="U59" s="13"/>
      <c r="V59" s="13"/>
      <c r="W59" s="13"/>
      <c r="X59" s="13"/>
      <c r="Y59" s="13"/>
      <c r="Z59" s="13"/>
      <c r="AA59" s="13"/>
      <c r="AB59" s="13"/>
      <c r="AC59"/>
      <c r="AD59"/>
      <c r="AE59"/>
      <c r="AF59"/>
      <c r="AG59"/>
    </row>
    <row r="60" spans="1:33" x14ac:dyDescent="0.25">
      <c r="A60" s="4"/>
      <c r="B60" s="14" t="str">
        <f>_xlfn.IFNA(VLOOKUP(Table1[[#This Row],[STATION (current)]],AllP20!B$2:C$93,2,FALSE),"")</f>
        <v/>
      </c>
      <c r="C60" s="13"/>
      <c r="D60" s="10" t="str">
        <f>_xlfn.IFNA(VLOOKUP(Table1[[#This Row],[STATION (current)]],AllP20!B$2:F$93,5,FALSE),"")</f>
        <v/>
      </c>
      <c r="E60" s="10"/>
      <c r="F60" s="14" t="str">
        <f>_xlfn.IFNA(VLOOKUP(Table1[[#This Row],[STATION (current)]],AllP20!B$2:I$93,8,FALSE),"")</f>
        <v/>
      </c>
      <c r="G60" s="10"/>
      <c r="H60" s="10" t="str">
        <f>_xlfn.IFNA(VLOOKUP(Table1[[#This Row],[STATION (current)]],AllP20!B$2:L$93,11,FALSE),"")</f>
        <v/>
      </c>
      <c r="I60" s="10"/>
      <c r="J60" s="14" t="str">
        <f>_xlfn.IFNA(VLOOKUP(Table1[[#This Row],[STATION (current)]],AllP20!B$2:O$93,14,FALSE),"")</f>
        <v/>
      </c>
      <c r="K60" s="10"/>
      <c r="L60" s="10" t="str">
        <f>_xlfn.IFNA(VLOOKUP(Table1[[#This Row],[STATION (current)]],AllP20!B$2:R$93,17,FALSE),"")</f>
        <v/>
      </c>
      <c r="M60" s="10"/>
      <c r="N60" s="14" t="str">
        <f>_xlfn.IFNA(VLOOKUP(Table1[[#This Row],[STATION (current)]],AllP20!B$2:U$93,20,FALSE),"")</f>
        <v/>
      </c>
      <c r="O60" s="10"/>
      <c r="P60" s="25">
        <v>-0.97</v>
      </c>
      <c r="Q60" s="4" t="s">
        <v>69</v>
      </c>
      <c r="R60" s="10">
        <v>102.65</v>
      </c>
      <c r="S60" s="13">
        <f>Table1[[#This Row],[P80NGVD]]+Table1[[#This Row],[shift]]</f>
        <v>101.68</v>
      </c>
      <c r="T60" s="13"/>
      <c r="U60" s="13"/>
      <c r="V60" s="13"/>
      <c r="W60" s="13"/>
      <c r="X60" s="13"/>
      <c r="Y60" s="13"/>
      <c r="Z60" s="13"/>
      <c r="AA60" s="13"/>
      <c r="AB60" s="13"/>
      <c r="AC60"/>
      <c r="AD60"/>
      <c r="AE60"/>
      <c r="AF60"/>
      <c r="AG60"/>
    </row>
    <row r="61" spans="1:33" x14ac:dyDescent="0.25">
      <c r="A61" s="4" t="s">
        <v>129</v>
      </c>
      <c r="B61" s="14">
        <f>_xlfn.IFNA(VLOOKUP(Table1[[#This Row],[STATION (current)]],AllP20!B$2:C$93,2,FALSE),"")</f>
        <v>136.24368999999999</v>
      </c>
      <c r="C61" s="15">
        <f>IFERROR(Table1[[#This Row],[2011_P20]]-Table1[[#This Row],[OldP80@NAVD]],"")</f>
        <v>-6.3100000000133605E-3</v>
      </c>
      <c r="D61" s="10">
        <f>_xlfn.IFNA(VLOOKUP(Table1[[#This Row],[STATION (current)]],AllP20!B$2:F$93,5,FALSE),"")</f>
        <v>136.77278000000001</v>
      </c>
      <c r="E61" s="10">
        <f>IFERROR(Table1[[#This Row],[2012_P20]]-Table1[[#This Row],[OldP80@NAVD]],"")</f>
        <v>0.52278000000001157</v>
      </c>
      <c r="F61" s="14">
        <f>_xlfn.IFNA(VLOOKUP(Table1[[#This Row],[STATION (current)]],AllP20!B$2:I$93,8,FALSE),"")</f>
        <v>137.13667000000001</v>
      </c>
      <c r="G61" s="10">
        <f>IFERROR(Table1[[#This Row],[2013_P20]]-Table1[[#This Row],[OldP80@NAVD]],"")</f>
        <v>0.8866700000000094</v>
      </c>
      <c r="H61" s="10">
        <f>_xlfn.IFNA(VLOOKUP(Table1[[#This Row],[STATION (current)]],AllP20!B$2:L$93,11,FALSE),"")</f>
        <v>137.06529</v>
      </c>
      <c r="I61" s="10">
        <f>IFERROR(Table1[[#This Row],[2014_P20]]-Table1[[#This Row],[OldP80@NAVD]],"")</f>
        <v>0.81529000000000451</v>
      </c>
      <c r="J61" s="14">
        <f>_xlfn.IFNA(VLOOKUP(Table1[[#This Row],[STATION (current)]],AllP20!B$2:O$93,14,FALSE),"")</f>
        <v>137.17256</v>
      </c>
      <c r="K61" s="10">
        <f>IFERROR(Table1[[#This Row],[2015_P20]]-Table1[[#This Row],[OldP80@NAVD]],"")</f>
        <v>0.92256000000000427</v>
      </c>
      <c r="L61" s="10">
        <f>_xlfn.IFNA(VLOOKUP(Table1[[#This Row],[STATION (current)]],AllP20!B$2:R$93,17,FALSE),"")</f>
        <v>137.24741</v>
      </c>
      <c r="M61" s="10">
        <f>IFERROR(Table1[[#This Row],[2016_P20]]-Table1[[#This Row],[OldP80@NAVD]],"")</f>
        <v>0.99741000000000213</v>
      </c>
      <c r="N61" s="14">
        <f>_xlfn.IFNA(VLOOKUP(Table1[[#This Row],[STATION (current)]],AllP20!B$2:U$93,20,FALSE),"")</f>
        <v>137.20694</v>
      </c>
      <c r="O61" s="10">
        <f>IFERROR(Table1[[#This Row],[2017_P20]]-Table1[[#This Row],[OldP80@NAVD]],"")</f>
        <v>0.95694000000000301</v>
      </c>
      <c r="P61" s="25">
        <v>-1.1100000000000001</v>
      </c>
      <c r="Q61" s="4" t="s">
        <v>74</v>
      </c>
      <c r="R61" s="10">
        <v>137.36000000000001</v>
      </c>
      <c r="S61" s="13">
        <f>Table1[[#This Row],[P80NGVD]]+Table1[[#This Row],[shift]]</f>
        <v>136.25</v>
      </c>
      <c r="T61" s="13"/>
      <c r="U61" s="13"/>
      <c r="V61" s="13"/>
      <c r="W61" s="13"/>
      <c r="X61" s="13"/>
      <c r="Y61" s="13"/>
      <c r="Z61" s="13"/>
      <c r="AA61" s="13"/>
      <c r="AB61" s="13"/>
      <c r="AC61"/>
      <c r="AD61"/>
      <c r="AE61"/>
      <c r="AF61"/>
      <c r="AG61"/>
    </row>
    <row r="62" spans="1:33" x14ac:dyDescent="0.25">
      <c r="A62" s="4" t="s">
        <v>135</v>
      </c>
      <c r="B62" s="14">
        <f>_xlfn.IFNA(VLOOKUP(Table1[[#This Row],[STATION (current)]],AllP20!B$2:C$93,2,FALSE),"")</f>
        <v>57.42794</v>
      </c>
      <c r="C62" s="15">
        <f>IFERROR(Table1[[#This Row],[2011_P20]]-Table1[[#This Row],[OldP80@NAVD]],"")</f>
        <v>-7.3584191697442236E-2</v>
      </c>
      <c r="D62" s="10">
        <f>_xlfn.IFNA(VLOOKUP(Table1[[#This Row],[STATION (current)]],AllP20!B$2:F$93,5,FALSE),"")</f>
        <v>56.823830000000001</v>
      </c>
      <c r="E62" s="10">
        <f>IFERROR(Table1[[#This Row],[2012_P20]]-Table1[[#This Row],[OldP80@NAVD]],"")</f>
        <v>-0.67769419169744083</v>
      </c>
      <c r="F62" s="14">
        <f>_xlfn.IFNA(VLOOKUP(Table1[[#This Row],[STATION (current)]],AllP20!B$2:I$93,8,FALSE),"")</f>
        <v>56.508490000000002</v>
      </c>
      <c r="G62" s="10">
        <f>IFERROR(Table1[[#This Row],[2013_P20]]-Table1[[#This Row],[OldP80@NAVD]],"")</f>
        <v>-0.99303419169743989</v>
      </c>
      <c r="H62" s="10">
        <f>_xlfn.IFNA(VLOOKUP(Table1[[#This Row],[STATION (current)]],AllP20!B$2:L$93,11,FALSE),"")</f>
        <v>56.79</v>
      </c>
      <c r="I62" s="10">
        <f>IFERROR(Table1[[#This Row],[2014_P20]]-Table1[[#This Row],[OldP80@NAVD]],"")</f>
        <v>-0.71152419169744263</v>
      </c>
      <c r="J62" s="14">
        <f>_xlfn.IFNA(VLOOKUP(Table1[[#This Row],[STATION (current)]],AllP20!B$2:O$93,14,FALSE),"")</f>
        <v>57.05104</v>
      </c>
      <c r="K62" s="10">
        <f>IFERROR(Table1[[#This Row],[2015_P20]]-Table1[[#This Row],[OldP80@NAVD]],"")</f>
        <v>-0.45048419169744136</v>
      </c>
      <c r="L62" s="10">
        <f>_xlfn.IFNA(VLOOKUP(Table1[[#This Row],[STATION (current)]],AllP20!B$2:R$93,17,FALSE),"")</f>
        <v>57.382919999999999</v>
      </c>
      <c r="M62" s="10">
        <f>IFERROR(Table1[[#This Row],[2016_P20]]-Table1[[#This Row],[OldP80@NAVD]],"")</f>
        <v>-0.11860419169744318</v>
      </c>
      <c r="N62" s="14">
        <f>_xlfn.IFNA(VLOOKUP(Table1[[#This Row],[STATION (current)]],AllP20!B$2:U$93,20,FALSE),"")</f>
        <v>57.368670000000002</v>
      </c>
      <c r="O62" s="10">
        <f>IFERROR(Table1[[#This Row],[2017_P20]]-Table1[[#This Row],[OldP80@NAVD]],"")</f>
        <v>-0.13285419169744017</v>
      </c>
      <c r="P62" s="2">
        <v>-0.92847580830256138</v>
      </c>
      <c r="Q62" s="4" t="s">
        <v>71</v>
      </c>
      <c r="R62" s="10">
        <v>58.43</v>
      </c>
      <c r="S62" s="13">
        <f>Table1[[#This Row],[P80NGVD]]+Table1[[#This Row],[shift]]</f>
        <v>57.501524191697442</v>
      </c>
      <c r="T62" s="13"/>
      <c r="U62" s="13"/>
      <c r="V62" s="13"/>
      <c r="W62" s="13"/>
      <c r="X62" s="13"/>
      <c r="Y62" s="13"/>
      <c r="Z62" s="13"/>
      <c r="AA62" s="13"/>
      <c r="AB62" s="13"/>
      <c r="AC62"/>
      <c r="AD62"/>
      <c r="AE62"/>
      <c r="AF62"/>
      <c r="AG62"/>
    </row>
    <row r="63" spans="1:33" x14ac:dyDescent="0.25">
      <c r="A63" s="4" t="s">
        <v>144</v>
      </c>
      <c r="B63" s="14">
        <f>_xlfn.IFNA(VLOOKUP(Table1[[#This Row],[STATION (current)]],AllP20!B$2:C$93,2,FALSE),"")</f>
        <v>98.89</v>
      </c>
      <c r="C63" s="15">
        <f>IFERROR(Table1[[#This Row],[2011_P20]]-Table1[[#This Row],[OldP80@NAVD]],"")</f>
        <v>1.0000000000005116E-2</v>
      </c>
      <c r="D63" s="10">
        <f>_xlfn.IFNA(VLOOKUP(Table1[[#This Row],[STATION (current)]],AllP20!B$2:F$93,5,FALSE),"")</f>
        <v>98.94511</v>
      </c>
      <c r="E63" s="10">
        <f>IFERROR(Table1[[#This Row],[2012_P20]]-Table1[[#This Row],[OldP80@NAVD]],"")</f>
        <v>6.511000000000422E-2</v>
      </c>
      <c r="F63" s="14">
        <f>_xlfn.IFNA(VLOOKUP(Table1[[#This Row],[STATION (current)]],AllP20!B$2:I$93,8,FALSE),"")</f>
        <v>99.025379999999998</v>
      </c>
      <c r="G63" s="10">
        <f>IFERROR(Table1[[#This Row],[2013_P20]]-Table1[[#This Row],[OldP80@NAVD]],"")</f>
        <v>0.14538000000000295</v>
      </c>
      <c r="H63" s="10">
        <f>_xlfn.IFNA(VLOOKUP(Table1[[#This Row],[STATION (current)]],AllP20!B$2:L$93,11,FALSE),"")</f>
        <v>99.07</v>
      </c>
      <c r="I63" s="10">
        <f>IFERROR(Table1[[#This Row],[2014_P20]]-Table1[[#This Row],[OldP80@NAVD]],"")</f>
        <v>0.18999999999999773</v>
      </c>
      <c r="J63" s="14">
        <f>_xlfn.IFNA(VLOOKUP(Table1[[#This Row],[STATION (current)]],AllP20!B$2:O$93,14,FALSE),"")</f>
        <v>99.113330000000005</v>
      </c>
      <c r="K63" s="10">
        <f>IFERROR(Table1[[#This Row],[2015_P20]]-Table1[[#This Row],[OldP80@NAVD]],"")</f>
        <v>0.23333000000000936</v>
      </c>
      <c r="L63" s="10">
        <f>_xlfn.IFNA(VLOOKUP(Table1[[#This Row],[STATION (current)]],AllP20!B$2:R$93,17,FALSE),"")</f>
        <v>99.141750000000002</v>
      </c>
      <c r="M63" s="10">
        <f>IFERROR(Table1[[#This Row],[2016_P20]]-Table1[[#This Row],[OldP80@NAVD]],"")</f>
        <v>0.26175000000000637</v>
      </c>
      <c r="N63" s="14">
        <f>_xlfn.IFNA(VLOOKUP(Table1[[#This Row],[STATION (current)]],AllP20!B$2:U$93,20,FALSE),"")</f>
        <v>99.141199999999998</v>
      </c>
      <c r="O63" s="10">
        <f>IFERROR(Table1[[#This Row],[2017_P20]]-Table1[[#This Row],[OldP80@NAVD]],"")</f>
        <v>0.26120000000000232</v>
      </c>
      <c r="P63" s="25">
        <v>-0.95</v>
      </c>
      <c r="Q63" s="4" t="s">
        <v>47</v>
      </c>
      <c r="R63" s="10">
        <v>99.83</v>
      </c>
      <c r="S63" s="13">
        <f>Table1[[#This Row],[P80NGVD]]+Table1[[#This Row],[shift]]</f>
        <v>98.88</v>
      </c>
      <c r="T63" s="13"/>
      <c r="U63" s="13"/>
      <c r="V63" s="13"/>
      <c r="W63" s="13"/>
      <c r="X63" s="13"/>
      <c r="Y63" s="13"/>
      <c r="Z63" s="13"/>
      <c r="AA63" s="13"/>
      <c r="AB63" s="13"/>
      <c r="AC63"/>
      <c r="AD63"/>
      <c r="AE63"/>
      <c r="AF63"/>
      <c r="AG63"/>
    </row>
    <row r="64" spans="1:33" x14ac:dyDescent="0.25">
      <c r="A64" s="4" t="s">
        <v>145</v>
      </c>
      <c r="B64" s="14">
        <f>_xlfn.IFNA(VLOOKUP(Table1[[#This Row],[STATION (current)]],AllP20!B$2:C$93,2,FALSE),"")</f>
        <v>138.44171</v>
      </c>
      <c r="C64" s="15">
        <f>IFERROR(Table1[[#This Row],[2011_P20]]-Table1[[#This Row],[OldP80@NAVD]],"")</f>
        <v>-0.20829000000000519</v>
      </c>
      <c r="D64" s="10">
        <f>_xlfn.IFNA(VLOOKUP(Table1[[#This Row],[STATION (current)]],AllP20!B$2:F$93,5,FALSE),"")</f>
        <v>138.57891000000001</v>
      </c>
      <c r="E64" s="10">
        <f>IFERROR(Table1[[#This Row],[2012_P20]]-Table1[[#This Row],[OldP80@NAVD]],"")</f>
        <v>-7.1089999999998099E-2</v>
      </c>
      <c r="F64" s="14">
        <f>_xlfn.IFNA(VLOOKUP(Table1[[#This Row],[STATION (current)]],AllP20!B$2:I$93,8,FALSE),"")</f>
        <v>138.80659</v>
      </c>
      <c r="G64" s="10">
        <f>IFERROR(Table1[[#This Row],[2013_P20]]-Table1[[#This Row],[OldP80@NAVD]],"")</f>
        <v>0.15658999999999423</v>
      </c>
      <c r="H64" s="10">
        <f>_xlfn.IFNA(VLOOKUP(Table1[[#This Row],[STATION (current)]],AllP20!B$2:L$93,11,FALSE),"")</f>
        <v>138.95103</v>
      </c>
      <c r="I64" s="10">
        <f>IFERROR(Table1[[#This Row],[2014_P20]]-Table1[[#This Row],[OldP80@NAVD]],"")</f>
        <v>0.30102999999999724</v>
      </c>
      <c r="J64" s="14">
        <f>_xlfn.IFNA(VLOOKUP(Table1[[#This Row],[STATION (current)]],AllP20!B$2:O$93,14,FALSE),"")</f>
        <v>139.13457</v>
      </c>
      <c r="K64" s="10">
        <f>IFERROR(Table1[[#This Row],[2015_P20]]-Table1[[#This Row],[OldP80@NAVD]],"")</f>
        <v>0.48456999999999084</v>
      </c>
      <c r="L64" s="10">
        <f>_xlfn.IFNA(VLOOKUP(Table1[[#This Row],[STATION (current)]],AllP20!B$2:R$93,17,FALSE),"")</f>
        <v>139.30652000000001</v>
      </c>
      <c r="M64" s="10">
        <f>IFERROR(Table1[[#This Row],[2016_P20]]-Table1[[#This Row],[OldP80@NAVD]],"")</f>
        <v>0.65652000000000044</v>
      </c>
      <c r="N64" s="14">
        <f>_xlfn.IFNA(VLOOKUP(Table1[[#This Row],[STATION (current)]],AllP20!B$2:U$93,20,FALSE),"")</f>
        <v>139.35953000000001</v>
      </c>
      <c r="O64" s="10">
        <f>IFERROR(Table1[[#This Row],[2017_P20]]-Table1[[#This Row],[OldP80@NAVD]],"")</f>
        <v>0.70953000000000088</v>
      </c>
      <c r="P64" s="25">
        <v>-0.85</v>
      </c>
      <c r="Q64" s="4" t="s">
        <v>58</v>
      </c>
      <c r="R64" s="10">
        <v>139.5</v>
      </c>
      <c r="S64" s="13">
        <f>Table1[[#This Row],[P80NGVD]]+Table1[[#This Row],[shift]]</f>
        <v>138.65</v>
      </c>
      <c r="T64" s="13"/>
      <c r="U64" s="13"/>
      <c r="V64" s="13"/>
      <c r="W64" s="13"/>
      <c r="X64" s="13"/>
      <c r="Y64" s="13"/>
      <c r="Z64" s="13"/>
      <c r="AA64" s="13"/>
      <c r="AB64" s="13"/>
      <c r="AC64"/>
      <c r="AD64"/>
      <c r="AE64"/>
      <c r="AF64"/>
      <c r="AG64"/>
    </row>
    <row r="65" spans="1:33" x14ac:dyDescent="0.25">
      <c r="A65" s="4" t="s">
        <v>154</v>
      </c>
      <c r="B65" s="10">
        <v>64.725999999999999</v>
      </c>
      <c r="C65" s="13"/>
      <c r="D65" s="10">
        <f>_xlfn.IFNA(VLOOKUP(Table1[[#This Row],[STATION (current)]],AllP20!B$2:F$93,5,FALSE),"")</f>
        <v>64.88</v>
      </c>
      <c r="E65" s="10"/>
      <c r="F65" s="10">
        <f>_xlfn.IFNA(VLOOKUP(Table1[[#This Row],[STATION (current)]],AllP20!B$2:I$93,8,FALSE),"")</f>
        <v>64.605999999999995</v>
      </c>
      <c r="G65" s="10"/>
      <c r="H65" s="10">
        <f>_xlfn.IFNA(VLOOKUP(Table1[[#This Row],[STATION (current)]],AllP20!B$2:L$93,11,FALSE),"")</f>
        <v>64.768000000000001</v>
      </c>
      <c r="I65" s="10"/>
      <c r="J65" s="10">
        <f>_xlfn.IFNA(VLOOKUP(Table1[[#This Row],[STATION (current)]],AllP20!B$2:O$93,14,FALSE),"")</f>
        <v>64.930000000000007</v>
      </c>
      <c r="K65" s="10"/>
      <c r="L65" s="10">
        <f>_xlfn.IFNA(VLOOKUP(Table1[[#This Row],[STATION (current)]],AllP20!B$2:R$93,17,FALSE),"")</f>
        <v>65.11</v>
      </c>
      <c r="M65" s="10"/>
      <c r="N65" s="10">
        <f>_xlfn.IFNA(VLOOKUP(Table1[[#This Row],[STATION (current)]],AllP20!B$2:U$93,20,FALSE),"")</f>
        <v>65.099999999999994</v>
      </c>
      <c r="O65" s="10"/>
      <c r="P65" s="10"/>
      <c r="Q65" s="4" t="s">
        <v>81</v>
      </c>
      <c r="R65" s="10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/>
      <c r="AD65"/>
      <c r="AE65"/>
      <c r="AF65"/>
      <c r="AG65"/>
    </row>
    <row r="66" spans="1:33" x14ac:dyDescent="0.25">
      <c r="A66" s="4" t="s">
        <v>156</v>
      </c>
      <c r="B66" s="14">
        <f>_xlfn.IFNA(VLOOKUP(Table1[[#This Row],[STATION (current)]],AllP20!B$2:C$93,2,FALSE),"")</f>
        <v>129.3263</v>
      </c>
      <c r="C66" s="15">
        <f>IFERROR(Table1[[#This Row],[2011_P20]]-Table1[[#This Row],[OldP80@NAVD]],"")</f>
        <v>-4.5224191697457172E-2</v>
      </c>
      <c r="D66" s="10">
        <f>_xlfn.IFNA(VLOOKUP(Table1[[#This Row],[STATION (current)]],AllP20!B$2:F$93,5,FALSE),"")</f>
        <v>129.36071000000001</v>
      </c>
      <c r="E66" s="10">
        <f>IFERROR(Table1[[#This Row],[2012_P20]]-Table1[[#This Row],[OldP80@NAVD]],"")</f>
        <v>-1.0814191697448905E-2</v>
      </c>
      <c r="F66" s="14">
        <f>_xlfn.IFNA(VLOOKUP(Table1[[#This Row],[STATION (current)]],AllP20!B$2:I$93,8,FALSE),"")</f>
        <v>129.41544999999999</v>
      </c>
      <c r="G66" s="10">
        <f>IFERROR(Table1[[#This Row],[2013_P20]]-Table1[[#This Row],[OldP80@NAVD]],"")</f>
        <v>4.3925808302532232E-2</v>
      </c>
      <c r="H66" s="10">
        <f>_xlfn.IFNA(VLOOKUP(Table1[[#This Row],[STATION (current)]],AllP20!B$2:L$93,11,FALSE),"")</f>
        <v>129.46817999999999</v>
      </c>
      <c r="I66" s="10">
        <f>IFERROR(Table1[[#This Row],[2014_P20]]-Table1[[#This Row],[OldP80@NAVD]],"")</f>
        <v>9.6655808302529067E-2</v>
      </c>
      <c r="J66" s="14">
        <f>_xlfn.IFNA(VLOOKUP(Table1[[#This Row],[STATION (current)]],AllP20!B$2:O$93,14,FALSE),"")</f>
        <v>129.51365999999999</v>
      </c>
      <c r="K66" s="10">
        <f>IFERROR(Table1[[#This Row],[2015_P20]]-Table1[[#This Row],[OldP80@NAVD]],"")</f>
        <v>0.14213580830252681</v>
      </c>
      <c r="L66" s="10">
        <f>_xlfn.IFNA(VLOOKUP(Table1[[#This Row],[STATION (current)]],AllP20!B$2:R$93,17,FALSE),"")</f>
        <v>129.54840999999999</v>
      </c>
      <c r="M66" s="10">
        <f>IFERROR(Table1[[#This Row],[2016_P20]]-Table1[[#This Row],[OldP80@NAVD]],"")</f>
        <v>0.17688580830252931</v>
      </c>
      <c r="N66" s="14">
        <f>_xlfn.IFNA(VLOOKUP(Table1[[#This Row],[STATION (current)]],AllP20!B$2:U$93,20,FALSE),"")</f>
        <v>129.55325999999999</v>
      </c>
      <c r="O66" s="10">
        <f>IFERROR(Table1[[#This Row],[2017_P20]]-Table1[[#This Row],[OldP80@NAVD]],"")</f>
        <v>0.181735808302534</v>
      </c>
      <c r="P66" s="2">
        <v>-0.92847580830256138</v>
      </c>
      <c r="Q66" s="4" t="s">
        <v>48</v>
      </c>
      <c r="R66" s="10">
        <v>130.30000000000001</v>
      </c>
      <c r="S66" s="13">
        <f>Table1[[#This Row],[P80NGVD]]+Table1[[#This Row],[shift]]</f>
        <v>129.37152419169746</v>
      </c>
      <c r="T66" s="13"/>
      <c r="U66" s="13"/>
      <c r="V66" s="13"/>
      <c r="W66" s="13"/>
      <c r="X66" s="13"/>
      <c r="Y66" s="13"/>
      <c r="Z66" s="13"/>
      <c r="AA66" s="13"/>
      <c r="AB66" s="13"/>
      <c r="AC66"/>
      <c r="AD66"/>
      <c r="AE66"/>
      <c r="AF66"/>
      <c r="AG66"/>
    </row>
    <row r="67" spans="1:33" hidden="1" x14ac:dyDescent="0.25">
      <c r="A67" s="4" t="s">
        <v>134</v>
      </c>
      <c r="B67" s="10">
        <v>37.318680000000001</v>
      </c>
      <c r="C67" s="13"/>
      <c r="D67" s="10">
        <f>_xlfn.IFNA(VLOOKUP(Table1[[#This Row],[STATION (current)]],AllP20!B$2:F$93,5,FALSE),"")</f>
        <v>36.917169999999999</v>
      </c>
      <c r="E67" s="10"/>
      <c r="F67" s="10">
        <f>_xlfn.IFNA(VLOOKUP(Table1[[#This Row],[STATION (current)]],AllP20!B$2:I$93,8,FALSE),"")</f>
        <v>36.657179999999997</v>
      </c>
      <c r="G67" s="10"/>
      <c r="H67" s="10">
        <f>_xlfn.IFNA(VLOOKUP(Table1[[#This Row],[STATION (current)]],AllP20!B$2:L$93,11,FALSE),"")</f>
        <v>36.409999999999997</v>
      </c>
      <c r="I67" s="10"/>
      <c r="J67" s="10">
        <f>_xlfn.IFNA(VLOOKUP(Table1[[#This Row],[STATION (current)]],AllP20!B$2:O$93,14,FALSE),"")</f>
        <v>36.267499999999998</v>
      </c>
      <c r="K67" s="10"/>
      <c r="L67" s="10">
        <f>_xlfn.IFNA(VLOOKUP(Table1[[#This Row],[STATION (current)]],AllP20!B$2:R$93,17,FALSE),"")</f>
        <v>36.192</v>
      </c>
      <c r="M67" s="10"/>
      <c r="N67" s="10">
        <f>_xlfn.IFNA(VLOOKUP(Table1[[#This Row],[STATION (current)]],AllP20!B$2:U$93,20,FALSE),"")</f>
        <v>36.076000000000001</v>
      </c>
      <c r="O67" s="10"/>
      <c r="P67" s="10"/>
      <c r="Q67" s="4"/>
      <c r="R67" s="10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/>
      <c r="AD67"/>
      <c r="AE67"/>
      <c r="AF67"/>
      <c r="AG67"/>
    </row>
    <row r="68" spans="1:33" hidden="1" x14ac:dyDescent="0.25">
      <c r="A68" s="4" t="s">
        <v>136</v>
      </c>
      <c r="B68" s="14">
        <f>_xlfn.IFNA(VLOOKUP(Table1[[#This Row],[STATION (current)]],AllP20!B$2:C$93,2,FALSE),"")</f>
        <v>123.75700000000001</v>
      </c>
      <c r="C68" s="13"/>
      <c r="D68" s="10">
        <f>_xlfn.IFNA(VLOOKUP(Table1[[#This Row],[STATION (current)]],AllP20!B$2:F$93,5,FALSE),"")</f>
        <v>123.75700000000001</v>
      </c>
      <c r="E68" s="10"/>
      <c r="F68" s="10">
        <f>_xlfn.IFNA(VLOOKUP(Table1[[#This Row],[STATION (current)]],AllP20!B$2:I$93,8,FALSE),"")</f>
        <v>123.75700000000001</v>
      </c>
      <c r="G68" s="10"/>
      <c r="H68" s="10">
        <f>_xlfn.IFNA(VLOOKUP(Table1[[#This Row],[STATION (current)]],AllP20!B$2:L$93,11,FALSE),"")</f>
        <v>123.75700000000001</v>
      </c>
      <c r="I68" s="10"/>
      <c r="J68" s="10">
        <f>_xlfn.IFNA(VLOOKUP(Table1[[#This Row],[STATION (current)]],AllP20!B$2:O$93,14,FALSE),"")</f>
        <v>123.75700000000001</v>
      </c>
      <c r="K68" s="10"/>
      <c r="L68" s="10">
        <f>_xlfn.IFNA(VLOOKUP(Table1[[#This Row],[STATION (current)]],AllP20!B$2:R$93,17,FALSE),"")</f>
        <v>123.75700000000001</v>
      </c>
      <c r="M68" s="10"/>
      <c r="N68" s="10">
        <f>_xlfn.IFNA(VLOOKUP(Table1[[#This Row],[STATION (current)]],AllP20!B$2:U$93,20,FALSE),"")</f>
        <v>123.75700000000001</v>
      </c>
      <c r="O68" s="10"/>
      <c r="P68" s="12">
        <v>-0.84299999999999997</v>
      </c>
      <c r="Q68" s="4"/>
      <c r="R68" s="10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/>
      <c r="AD68"/>
      <c r="AE68"/>
      <c r="AF68"/>
      <c r="AG68"/>
    </row>
    <row r="69" spans="1:33" hidden="1" x14ac:dyDescent="0.25">
      <c r="A69" s="4" t="s">
        <v>137</v>
      </c>
      <c r="B69" s="14">
        <f>_xlfn.IFNA(VLOOKUP(Table1[[#This Row],[STATION (current)]],AllP20!B$2:C$93,2,FALSE),"")</f>
        <v>126.95699999999999</v>
      </c>
      <c r="C69" s="13"/>
      <c r="D69" s="10">
        <f>_xlfn.IFNA(VLOOKUP(Table1[[#This Row],[STATION (current)]],AllP20!B$2:F$93,5,FALSE),"")</f>
        <v>126.95699999999999</v>
      </c>
      <c r="E69" s="10"/>
      <c r="F69" s="10">
        <f>_xlfn.IFNA(VLOOKUP(Table1[[#This Row],[STATION (current)]],AllP20!B$2:I$93,8,FALSE),"")</f>
        <v>127.07271</v>
      </c>
      <c r="G69" s="10"/>
      <c r="H69" s="10">
        <f>_xlfn.IFNA(VLOOKUP(Table1[[#This Row],[STATION (current)]],AllP20!B$2:L$93,11,FALSE),"")</f>
        <v>127.51075</v>
      </c>
      <c r="I69" s="10"/>
      <c r="J69" s="10">
        <f>_xlfn.IFNA(VLOOKUP(Table1[[#This Row],[STATION (current)]],AllP20!B$2:O$93,14,FALSE),"")</f>
        <v>127.94199999999999</v>
      </c>
      <c r="K69" s="10"/>
      <c r="L69" s="10">
        <f>_xlfn.IFNA(VLOOKUP(Table1[[#This Row],[STATION (current)]],AllP20!B$2:R$93,17,FALSE),"")</f>
        <v>128.273</v>
      </c>
      <c r="M69" s="10"/>
      <c r="N69" s="10">
        <f>_xlfn.IFNA(VLOOKUP(Table1[[#This Row],[STATION (current)]],AllP20!B$2:U$93,20,FALSE),"")</f>
        <v>128.52699999999999</v>
      </c>
      <c r="O69" s="10"/>
      <c r="P69" s="12">
        <v>-0.84299999999999997</v>
      </c>
      <c r="Q69" s="4"/>
      <c r="R69" s="10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/>
      <c r="AD69"/>
      <c r="AE69"/>
      <c r="AF69"/>
      <c r="AG69"/>
    </row>
    <row r="70" spans="1:33" hidden="1" x14ac:dyDescent="0.25">
      <c r="A70" s="4" t="s">
        <v>138</v>
      </c>
      <c r="B70" s="14">
        <f>_xlfn.IFNA(VLOOKUP(Table1[[#This Row],[STATION (current)]],AllP20!B$2:C$93,2,FALSE),"")</f>
        <v>126.107</v>
      </c>
      <c r="C70" s="13"/>
      <c r="D70" s="10">
        <f>_xlfn.IFNA(VLOOKUP(Table1[[#This Row],[STATION (current)]],AllP20!B$2:F$93,5,FALSE),"")</f>
        <v>126.107</v>
      </c>
      <c r="E70" s="10"/>
      <c r="F70" s="10">
        <f>_xlfn.IFNA(VLOOKUP(Table1[[#This Row],[STATION (current)]],AllP20!B$2:I$93,8,FALSE),"")</f>
        <v>126.43129</v>
      </c>
      <c r="G70" s="10"/>
      <c r="H70" s="10">
        <f>_xlfn.IFNA(VLOOKUP(Table1[[#This Row],[STATION (current)]],AllP20!B$2:L$93,11,FALSE),"")</f>
        <v>126.95699999999999</v>
      </c>
      <c r="I70" s="10"/>
      <c r="J70" s="10">
        <f>_xlfn.IFNA(VLOOKUP(Table1[[#This Row],[STATION (current)]],AllP20!B$2:O$93,14,FALSE),"")</f>
        <v>127.48914000000001</v>
      </c>
      <c r="K70" s="10"/>
      <c r="L70" s="10">
        <f>_xlfn.IFNA(VLOOKUP(Table1[[#This Row],[STATION (current)]],AllP20!B$2:R$93,17,FALSE),"")</f>
        <v>128.06613999999999</v>
      </c>
      <c r="M70" s="10"/>
      <c r="N70" s="10">
        <f>_xlfn.IFNA(VLOOKUP(Table1[[#This Row],[STATION (current)]],AllP20!B$2:U$93,20,FALSE),"")</f>
        <v>128.45957000000001</v>
      </c>
      <c r="O70" s="10"/>
      <c r="P70" s="12">
        <v>-0.84299999999999997</v>
      </c>
      <c r="Q70" s="4"/>
      <c r="R70" s="10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/>
      <c r="AD70"/>
      <c r="AE70"/>
      <c r="AF70"/>
      <c r="AG70"/>
    </row>
    <row r="71" spans="1:33" hidden="1" x14ac:dyDescent="0.25">
      <c r="A71" s="4" t="s">
        <v>139</v>
      </c>
      <c r="B71" s="14">
        <f>_xlfn.IFNA(VLOOKUP(Table1[[#This Row],[STATION (current)]],AllP20!B$2:C$93,2,FALSE),"")</f>
        <v>126.80833</v>
      </c>
      <c r="C71" s="13"/>
      <c r="D71" s="10">
        <f>_xlfn.IFNA(VLOOKUP(Table1[[#This Row],[STATION (current)]],AllP20!B$2:F$93,5,FALSE),"")</f>
        <v>126.88791999999999</v>
      </c>
      <c r="E71" s="10"/>
      <c r="F71" s="10">
        <f>_xlfn.IFNA(VLOOKUP(Table1[[#This Row],[STATION (current)]],AllP20!B$2:I$93,8,FALSE),"")</f>
        <v>127.37238000000001</v>
      </c>
      <c r="G71" s="10"/>
      <c r="H71" s="10">
        <f>_xlfn.IFNA(VLOOKUP(Table1[[#This Row],[STATION (current)]],AllP20!B$2:L$93,11,FALSE),"")</f>
        <v>127.88459</v>
      </c>
      <c r="I71" s="10"/>
      <c r="J71" s="10">
        <f>_xlfn.IFNA(VLOOKUP(Table1[[#This Row],[STATION (current)]],AllP20!B$2:O$93,14,FALSE),"")</f>
        <v>128.16162</v>
      </c>
      <c r="K71" s="10"/>
      <c r="L71" s="10">
        <f>_xlfn.IFNA(VLOOKUP(Table1[[#This Row],[STATION (current)]],AllP20!B$2:R$93,17,FALSE),"")</f>
        <v>128.38437999999999</v>
      </c>
      <c r="M71" s="10"/>
      <c r="N71" s="10">
        <f>_xlfn.IFNA(VLOOKUP(Table1[[#This Row],[STATION (current)]],AllP20!B$2:U$93,20,FALSE),"")</f>
        <v>128.56992</v>
      </c>
      <c r="O71" s="10"/>
      <c r="P71" s="12">
        <v>-0.84299999999999997</v>
      </c>
      <c r="Q71" s="4"/>
      <c r="R71" s="10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/>
      <c r="AD71"/>
      <c r="AE71"/>
      <c r="AF71"/>
      <c r="AG71"/>
    </row>
    <row r="72" spans="1:33" hidden="1" x14ac:dyDescent="0.25">
      <c r="A72" s="4" t="s">
        <v>140</v>
      </c>
      <c r="B72" s="14">
        <f>_xlfn.IFNA(VLOOKUP(Table1[[#This Row],[STATION (current)]],AllP20!B$2:C$93,2,FALSE),"")</f>
        <v>126.70066</v>
      </c>
      <c r="C72" s="13"/>
      <c r="D72" s="10">
        <f>_xlfn.IFNA(VLOOKUP(Table1[[#This Row],[STATION (current)]],AllP20!B$2:F$93,5,FALSE),"")</f>
        <v>125.727</v>
      </c>
      <c r="E72" s="10"/>
      <c r="F72" s="10">
        <f>_xlfn.IFNA(VLOOKUP(Table1[[#This Row],[STATION (current)]],AllP20!B$2:I$93,8,FALSE),"")</f>
        <v>126.277</v>
      </c>
      <c r="G72" s="10"/>
      <c r="H72" s="10">
        <f>_xlfn.IFNA(VLOOKUP(Table1[[#This Row],[STATION (current)]],AllP20!B$2:L$93,11,FALSE),"")</f>
        <v>127.04576</v>
      </c>
      <c r="I72" s="10"/>
      <c r="J72" s="10">
        <f>_xlfn.IFNA(VLOOKUP(Table1[[#This Row],[STATION (current)]],AllP20!B$2:O$93,14,FALSE),"")</f>
        <v>127.4885</v>
      </c>
      <c r="K72" s="10"/>
      <c r="L72" s="10">
        <f>_xlfn.IFNA(VLOOKUP(Table1[[#This Row],[STATION (current)]],AllP20!B$2:R$93,17,FALSE),"")</f>
        <v>127.87669</v>
      </c>
      <c r="M72" s="10"/>
      <c r="N72" s="10">
        <f>_xlfn.IFNA(VLOOKUP(Table1[[#This Row],[STATION (current)]],AllP20!B$2:U$93,20,FALSE),"")</f>
        <v>128.41222999999999</v>
      </c>
      <c r="O72" s="10"/>
      <c r="P72" s="12">
        <v>-0.84299999999999997</v>
      </c>
      <c r="Q72" s="4"/>
      <c r="R72" s="10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/>
      <c r="AD72"/>
      <c r="AE72"/>
      <c r="AF72"/>
      <c r="AG72"/>
    </row>
    <row r="73" spans="1:33" hidden="1" x14ac:dyDescent="0.25">
      <c r="A73" s="4" t="s">
        <v>141</v>
      </c>
      <c r="B73" s="14">
        <f>_xlfn.IFNA(VLOOKUP(Table1[[#This Row],[STATION (current)]],AllP20!B$2:C$93,2,FALSE),"")</f>
        <v>125.45129</v>
      </c>
      <c r="C73" s="13"/>
      <c r="D73" s="10">
        <f>_xlfn.IFNA(VLOOKUP(Table1[[#This Row],[STATION (current)]],AllP20!B$2:F$93,5,FALSE),"")</f>
        <v>123.877</v>
      </c>
      <c r="E73" s="10"/>
      <c r="F73" s="10">
        <f>_xlfn.IFNA(VLOOKUP(Table1[[#This Row],[STATION (current)]],AllP20!B$2:I$93,8,FALSE),"")</f>
        <v>125.595</v>
      </c>
      <c r="G73" s="10"/>
      <c r="H73" s="10">
        <f>_xlfn.IFNA(VLOOKUP(Table1[[#This Row],[STATION (current)]],AllP20!B$2:L$93,11,FALSE),"")</f>
        <v>126.84414</v>
      </c>
      <c r="I73" s="10"/>
      <c r="J73" s="10">
        <f>_xlfn.IFNA(VLOOKUP(Table1[[#This Row],[STATION (current)]],AllP20!B$2:O$93,14,FALSE),"")</f>
        <v>127.959</v>
      </c>
      <c r="K73" s="10"/>
      <c r="L73" s="10">
        <f>_xlfn.IFNA(VLOOKUP(Table1[[#This Row],[STATION (current)]],AllP20!B$2:R$93,17,FALSE),"")</f>
        <v>128.82871</v>
      </c>
      <c r="M73" s="10"/>
      <c r="N73" s="10">
        <f>_xlfn.IFNA(VLOOKUP(Table1[[#This Row],[STATION (current)]],AllP20!B$2:U$93,20,FALSE),"")</f>
        <v>128.97729000000001</v>
      </c>
      <c r="O73" s="10"/>
      <c r="P73" s="12">
        <v>-0.84299999999999997</v>
      </c>
      <c r="Q73" s="4"/>
      <c r="R73" s="10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/>
      <c r="AD73"/>
      <c r="AE73"/>
      <c r="AF73"/>
      <c r="AG73"/>
    </row>
    <row r="74" spans="1:33" hidden="1" x14ac:dyDescent="0.25">
      <c r="A74" s="4" t="s">
        <v>142</v>
      </c>
      <c r="B74" s="14">
        <f>_xlfn.IFNA(VLOOKUP(Table1[[#This Row],[STATION (current)]],AllP20!B$2:C$93,2,FALSE),"")</f>
        <v>128.11129</v>
      </c>
      <c r="C74" s="13"/>
      <c r="D74" s="10">
        <f>_xlfn.IFNA(VLOOKUP(Table1[[#This Row],[STATION (current)]],AllP20!B$2:F$93,5,FALSE),"")</f>
        <v>128.13200000000001</v>
      </c>
      <c r="E74" s="10"/>
      <c r="F74" s="10">
        <f>_xlfn.IFNA(VLOOKUP(Table1[[#This Row],[STATION (current)]],AllP20!B$2:I$93,8,FALSE),"")</f>
        <v>128.3595</v>
      </c>
      <c r="G74" s="10"/>
      <c r="H74" s="10">
        <f>_xlfn.IFNA(VLOOKUP(Table1[[#This Row],[STATION (current)]],AllP20!B$2:L$93,11,FALSE),"")</f>
        <v>128.59747999999999</v>
      </c>
      <c r="I74" s="10"/>
      <c r="J74" s="10">
        <f>_xlfn.IFNA(VLOOKUP(Table1[[#This Row],[STATION (current)]],AllP20!B$2:O$93,14,FALSE),"")</f>
        <v>128.80413999999999</v>
      </c>
      <c r="K74" s="10"/>
      <c r="L74" s="10">
        <f>_xlfn.IFNA(VLOOKUP(Table1[[#This Row],[STATION (current)]],AllP20!B$2:R$93,17,FALSE),"")</f>
        <v>129.029</v>
      </c>
      <c r="M74" s="10"/>
      <c r="N74" s="10">
        <f>_xlfn.IFNA(VLOOKUP(Table1[[#This Row],[STATION (current)]],AllP20!B$2:U$93,20,FALSE),"")</f>
        <v>129.13729000000001</v>
      </c>
      <c r="O74" s="10"/>
      <c r="P74" s="12">
        <v>-0.84299999999999997</v>
      </c>
      <c r="Q74" s="4"/>
      <c r="R74" s="10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/>
      <c r="AD74"/>
      <c r="AE74"/>
      <c r="AF74"/>
      <c r="AG74"/>
    </row>
    <row r="75" spans="1:33" hidden="1" x14ac:dyDescent="0.25">
      <c r="A75" s="4" t="s">
        <v>143</v>
      </c>
      <c r="B75" s="14">
        <f>_xlfn.IFNA(VLOOKUP(Table1[[#This Row],[STATION (current)]],AllP20!B$2:C$93,2,FALSE),"")</f>
        <v>127.157</v>
      </c>
      <c r="C75" s="13"/>
      <c r="D75" s="10">
        <f>_xlfn.IFNA(VLOOKUP(Table1[[#This Row],[STATION (current)]],AllP20!B$2:F$93,5,FALSE),"")</f>
        <v>127.157</v>
      </c>
      <c r="E75" s="10"/>
      <c r="F75" s="10">
        <f>_xlfn.IFNA(VLOOKUP(Table1[[#This Row],[STATION (current)]],AllP20!B$2:I$93,8,FALSE),"")</f>
        <v>127.15913999999999</v>
      </c>
      <c r="G75" s="10"/>
      <c r="H75" s="10">
        <f>_xlfn.IFNA(VLOOKUP(Table1[[#This Row],[STATION (current)]],AllP20!B$2:L$93,11,FALSE),"")</f>
        <v>127.167</v>
      </c>
      <c r="I75" s="10"/>
      <c r="J75" s="10">
        <f>_xlfn.IFNA(VLOOKUP(Table1[[#This Row],[STATION (current)]],AllP20!B$2:O$93,14,FALSE),"")</f>
        <v>127.167</v>
      </c>
      <c r="K75" s="10"/>
      <c r="L75" s="10">
        <f>_xlfn.IFNA(VLOOKUP(Table1[[#This Row],[STATION (current)]],AllP20!B$2:R$93,17,FALSE),"")</f>
        <v>127.167</v>
      </c>
      <c r="M75" s="10"/>
      <c r="N75" s="10">
        <f>_xlfn.IFNA(VLOOKUP(Table1[[#This Row],[STATION (current)]],AllP20!B$2:U$93,20,FALSE),"")</f>
        <v>127.197</v>
      </c>
      <c r="O75" s="10"/>
      <c r="P75" s="12">
        <v>-0.84299999999999997</v>
      </c>
      <c r="Q75" s="4"/>
      <c r="R75" s="10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/>
      <c r="AD75"/>
      <c r="AE75"/>
      <c r="AF75"/>
      <c r="AG75"/>
    </row>
    <row r="76" spans="1:33" s="7" customFormat="1" hidden="1" x14ac:dyDescent="0.25">
      <c r="A76" s="4" t="s">
        <v>146</v>
      </c>
      <c r="B76" s="14">
        <f>_xlfn.IFNA(VLOOKUP(Table1[[#This Row],[STATION (current)]],AllP20!B$2:C$93,2,FALSE),"")</f>
        <v>0</v>
      </c>
      <c r="C76" s="13">
        <f>IFERROR(Table1[[#This Row],[2011_P20]]-Table1[[#This Row],[OldP80@NAVD]],"")</f>
        <v>0</v>
      </c>
      <c r="D76" s="10">
        <f>_xlfn.IFNA(VLOOKUP(Table1[[#This Row],[STATION (current)]],AllP20!B$2:F$93,5,FALSE),"")</f>
        <v>0</v>
      </c>
      <c r="E76" s="10"/>
      <c r="F76" s="10">
        <f>_xlfn.IFNA(VLOOKUP(Table1[[#This Row],[STATION (current)]],AllP20!B$2:I$93,8,FALSE),"")</f>
        <v>0</v>
      </c>
      <c r="G76" s="10"/>
      <c r="H76" s="10">
        <f>_xlfn.IFNA(VLOOKUP(Table1[[#This Row],[STATION (current)]],AllP20!B$2:L$93,11,FALSE),"")</f>
        <v>0</v>
      </c>
      <c r="I76" s="10"/>
      <c r="J76" s="10">
        <f>_xlfn.IFNA(VLOOKUP(Table1[[#This Row],[STATION (current)]],AllP20!B$2:O$93,14,FALSE),"")</f>
        <v>0</v>
      </c>
      <c r="K76" s="10"/>
      <c r="L76" s="10">
        <f>_xlfn.IFNA(VLOOKUP(Table1[[#This Row],[STATION (current)]],AllP20!B$2:R$93,17,FALSE),"")</f>
        <v>0</v>
      </c>
      <c r="M76" s="10"/>
      <c r="N76" s="10">
        <f>_xlfn.IFNA(VLOOKUP(Table1[[#This Row],[STATION (current)]],AllP20!B$2:U$93,20,FALSE),"")</f>
        <v>59.687559999999998</v>
      </c>
      <c r="O76" s="10"/>
      <c r="P76" s="12">
        <v>-0.99099999999999999</v>
      </c>
      <c r="Q76" s="4"/>
      <c r="R76" s="10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33" s="7" customFormat="1" hidden="1" x14ac:dyDescent="0.25">
      <c r="A77" s="4" t="s">
        <v>147</v>
      </c>
      <c r="B77" s="14">
        <f>_xlfn.IFNA(VLOOKUP(Table1[[#This Row],[STATION (current)]],AllP20!B$2:C$93,2,FALSE),"")</f>
        <v>0</v>
      </c>
      <c r="C77" s="13">
        <f>IFERROR(Table1[[#This Row],[2011_P20]]-Table1[[#This Row],[OldP80@NAVD]],"")</f>
        <v>0</v>
      </c>
      <c r="D77" s="10">
        <f>_xlfn.IFNA(VLOOKUP(Table1[[#This Row],[STATION (current)]],AllP20!B$2:F$93,5,FALSE),"")</f>
        <v>0</v>
      </c>
      <c r="E77" s="10"/>
      <c r="F77" s="10">
        <f>_xlfn.IFNA(VLOOKUP(Table1[[#This Row],[STATION (current)]],AllP20!B$2:I$93,8,FALSE),"")</f>
        <v>0</v>
      </c>
      <c r="G77" s="10"/>
      <c r="H77" s="10">
        <f>_xlfn.IFNA(VLOOKUP(Table1[[#This Row],[STATION (current)]],AllP20!B$2:L$93,11,FALSE),"")</f>
        <v>0</v>
      </c>
      <c r="I77" s="10"/>
      <c r="J77" s="10">
        <f>_xlfn.IFNA(VLOOKUP(Table1[[#This Row],[STATION (current)]],AllP20!B$2:O$93,14,FALSE),"")</f>
        <v>0</v>
      </c>
      <c r="K77" s="10"/>
      <c r="L77" s="10">
        <f>_xlfn.IFNA(VLOOKUP(Table1[[#This Row],[STATION (current)]],AllP20!B$2:R$93,17,FALSE),"")</f>
        <v>0</v>
      </c>
      <c r="M77" s="10"/>
      <c r="N77" s="10">
        <f>_xlfn.IFNA(VLOOKUP(Table1[[#This Row],[STATION (current)]],AllP20!B$2:U$93,20,FALSE),"")</f>
        <v>61.350670000000001</v>
      </c>
      <c r="O77" s="10"/>
      <c r="P77" s="12">
        <v>-0.99099999999999999</v>
      </c>
      <c r="Q77" s="4"/>
      <c r="R77" s="10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33" hidden="1" x14ac:dyDescent="0.25">
      <c r="A78" s="4" t="s">
        <v>148</v>
      </c>
      <c r="B78" s="14">
        <f>_xlfn.IFNA(VLOOKUP(Table1[[#This Row],[STATION (current)]],AllP20!B$2:C$93,2,FALSE),"")</f>
        <v>123.31583999999999</v>
      </c>
      <c r="C78" s="13"/>
      <c r="D78" s="10">
        <f>_xlfn.IFNA(VLOOKUP(Table1[[#This Row],[STATION (current)]],AllP20!B$2:F$93,5,FALSE),"")</f>
        <v>123.26387</v>
      </c>
      <c r="E78" s="10"/>
      <c r="F78" s="10">
        <f>_xlfn.IFNA(VLOOKUP(Table1[[#This Row],[STATION (current)]],AllP20!B$2:I$93,8,FALSE),"")</f>
        <v>123.18</v>
      </c>
      <c r="G78" s="10"/>
      <c r="H78" s="10">
        <f>_xlfn.IFNA(VLOOKUP(Table1[[#This Row],[STATION (current)]],AllP20!B$2:L$93,11,FALSE),"")</f>
        <v>123.33627</v>
      </c>
      <c r="I78" s="10"/>
      <c r="J78" s="10">
        <f>_xlfn.IFNA(VLOOKUP(Table1[[#This Row],[STATION (current)]],AllP20!B$2:O$93,14,FALSE),"")</f>
        <v>123.48333</v>
      </c>
      <c r="K78" s="10"/>
      <c r="L78" s="10">
        <f>_xlfn.IFNA(VLOOKUP(Table1[[#This Row],[STATION (current)]],AllP20!B$2:R$93,17,FALSE),"")</f>
        <v>123.62452</v>
      </c>
      <c r="M78" s="10"/>
      <c r="N78" s="10">
        <f>_xlfn.IFNA(VLOOKUP(Table1[[#This Row],[STATION (current)]],AllP20!B$2:U$93,20,FALSE),"")</f>
        <v>123.73748000000001</v>
      </c>
      <c r="O78" s="10"/>
      <c r="P78" s="12">
        <v>-0.86</v>
      </c>
      <c r="Q78" s="4"/>
      <c r="R78" s="10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/>
      <c r="AD78"/>
      <c r="AE78"/>
      <c r="AF78"/>
      <c r="AG78"/>
    </row>
    <row r="79" spans="1:33" hidden="1" x14ac:dyDescent="0.25">
      <c r="A79" s="4" t="s">
        <v>149</v>
      </c>
      <c r="B79" s="14">
        <f>_xlfn.IFNA(VLOOKUP(Table1[[#This Row],[STATION (current)]],AllP20!B$2:C$93,2,FALSE),"")</f>
        <v>96.789540000000002</v>
      </c>
      <c r="C79" s="13"/>
      <c r="D79" s="10">
        <f>_xlfn.IFNA(VLOOKUP(Table1[[#This Row],[STATION (current)]],AllP20!B$2:F$93,5,FALSE),"")</f>
        <v>121.86654</v>
      </c>
      <c r="E79" s="10"/>
      <c r="F79" s="10">
        <f>_xlfn.IFNA(VLOOKUP(Table1[[#This Row],[STATION (current)]],AllP20!B$2:I$93,8,FALSE),"")</f>
        <v>121.86654</v>
      </c>
      <c r="G79" s="10"/>
      <c r="H79" s="10">
        <f>_xlfn.IFNA(VLOOKUP(Table1[[#This Row],[STATION (current)]],AllP20!B$2:L$93,11,FALSE),"")</f>
        <v>121.86654</v>
      </c>
      <c r="I79" s="10"/>
      <c r="J79" s="10">
        <f>_xlfn.IFNA(VLOOKUP(Table1[[#This Row],[STATION (current)]],AllP20!B$2:O$93,14,FALSE),"")</f>
        <v>121.86654</v>
      </c>
      <c r="K79" s="10"/>
      <c r="L79" s="10">
        <f>_xlfn.IFNA(VLOOKUP(Table1[[#This Row],[STATION (current)]],AllP20!B$2:R$93,17,FALSE),"")</f>
        <v>121.86654</v>
      </c>
      <c r="M79" s="10"/>
      <c r="N79" s="10">
        <f>_xlfn.IFNA(VLOOKUP(Table1[[#This Row],[STATION (current)]],AllP20!B$2:U$93,20,FALSE),"")</f>
        <v>121.86654</v>
      </c>
      <c r="O79" s="10"/>
      <c r="P79" s="12">
        <v>-0.86</v>
      </c>
      <c r="Q79" s="4"/>
      <c r="R79" s="10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/>
      <c r="AD79"/>
      <c r="AE79"/>
      <c r="AF79"/>
      <c r="AG79"/>
    </row>
    <row r="80" spans="1:33" hidden="1" x14ac:dyDescent="0.25">
      <c r="A80" s="4" t="s">
        <v>150</v>
      </c>
      <c r="B80" s="10">
        <v>87.684349999999995</v>
      </c>
      <c r="C80" s="13"/>
      <c r="D80" s="10">
        <f>_xlfn.IFNA(VLOOKUP(Table1[[#This Row],[STATION (current)]],AllP20!B$2:F$93,5,FALSE),"")</f>
        <v>87.613479999999996</v>
      </c>
      <c r="E80" s="10"/>
      <c r="F80" s="10">
        <f>_xlfn.IFNA(VLOOKUP(Table1[[#This Row],[STATION (current)]],AllP20!B$2:I$93,8,FALSE),"")</f>
        <v>87.661630000000002</v>
      </c>
      <c r="G80" s="10"/>
      <c r="H80" s="10">
        <f>_xlfn.IFNA(VLOOKUP(Table1[[#This Row],[STATION (current)]],AllP20!B$2:L$93,11,FALSE),"")</f>
        <v>87.699780000000004</v>
      </c>
      <c r="I80" s="10"/>
      <c r="J80" s="10">
        <f>_xlfn.IFNA(VLOOKUP(Table1[[#This Row],[STATION (current)]],AllP20!B$2:O$93,14,FALSE),"")</f>
        <v>87.750630000000001</v>
      </c>
      <c r="K80" s="10"/>
      <c r="L80" s="10">
        <f>_xlfn.IFNA(VLOOKUP(Table1[[#This Row],[STATION (current)]],AllP20!B$2:R$93,17,FALSE),"")</f>
        <v>87.815460000000002</v>
      </c>
      <c r="M80" s="10"/>
      <c r="N80" s="10">
        <f>_xlfn.IFNA(VLOOKUP(Table1[[#This Row],[STATION (current)]],AllP20!B$2:U$93,20,FALSE),"")</f>
        <v>87.868080000000006</v>
      </c>
      <c r="O80" s="10"/>
      <c r="P80" s="10"/>
      <c r="Q80" s="4"/>
      <c r="R80" s="10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/>
      <c r="AD80"/>
      <c r="AE80"/>
      <c r="AF80"/>
      <c r="AG80"/>
    </row>
    <row r="81" spans="1:33" hidden="1" x14ac:dyDescent="0.25">
      <c r="A81" s="4" t="s">
        <v>151</v>
      </c>
      <c r="B81" s="10">
        <v>70.224999999999994</v>
      </c>
      <c r="C81" s="13"/>
      <c r="D81" s="10">
        <f>_xlfn.IFNA(VLOOKUP(Table1[[#This Row],[STATION (current)]],AllP20!B$2:F$93,5,FALSE),"")</f>
        <v>68.8</v>
      </c>
      <c r="E81" s="10"/>
      <c r="F81" s="10">
        <f>_xlfn.IFNA(VLOOKUP(Table1[[#This Row],[STATION (current)]],AllP20!B$2:I$93,8,FALSE),"")</f>
        <v>65.57544</v>
      </c>
      <c r="G81" s="10"/>
      <c r="H81" s="10">
        <f>_xlfn.IFNA(VLOOKUP(Table1[[#This Row],[STATION (current)]],AllP20!B$2:L$93,11,FALSE),"")</f>
        <v>64.338750000000005</v>
      </c>
      <c r="I81" s="10"/>
      <c r="J81" s="10">
        <f>_xlfn.IFNA(VLOOKUP(Table1[[#This Row],[STATION (current)]],AllP20!B$2:O$93,14,FALSE),"")</f>
        <v>64.813749999999999</v>
      </c>
      <c r="K81" s="10"/>
      <c r="L81" s="10">
        <f>_xlfn.IFNA(VLOOKUP(Table1[[#This Row],[STATION (current)]],AllP20!B$2:R$93,17,FALSE),"")</f>
        <v>65.209999999999994</v>
      </c>
      <c r="M81" s="10"/>
      <c r="N81" s="10">
        <f>_xlfn.IFNA(VLOOKUP(Table1[[#This Row],[STATION (current)]],AllP20!B$2:U$93,20,FALSE),"")</f>
        <v>64.543329999999997</v>
      </c>
      <c r="O81" s="10"/>
      <c r="P81" s="10"/>
      <c r="Q81" s="4"/>
      <c r="R81" s="10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/>
      <c r="AD81"/>
      <c r="AE81"/>
      <c r="AF81"/>
      <c r="AG81"/>
    </row>
    <row r="82" spans="1:33" hidden="1" x14ac:dyDescent="0.25">
      <c r="A82" s="4" t="s">
        <v>152</v>
      </c>
      <c r="B82" s="10">
        <v>121.65</v>
      </c>
      <c r="C82" s="13"/>
      <c r="D82" s="10">
        <f>_xlfn.IFNA(VLOOKUP(Table1[[#This Row],[STATION (current)]],AllP20!B$2:F$93,5,FALSE),"")</f>
        <v>121.60384999999999</v>
      </c>
      <c r="E82" s="10"/>
      <c r="F82" s="10">
        <f>_xlfn.IFNA(VLOOKUP(Table1[[#This Row],[STATION (current)]],AllP20!B$2:I$93,8,FALSE),"")</f>
        <v>121.33199999999999</v>
      </c>
      <c r="G82" s="10"/>
      <c r="H82" s="10">
        <f>_xlfn.IFNA(VLOOKUP(Table1[[#This Row],[STATION (current)]],AllP20!B$2:L$93,11,FALSE),"")</f>
        <v>120.96</v>
      </c>
      <c r="I82" s="10"/>
      <c r="J82" s="10">
        <f>_xlfn.IFNA(VLOOKUP(Table1[[#This Row],[STATION (current)]],AllP20!B$2:O$93,14,FALSE),"")</f>
        <v>121.196</v>
      </c>
      <c r="K82" s="10"/>
      <c r="L82" s="10">
        <f>_xlfn.IFNA(VLOOKUP(Table1[[#This Row],[STATION (current)]],AllP20!B$2:R$93,17,FALSE),"")</f>
        <v>121.4</v>
      </c>
      <c r="M82" s="10"/>
      <c r="N82" s="10">
        <f>_xlfn.IFNA(VLOOKUP(Table1[[#This Row],[STATION (current)]],AllP20!B$2:U$93,20,FALSE),"")</f>
        <v>121.4</v>
      </c>
      <c r="O82" s="10"/>
      <c r="P82" s="10"/>
      <c r="Q82" s="4"/>
      <c r="R82" s="10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/>
      <c r="AD82"/>
      <c r="AE82"/>
      <c r="AF82"/>
      <c r="AG82"/>
    </row>
    <row r="83" spans="1:33" hidden="1" x14ac:dyDescent="0.25">
      <c r="A83" s="4" t="s">
        <v>153</v>
      </c>
      <c r="B83" s="10">
        <v>87.48621</v>
      </c>
      <c r="C83" s="13"/>
      <c r="D83" s="10">
        <f>_xlfn.IFNA(VLOOKUP(Table1[[#This Row],[STATION (current)]],AllP20!B$2:F$93,5,FALSE),"")</f>
        <v>87.49624</v>
      </c>
      <c r="E83" s="10"/>
      <c r="F83" s="10">
        <f>_xlfn.IFNA(VLOOKUP(Table1[[#This Row],[STATION (current)]],AllP20!B$2:I$93,8,FALSE),"")</f>
        <v>87.474149999999995</v>
      </c>
      <c r="G83" s="10"/>
      <c r="H83" s="10">
        <f>_xlfn.IFNA(VLOOKUP(Table1[[#This Row],[STATION (current)]],AllP20!B$2:L$93,11,FALSE),"")</f>
        <v>87.568190000000001</v>
      </c>
      <c r="I83" s="10"/>
      <c r="J83" s="10">
        <f>_xlfn.IFNA(VLOOKUP(Table1[[#This Row],[STATION (current)]],AllP20!B$2:O$93,14,FALSE),"")</f>
        <v>87.650670000000005</v>
      </c>
      <c r="K83" s="10"/>
      <c r="L83" s="10">
        <f>_xlfn.IFNA(VLOOKUP(Table1[[#This Row],[STATION (current)]],AllP20!B$2:R$93,17,FALSE),"")</f>
        <v>87.719650000000001</v>
      </c>
      <c r="M83" s="10"/>
      <c r="N83" s="10">
        <f>_xlfn.IFNA(VLOOKUP(Table1[[#This Row],[STATION (current)]],AllP20!B$2:U$93,20,FALSE),"")</f>
        <v>87.774289999999993</v>
      </c>
      <c r="O83" s="10"/>
      <c r="P83" s="10"/>
      <c r="Q83" s="4"/>
      <c r="R83" s="10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/>
      <c r="AD83"/>
      <c r="AE83"/>
      <c r="AF83"/>
      <c r="AG83"/>
    </row>
    <row r="84" spans="1:33" x14ac:dyDescent="0.25">
      <c r="A84" s="4" t="s">
        <v>157</v>
      </c>
      <c r="B84" s="14">
        <f>_xlfn.IFNA(VLOOKUP(Table1[[#This Row],[STATION (current)]],AllP20!B$2:C$93,2,FALSE),"")</f>
        <v>97.7</v>
      </c>
      <c r="C84" s="15">
        <f>IFERROR(Table1[[#This Row],[2011_P20]]-Table1[[#This Row],[OldP80@NAVD]],"")</f>
        <v>-0.14999999999999147</v>
      </c>
      <c r="D84" s="10">
        <f>_xlfn.IFNA(VLOOKUP(Table1[[#This Row],[STATION (current)]],AllP20!B$2:F$93,5,FALSE),"")</f>
        <v>97.6</v>
      </c>
      <c r="E84" s="10">
        <f>IFERROR(Table1[[#This Row],[2012_P20]]-Table1[[#This Row],[OldP80@NAVD]],"")</f>
        <v>-0.25</v>
      </c>
      <c r="F84" s="14">
        <f>_xlfn.IFNA(VLOOKUP(Table1[[#This Row],[STATION (current)]],AllP20!B$2:I$93,8,FALSE),"")</f>
        <v>97.63</v>
      </c>
      <c r="G84" s="10">
        <f>IFERROR(Table1[[#This Row],[2013_P20]]-Table1[[#This Row],[OldP80@NAVD]],"")</f>
        <v>-0.21999999999999886</v>
      </c>
      <c r="H84" s="10">
        <f>_xlfn.IFNA(VLOOKUP(Table1[[#This Row],[STATION (current)]],AllP20!B$2:L$93,11,FALSE),"")</f>
        <v>97.712329999999994</v>
      </c>
      <c r="I84" s="10">
        <f>IFERROR(Table1[[#This Row],[2014_P20]]-Table1[[#This Row],[OldP80@NAVD]],"")</f>
        <v>-0.13766999999999996</v>
      </c>
      <c r="J84" s="14">
        <f>_xlfn.IFNA(VLOOKUP(Table1[[#This Row],[STATION (current)]],AllP20!B$2:O$93,14,FALSE),"")</f>
        <v>97.76</v>
      </c>
      <c r="K84" s="10">
        <f>IFERROR(Table1[[#This Row],[2015_P20]]-Table1[[#This Row],[OldP80@NAVD]],"")</f>
        <v>-8.99999999999892E-2</v>
      </c>
      <c r="L84" s="10">
        <f>_xlfn.IFNA(VLOOKUP(Table1[[#This Row],[STATION (current)]],AllP20!B$2:R$93,17,FALSE),"")</f>
        <v>97.82</v>
      </c>
      <c r="M84" s="10">
        <f>IFERROR(Table1[[#This Row],[2016_P20]]-Table1[[#This Row],[OldP80@NAVD]],"")</f>
        <v>-3.0000000000001137E-2</v>
      </c>
      <c r="N84" s="14">
        <f>_xlfn.IFNA(VLOOKUP(Table1[[#This Row],[STATION (current)]],AllP20!B$2:U$93,20,FALSE),"")</f>
        <v>97.82</v>
      </c>
      <c r="O84" s="10">
        <f>IFERROR(Table1[[#This Row],[2017_P20]]-Table1[[#This Row],[OldP80@NAVD]],"")</f>
        <v>-3.0000000000001137E-2</v>
      </c>
      <c r="P84" s="2">
        <v>-0.87</v>
      </c>
      <c r="Q84" s="4" t="s">
        <v>26</v>
      </c>
      <c r="R84" s="10">
        <v>98.72</v>
      </c>
      <c r="S84" s="13">
        <f>Table1[[#This Row],[P80NGVD]]+Table1[[#This Row],[shift]]</f>
        <v>97.85</v>
      </c>
      <c r="T84" s="13"/>
      <c r="U84" s="13"/>
      <c r="V84" s="13"/>
      <c r="W84" s="13"/>
      <c r="X84" s="13"/>
      <c r="Y84" s="13"/>
      <c r="Z84" s="13"/>
      <c r="AA84" s="13"/>
      <c r="AB84" s="13"/>
      <c r="AC84"/>
      <c r="AD84"/>
      <c r="AE84"/>
      <c r="AF84"/>
      <c r="AG84"/>
    </row>
    <row r="85" spans="1:33" hidden="1" x14ac:dyDescent="0.25">
      <c r="A85" s="4" t="s">
        <v>158</v>
      </c>
      <c r="B85" s="14">
        <f>_xlfn.IFNA(VLOOKUP(Table1[[#This Row],[STATION (current)]],AllP20!B$2:C$93,2,FALSE),"")</f>
        <v>97.65</v>
      </c>
      <c r="C85" s="13"/>
      <c r="D85" s="10">
        <f>_xlfn.IFNA(VLOOKUP(Table1[[#This Row],[STATION (current)]],AllP20!B$2:F$93,5,FALSE),"")</f>
        <v>97.55</v>
      </c>
      <c r="E85" s="10"/>
      <c r="F85" s="10">
        <f>_xlfn.IFNA(VLOOKUP(Table1[[#This Row],[STATION (current)]],AllP20!B$2:I$93,8,FALSE),"")</f>
        <v>97.581999999999994</v>
      </c>
      <c r="G85" s="10"/>
      <c r="H85" s="10">
        <f>_xlfn.IFNA(VLOOKUP(Table1[[#This Row],[STATION (current)]],AllP20!B$2:L$93,11,FALSE),"")</f>
        <v>97.67</v>
      </c>
      <c r="I85" s="10"/>
      <c r="J85" s="10">
        <f>_xlfn.IFNA(VLOOKUP(Table1[[#This Row],[STATION (current)]],AllP20!B$2:O$93,14,FALSE),"")</f>
        <v>97.74</v>
      </c>
      <c r="K85" s="10"/>
      <c r="L85" s="10">
        <f>_xlfn.IFNA(VLOOKUP(Table1[[#This Row],[STATION (current)]],AllP20!B$2:R$93,17,FALSE),"")</f>
        <v>97.787220000000005</v>
      </c>
      <c r="M85" s="10"/>
      <c r="N85" s="10">
        <f>_xlfn.IFNA(VLOOKUP(Table1[[#This Row],[STATION (current)]],AllP20!B$2:U$93,20,FALSE),"")</f>
        <v>97.784440000000004</v>
      </c>
      <c r="O85" s="10"/>
      <c r="P85" s="12">
        <v>-0.87</v>
      </c>
      <c r="Q85" s="4"/>
      <c r="R85" s="10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/>
      <c r="AD85"/>
      <c r="AE85"/>
      <c r="AF85"/>
      <c r="AG85"/>
    </row>
    <row r="86" spans="1:33" x14ac:dyDescent="0.25">
      <c r="A86" s="4" t="s">
        <v>159</v>
      </c>
      <c r="B86" s="14">
        <f>_xlfn.IFNA(VLOOKUP(Table1[[#This Row],[STATION (current)]],AllP20!B$2:C$93,2,FALSE),"")</f>
        <v>89.736159999999998</v>
      </c>
      <c r="C86" s="15">
        <f>IFERROR(Table1[[#This Row],[2011_P20]]-Table1[[#This Row],[OldP80@NAVD]],"")</f>
        <v>9.0192042128194316E-3</v>
      </c>
      <c r="D86" s="10">
        <f>_xlfn.IFNA(VLOOKUP(Table1[[#This Row],[STATION (current)]],AllP20!B$2:F$93,5,FALSE),"")</f>
        <v>89.114109999999997</v>
      </c>
      <c r="E86" s="10">
        <f>IFERROR(Table1[[#This Row],[2012_P20]]-Table1[[#This Row],[OldP80@NAVD]],"")</f>
        <v>-0.61303079578718211</v>
      </c>
      <c r="F86" s="14">
        <f>_xlfn.IFNA(VLOOKUP(Table1[[#This Row],[STATION (current)]],AllP20!B$2:I$93,8,FALSE),"")</f>
        <v>88.661709999999999</v>
      </c>
      <c r="G86" s="10">
        <f>IFERROR(Table1[[#This Row],[2013_P20]]-Table1[[#This Row],[OldP80@NAVD]],"")</f>
        <v>-1.0654307957871794</v>
      </c>
      <c r="H86" s="10">
        <f>_xlfn.IFNA(VLOOKUP(Table1[[#This Row],[STATION (current)]],AllP20!B$2:L$93,11,FALSE),"")</f>
        <v>88.47269</v>
      </c>
      <c r="I86" s="10">
        <f>IFERROR(Table1[[#This Row],[2014_P20]]-Table1[[#This Row],[OldP80@NAVD]],"")</f>
        <v>-1.2544507957871787</v>
      </c>
      <c r="J86" s="14">
        <f>_xlfn.IFNA(VLOOKUP(Table1[[#This Row],[STATION (current)]],AllP20!B$2:O$93,14,FALSE),"")</f>
        <v>88.597610000000003</v>
      </c>
      <c r="K86" s="10">
        <f>IFERROR(Table1[[#This Row],[2015_P20]]-Table1[[#This Row],[OldP80@NAVD]],"")</f>
        <v>-1.1295307957871756</v>
      </c>
      <c r="L86" s="10">
        <f>_xlfn.IFNA(VLOOKUP(Table1[[#This Row],[STATION (current)]],AllP20!B$2:R$93,17,FALSE),"")</f>
        <v>88.66</v>
      </c>
      <c r="M86" s="10">
        <f>IFERROR(Table1[[#This Row],[2016_P20]]-Table1[[#This Row],[OldP80@NAVD]],"")</f>
        <v>-1.0671407957871821</v>
      </c>
      <c r="N86" s="14">
        <f>_xlfn.IFNA(VLOOKUP(Table1[[#This Row],[STATION (current)]],AllP20!B$2:U$93,20,FALSE),"")</f>
        <v>88.750069999999994</v>
      </c>
      <c r="O86" s="10">
        <f>IFERROR(Table1[[#This Row],[2017_P20]]-Table1[[#This Row],[OldP80@NAVD]],"")</f>
        <v>-0.97707079578718492</v>
      </c>
      <c r="P86" s="2">
        <v>-0.86285920421282447</v>
      </c>
      <c r="Q86" s="4" t="s">
        <v>57</v>
      </c>
      <c r="R86" s="10">
        <v>90.59</v>
      </c>
      <c r="S86" s="13">
        <f>Table1[[#This Row],[P80NGVD]]+Table1[[#This Row],[shift]]</f>
        <v>89.727140795787179</v>
      </c>
      <c r="T86" s="13"/>
      <c r="U86" s="13"/>
      <c r="V86" s="13"/>
      <c r="W86" s="13"/>
      <c r="X86" s="13"/>
      <c r="Y86" s="13"/>
      <c r="Z86" s="13"/>
      <c r="AA86" s="13"/>
      <c r="AB86" s="13"/>
      <c r="AC86"/>
      <c r="AD86"/>
      <c r="AE86"/>
      <c r="AF86"/>
      <c r="AG86"/>
    </row>
    <row r="87" spans="1:33" x14ac:dyDescent="0.25">
      <c r="A87" s="4" t="s">
        <v>160</v>
      </c>
      <c r="B87" s="14">
        <f>_xlfn.IFNA(VLOOKUP(Table1[[#This Row],[STATION (current)]],AllP20!B$2:C$93,2,FALSE),"")</f>
        <v>68.19</v>
      </c>
      <c r="C87" s="15">
        <f>IFERROR(Table1[[#This Row],[2011_P20]]-Table1[[#This Row],[OldP80@NAVD]],"")</f>
        <v>2.251751407980862E-2</v>
      </c>
      <c r="D87" s="10">
        <f>_xlfn.IFNA(VLOOKUP(Table1[[#This Row],[STATION (current)]],AllP20!B$2:F$93,5,FALSE),"")</f>
        <v>68.150000000000006</v>
      </c>
      <c r="E87" s="10">
        <f>IFERROR(Table1[[#This Row],[2012_P20]]-Table1[[#This Row],[OldP80@NAVD]],"")</f>
        <v>-1.7482485920183422E-2</v>
      </c>
      <c r="F87" s="14">
        <f>_xlfn.IFNA(VLOOKUP(Table1[[#This Row],[STATION (current)]],AllP20!B$2:I$93,8,FALSE),"")</f>
        <v>68.17</v>
      </c>
      <c r="G87" s="10">
        <f>IFERROR(Table1[[#This Row],[2013_P20]]-Table1[[#This Row],[OldP80@NAVD]],"")</f>
        <v>2.5175140798125994E-3</v>
      </c>
      <c r="H87" s="10">
        <f>_xlfn.IFNA(VLOOKUP(Table1[[#This Row],[STATION (current)]],AllP20!B$2:L$93,11,FALSE),"")</f>
        <v>68.2</v>
      </c>
      <c r="I87" s="10">
        <f>IFERROR(Table1[[#This Row],[2014_P20]]-Table1[[#This Row],[OldP80@NAVD]],"")</f>
        <v>3.2517514079813736E-2</v>
      </c>
      <c r="J87" s="14">
        <f>_xlfn.IFNA(VLOOKUP(Table1[[#This Row],[STATION (current)]],AllP20!B$2:O$93,14,FALSE),"")</f>
        <v>68.22</v>
      </c>
      <c r="K87" s="10">
        <f>IFERROR(Table1[[#This Row],[2015_P20]]-Table1[[#This Row],[OldP80@NAVD]],"")</f>
        <v>5.2517514079809757E-2</v>
      </c>
      <c r="L87" s="10">
        <f>_xlfn.IFNA(VLOOKUP(Table1[[#This Row],[STATION (current)]],AllP20!B$2:R$93,17,FALSE),"")</f>
        <v>68.12</v>
      </c>
      <c r="M87" s="10">
        <f>IFERROR(Table1[[#This Row],[2016_P20]]-Table1[[#This Row],[OldP80@NAVD]],"")</f>
        <v>-4.7482485920184558E-2</v>
      </c>
      <c r="N87" s="14">
        <f>_xlfn.IFNA(VLOOKUP(Table1[[#This Row],[STATION (current)]],AllP20!B$2:U$93,20,FALSE),"")</f>
        <v>68.061670000000007</v>
      </c>
      <c r="O87" s="10">
        <f>IFERROR(Table1[[#This Row],[2017_P20]]-Table1[[#This Row],[OldP80@NAVD]],"")</f>
        <v>-0.10581248592018255</v>
      </c>
      <c r="P87" s="2">
        <v>-1.0925175140798091</v>
      </c>
      <c r="Q87" s="4" t="s">
        <v>1</v>
      </c>
      <c r="R87" s="10">
        <v>69.260000000000005</v>
      </c>
      <c r="S87" s="13">
        <f>Table1[[#This Row],[P80NGVD]]+Table1[[#This Row],[shift]]</f>
        <v>68.167482485920189</v>
      </c>
      <c r="T87" s="13"/>
      <c r="U87" s="13"/>
      <c r="V87" s="13"/>
      <c r="W87" s="13"/>
      <c r="X87" s="13"/>
      <c r="Y87" s="13"/>
      <c r="Z87" s="13"/>
      <c r="AA87" s="13"/>
      <c r="AB87" s="13"/>
      <c r="AC87"/>
      <c r="AD87"/>
      <c r="AE87"/>
      <c r="AF87"/>
      <c r="AG87"/>
    </row>
    <row r="88" spans="1:33" x14ac:dyDescent="0.25">
      <c r="A88" s="4" t="s">
        <v>161</v>
      </c>
      <c r="B88" s="14">
        <f>_xlfn.IFNA(VLOOKUP(Table1[[#This Row],[STATION (current)]],AllP20!B$2:C$93,2,FALSE),"")</f>
        <v>45.473100000000002</v>
      </c>
      <c r="C88" s="13"/>
      <c r="D88" s="10">
        <f>_xlfn.IFNA(VLOOKUP(Table1[[#This Row],[STATION (current)]],AllP20!B$2:F$93,5,FALSE),"")</f>
        <v>45.01</v>
      </c>
      <c r="E88" s="10"/>
      <c r="F88" s="14">
        <f>_xlfn.IFNA(VLOOKUP(Table1[[#This Row],[STATION (current)]],AllP20!B$2:I$93,8,FALSE),"")</f>
        <v>44.79</v>
      </c>
      <c r="G88" s="10"/>
      <c r="H88" s="10">
        <f>_xlfn.IFNA(VLOOKUP(Table1[[#This Row],[STATION (current)]],AllP20!B$2:L$93,11,FALSE),"")</f>
        <v>44.982860000000002</v>
      </c>
      <c r="I88" s="10"/>
      <c r="J88" s="14">
        <f>_xlfn.IFNA(VLOOKUP(Table1[[#This Row],[STATION (current)]],AllP20!B$2:O$93,14,FALSE),"")</f>
        <v>45.164439999999999</v>
      </c>
      <c r="K88" s="10"/>
      <c r="L88" s="10">
        <f>_xlfn.IFNA(VLOOKUP(Table1[[#This Row],[STATION (current)]],AllP20!B$2:R$93,17,FALSE),"")</f>
        <v>45.25</v>
      </c>
      <c r="M88" s="10"/>
      <c r="N88" s="14">
        <f>_xlfn.IFNA(VLOOKUP(Table1[[#This Row],[STATION (current)]],AllP20!B$2:U$93,20,FALSE),"")</f>
        <v>45.27402</v>
      </c>
      <c r="O88" s="10"/>
      <c r="P88" s="17">
        <v>-1.030181701083978</v>
      </c>
      <c r="Q88" s="4" t="s">
        <v>67</v>
      </c>
      <c r="R88" s="10">
        <v>61.41</v>
      </c>
      <c r="S88" s="13">
        <f>Table1[[#This Row],[P80NGVD]]+Table1[[#This Row],[shift]]</f>
        <v>60.379818298916021</v>
      </c>
      <c r="T88" s="13"/>
      <c r="U88" s="13"/>
      <c r="V88" s="13"/>
      <c r="W88" s="13"/>
      <c r="X88" s="13"/>
      <c r="Y88" s="13"/>
      <c r="Z88" s="13"/>
      <c r="AA88" s="13"/>
      <c r="AB88" s="13"/>
      <c r="AC88"/>
      <c r="AD88"/>
      <c r="AE88"/>
      <c r="AF88"/>
      <c r="AG88"/>
    </row>
    <row r="89" spans="1:33" x14ac:dyDescent="0.25">
      <c r="A89" s="4" t="s">
        <v>163</v>
      </c>
      <c r="B89" s="14">
        <f>_xlfn.IFNA(VLOOKUP(Table1[[#This Row],[STATION (current)]],AllP20!B$2:C$93,2,FALSE),"")</f>
        <v>63.14</v>
      </c>
      <c r="C89" s="15">
        <f>IFERROR(Table1[[#This Row],[2011_P20]]-Table1[[#This Row],[OldP80@NAVD]],"")</f>
        <v>0.11000000000000654</v>
      </c>
      <c r="D89" s="10">
        <f>_xlfn.IFNA(VLOOKUP(Table1[[#This Row],[STATION (current)]],AllP20!B$2:F$93,5,FALSE),"")</f>
        <v>63.06</v>
      </c>
      <c r="E89" s="10">
        <f>IFERROR(Table1[[#This Row],[2012_P20]]-Table1[[#This Row],[OldP80@NAVD]],"")</f>
        <v>3.0000000000008242E-2</v>
      </c>
      <c r="F89" s="14">
        <f>_xlfn.IFNA(VLOOKUP(Table1[[#This Row],[STATION (current)]],AllP20!B$2:I$93,8,FALSE),"")</f>
        <v>63.07</v>
      </c>
      <c r="G89" s="10">
        <f>IFERROR(Table1[[#This Row],[2013_P20]]-Table1[[#This Row],[OldP80@NAVD]],"")</f>
        <v>4.0000000000006253E-2</v>
      </c>
      <c r="H89" s="10">
        <f>_xlfn.IFNA(VLOOKUP(Table1[[#This Row],[STATION (current)]],AllP20!B$2:L$93,11,FALSE),"")</f>
        <v>63.2</v>
      </c>
      <c r="I89" s="10">
        <f>IFERROR(Table1[[#This Row],[2014_P20]]-Table1[[#This Row],[OldP80@NAVD]],"")</f>
        <v>0.17000000000000881</v>
      </c>
      <c r="J89" s="14">
        <f>_xlfn.IFNA(VLOOKUP(Table1[[#This Row],[STATION (current)]],AllP20!B$2:O$93,14,FALSE),"")</f>
        <v>63.38</v>
      </c>
      <c r="K89" s="10">
        <f>IFERROR(Table1[[#This Row],[2015_P20]]-Table1[[#This Row],[OldP80@NAVD]],"")</f>
        <v>0.35000000000000853</v>
      </c>
      <c r="L89" s="10">
        <f>_xlfn.IFNA(VLOOKUP(Table1[[#This Row],[STATION (current)]],AllP20!B$2:R$93,17,FALSE),"")</f>
        <v>63.524000000000001</v>
      </c>
      <c r="M89" s="10">
        <f>IFERROR(Table1[[#This Row],[2016_P20]]-Table1[[#This Row],[OldP80@NAVD]],"")</f>
        <v>0.49400000000000688</v>
      </c>
      <c r="N89" s="14">
        <f>_xlfn.IFNA(VLOOKUP(Table1[[#This Row],[STATION (current)]],AllP20!B$2:U$93,20,FALSE),"")</f>
        <v>63.54</v>
      </c>
      <c r="O89" s="10">
        <f>IFERROR(Table1[[#This Row],[2017_P20]]-Table1[[#This Row],[OldP80@NAVD]],"")</f>
        <v>0.51000000000000512</v>
      </c>
      <c r="P89" s="2">
        <v>-1.07</v>
      </c>
      <c r="Q89" s="4" t="s">
        <v>19</v>
      </c>
      <c r="R89" s="10">
        <v>64.099999999999994</v>
      </c>
      <c r="S89" s="13">
        <f>Table1[[#This Row],[P80NGVD]]+Table1[[#This Row],[shift]]</f>
        <v>63.029999999999994</v>
      </c>
      <c r="T89" s="13"/>
      <c r="U89" s="13"/>
      <c r="V89" s="13"/>
      <c r="W89" s="13"/>
      <c r="X89" s="13"/>
      <c r="Y89" s="13"/>
      <c r="Z89" s="13"/>
      <c r="AA89" s="13"/>
      <c r="AB89" s="13"/>
      <c r="AC89"/>
      <c r="AD89"/>
      <c r="AE89"/>
      <c r="AF89"/>
      <c r="AG89"/>
    </row>
    <row r="90" spans="1:33" hidden="1" x14ac:dyDescent="0.25">
      <c r="A90" s="16" t="s">
        <v>162</v>
      </c>
      <c r="B90" s="14">
        <f>_xlfn.IFNA(VLOOKUP(Table1[[#This Row],[STATION (current)]],AllP20!B$2:C$93,2,FALSE),"")</f>
        <v>64.569999999999993</v>
      </c>
      <c r="C90" s="13"/>
      <c r="D90" s="10">
        <f>_xlfn.IFNA(VLOOKUP(Table1[[#This Row],[STATION (current)]],AllP20!B$2:F$93,5,FALSE),"")</f>
        <v>64.569999999999993</v>
      </c>
      <c r="E90" s="10"/>
      <c r="F90" s="10">
        <f>_xlfn.IFNA(VLOOKUP(Table1[[#This Row],[STATION (current)]],AllP20!B$2:I$93,8,FALSE),"")</f>
        <v>64.56</v>
      </c>
      <c r="G90" s="10"/>
      <c r="H90" s="10">
        <f>_xlfn.IFNA(VLOOKUP(Table1[[#This Row],[STATION (current)]],AllP20!B$2:L$93,11,FALSE),"")</f>
        <v>64.569999999999993</v>
      </c>
      <c r="I90" s="10"/>
      <c r="J90" s="10">
        <f>_xlfn.IFNA(VLOOKUP(Table1[[#This Row],[STATION (current)]],AllP20!B$2:O$93,14,FALSE),"")</f>
        <v>64.569999999999993</v>
      </c>
      <c r="K90" s="10"/>
      <c r="L90" s="10">
        <f>_xlfn.IFNA(VLOOKUP(Table1[[#This Row],[STATION (current)]],AllP20!B$2:R$93,17,FALSE),"")</f>
        <v>64.58</v>
      </c>
      <c r="M90" s="10"/>
      <c r="N90" s="10">
        <f>_xlfn.IFNA(VLOOKUP(Table1[[#This Row],[STATION (current)]],AllP20!B$2:U$93,20,FALSE),"")</f>
        <v>64.59</v>
      </c>
      <c r="O90" s="10"/>
      <c r="P90" s="12">
        <v>-1.07</v>
      </c>
      <c r="Q90" s="4"/>
      <c r="R90" s="10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/>
      <c r="AD90"/>
      <c r="AE90"/>
      <c r="AF90"/>
      <c r="AG90"/>
    </row>
    <row r="91" spans="1:33" hidden="1" x14ac:dyDescent="0.25">
      <c r="A91" s="4" t="s">
        <v>164</v>
      </c>
      <c r="B91" s="14">
        <f>_xlfn.IFNA(VLOOKUP(Table1[[#This Row],[STATION (current)]],AllP20!B$2:C$93,2,FALSE),"")</f>
        <v>60.4</v>
      </c>
      <c r="C91" s="13"/>
      <c r="D91" s="10">
        <f>_xlfn.IFNA(VLOOKUP(Table1[[#This Row],[STATION (current)]],AllP20!B$2:F$93,5,FALSE),"")</f>
        <v>60.41</v>
      </c>
      <c r="E91" s="10"/>
      <c r="F91" s="10">
        <f>_xlfn.IFNA(VLOOKUP(Table1[[#This Row],[STATION (current)]],AllP20!B$2:I$93,8,FALSE),"")</f>
        <v>60.4</v>
      </c>
      <c r="G91" s="10"/>
      <c r="H91" s="10">
        <f>_xlfn.IFNA(VLOOKUP(Table1[[#This Row],[STATION (current)]],AllP20!B$2:L$93,11,FALSE),"")</f>
        <v>60.41</v>
      </c>
      <c r="I91" s="10"/>
      <c r="J91" s="10">
        <f>_xlfn.IFNA(VLOOKUP(Table1[[#This Row],[STATION (current)]],AllP20!B$2:O$93,14,FALSE),"")</f>
        <v>60.42</v>
      </c>
      <c r="K91" s="10"/>
      <c r="L91" s="10">
        <f>_xlfn.IFNA(VLOOKUP(Table1[[#This Row],[STATION (current)]],AllP20!B$2:R$93,17,FALSE),"")</f>
        <v>60.43</v>
      </c>
      <c r="M91" s="10"/>
      <c r="N91" s="10">
        <f>_xlfn.IFNA(VLOOKUP(Table1[[#This Row],[STATION (current)]],AllP20!B$2:U$93,20,FALSE),"")</f>
        <v>60.43</v>
      </c>
      <c r="O91" s="10"/>
      <c r="P91" s="12">
        <v>-1.08</v>
      </c>
      <c r="Q91" s="4"/>
      <c r="R91" s="10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/>
      <c r="AD91"/>
      <c r="AE91"/>
      <c r="AF91"/>
      <c r="AG91"/>
    </row>
    <row r="92" spans="1:33" hidden="1" x14ac:dyDescent="0.25">
      <c r="A92" s="4" t="s">
        <v>165</v>
      </c>
      <c r="B92" s="14">
        <f>_xlfn.IFNA(VLOOKUP(Table1[[#This Row],[STATION (current)]],AllP20!B$2:C$93,2,FALSE),"")</f>
        <v>58.44</v>
      </c>
      <c r="C92" s="13"/>
      <c r="D92" s="10">
        <f>_xlfn.IFNA(VLOOKUP(Table1[[#This Row],[STATION (current)]],AllP20!B$2:F$93,5,FALSE),"")</f>
        <v>58.392000000000003</v>
      </c>
      <c r="E92" s="10"/>
      <c r="F92" s="10">
        <f>_xlfn.IFNA(VLOOKUP(Table1[[#This Row],[STATION (current)]],AllP20!B$2:I$93,8,FALSE),"")</f>
        <v>58.411999999999999</v>
      </c>
      <c r="G92" s="10"/>
      <c r="H92" s="10">
        <f>_xlfn.IFNA(VLOOKUP(Table1[[#This Row],[STATION (current)]],AllP20!B$2:L$93,11,FALSE),"")</f>
        <v>58.54</v>
      </c>
      <c r="I92" s="10"/>
      <c r="J92" s="10">
        <f>_xlfn.IFNA(VLOOKUP(Table1[[#This Row],[STATION (current)]],AllP20!B$2:O$93,14,FALSE),"")</f>
        <v>58.73</v>
      </c>
      <c r="K92" s="10"/>
      <c r="L92" s="10">
        <f>_xlfn.IFNA(VLOOKUP(Table1[[#This Row],[STATION (current)]],AllP20!B$2:R$93,17,FALSE),"")</f>
        <v>58.88</v>
      </c>
      <c r="M92" s="10"/>
      <c r="N92" s="10">
        <f>_xlfn.IFNA(VLOOKUP(Table1[[#This Row],[STATION (current)]],AllP20!B$2:U$93,20,FALSE),"")</f>
        <v>58.89</v>
      </c>
      <c r="O92" s="10"/>
      <c r="P92" s="12">
        <v>-1.08</v>
      </c>
      <c r="Q92" s="4"/>
      <c r="R92" s="10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/>
      <c r="AD92"/>
      <c r="AE92"/>
      <c r="AF92"/>
      <c r="AG92"/>
    </row>
    <row r="93" spans="1:33" x14ac:dyDescent="0.25">
      <c r="A93" s="4" t="s">
        <v>169</v>
      </c>
      <c r="B93" s="14">
        <f>_xlfn.IFNA(VLOOKUP(Table1[[#This Row],[STATION (current)]],AllP20!B$2:C$93,2,FALSE),"")</f>
        <v>60.41</v>
      </c>
      <c r="C93" s="15">
        <f>IFERROR(Table1[[#This Row],[2011_P20]]-Table1[[#This Row],[OldP80@NAVD]],"")</f>
        <v>-0.16000000000000369</v>
      </c>
      <c r="D93" s="10">
        <f>_xlfn.IFNA(VLOOKUP(Table1[[#This Row],[STATION (current)]],AllP20!B$2:F$93,5,FALSE),"")</f>
        <v>60.29</v>
      </c>
      <c r="E93" s="10">
        <f>IFERROR(Table1[[#This Row],[2012_P20]]-Table1[[#This Row],[OldP80@NAVD]],"")</f>
        <v>-0.28000000000000114</v>
      </c>
      <c r="F93" s="14">
        <f>_xlfn.IFNA(VLOOKUP(Table1[[#This Row],[STATION (current)]],AllP20!B$2:I$93,8,FALSE),"")</f>
        <v>60.11</v>
      </c>
      <c r="G93" s="10">
        <f>IFERROR(Table1[[#This Row],[2013_P20]]-Table1[[#This Row],[OldP80@NAVD]],"")</f>
        <v>-0.46000000000000085</v>
      </c>
      <c r="H93" s="10">
        <f>_xlfn.IFNA(VLOOKUP(Table1[[#This Row],[STATION (current)]],AllP20!B$2:L$93,11,FALSE),"")</f>
        <v>60.3</v>
      </c>
      <c r="I93" s="10">
        <f>IFERROR(Table1[[#This Row],[2014_P20]]-Table1[[#This Row],[OldP80@NAVD]],"")</f>
        <v>-0.27000000000000313</v>
      </c>
      <c r="J93" s="14">
        <f>_xlfn.IFNA(VLOOKUP(Table1[[#This Row],[STATION (current)]],AllP20!B$2:O$93,14,FALSE),"")</f>
        <v>60.46</v>
      </c>
      <c r="K93" s="10">
        <f>IFERROR(Table1[[#This Row],[2015_P20]]-Table1[[#This Row],[OldP80@NAVD]],"")</f>
        <v>-0.10999999999999943</v>
      </c>
      <c r="L93" s="10">
        <f>_xlfn.IFNA(VLOOKUP(Table1[[#This Row],[STATION (current)]],AllP20!B$2:R$93,17,FALSE),"")</f>
        <v>60.58</v>
      </c>
      <c r="M93" s="10">
        <f>IFERROR(Table1[[#This Row],[2016_P20]]-Table1[[#This Row],[OldP80@NAVD]],"")</f>
        <v>9.9999999999980105E-3</v>
      </c>
      <c r="N93" s="14">
        <f>_xlfn.IFNA(VLOOKUP(Table1[[#This Row],[STATION (current)]],AllP20!B$2:U$93,20,FALSE),"")</f>
        <v>60.54</v>
      </c>
      <c r="O93" s="10">
        <f>IFERROR(Table1[[#This Row],[2017_P20]]-Table1[[#This Row],[OldP80@NAVD]],"")</f>
        <v>-3.0000000000001137E-2</v>
      </c>
      <c r="P93" s="2">
        <v>-1.04</v>
      </c>
      <c r="Q93" s="4" t="s">
        <v>13</v>
      </c>
      <c r="R93" s="10">
        <v>61.61</v>
      </c>
      <c r="S93" s="13">
        <f>Table1[[#This Row],[P80NGVD]]+Table1[[#This Row],[shift]]</f>
        <v>60.57</v>
      </c>
      <c r="T93" s="13"/>
      <c r="U93" s="13"/>
      <c r="V93" s="13"/>
      <c r="W93" s="13"/>
      <c r="X93" s="13"/>
      <c r="Y93" s="13"/>
      <c r="Z93" s="13"/>
      <c r="AA93" s="13"/>
      <c r="AB93" s="13"/>
      <c r="AC93"/>
      <c r="AD93"/>
      <c r="AE93"/>
      <c r="AF93"/>
      <c r="AG93"/>
    </row>
    <row r="94" spans="1:33" hidden="1" x14ac:dyDescent="0.25">
      <c r="A94" s="16" t="s">
        <v>168</v>
      </c>
      <c r="B94" s="14">
        <f>_xlfn.IFNA(VLOOKUP(Table1[[#This Row],[STATION (current)]],AllP20!B$2:C$93,2,FALSE),"")</f>
        <v>61.68</v>
      </c>
      <c r="C94" s="13"/>
      <c r="D94" s="10">
        <f>_xlfn.IFNA(VLOOKUP(Table1[[#This Row],[STATION (current)]],AllP20!B$2:F$93,5,FALSE),"")</f>
        <v>61.67</v>
      </c>
      <c r="E94" s="10"/>
      <c r="F94" s="10">
        <f>_xlfn.IFNA(VLOOKUP(Table1[[#This Row],[STATION (current)]],AllP20!B$2:I$93,8,FALSE),"")</f>
        <v>61.65</v>
      </c>
      <c r="G94" s="10"/>
      <c r="H94" s="10">
        <f>_xlfn.IFNA(VLOOKUP(Table1[[#This Row],[STATION (current)]],AllP20!B$2:L$93,11,FALSE),"")</f>
        <v>61.66</v>
      </c>
      <c r="I94" s="10"/>
      <c r="J94" s="10">
        <f>_xlfn.IFNA(VLOOKUP(Table1[[#This Row],[STATION (current)]],AllP20!B$2:O$93,14,FALSE),"")</f>
        <v>61.68</v>
      </c>
      <c r="K94" s="10"/>
      <c r="L94" s="10">
        <f>_xlfn.IFNA(VLOOKUP(Table1[[#This Row],[STATION (current)]],AllP20!B$2:R$93,17,FALSE),"")</f>
        <v>61.69</v>
      </c>
      <c r="M94" s="10"/>
      <c r="N94" s="10">
        <f>_xlfn.IFNA(VLOOKUP(Table1[[#This Row],[STATION (current)]],AllP20!B$2:U$93,20,FALSE),"")</f>
        <v>61.69</v>
      </c>
      <c r="O94" s="10"/>
      <c r="P94" s="12">
        <v>-1.04</v>
      </c>
      <c r="Q94" s="4"/>
      <c r="R94" s="10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/>
      <c r="AD94"/>
      <c r="AE94"/>
      <c r="AF94"/>
      <c r="AG94"/>
    </row>
    <row r="95" spans="1:33" hidden="1" x14ac:dyDescent="0.25">
      <c r="A95" s="4" t="s">
        <v>166</v>
      </c>
      <c r="B95" s="14">
        <f>_xlfn.IFNA(VLOOKUP(Table1[[#This Row],[STATION (current)]],AllP20!B$2:C$93,2,FALSE),"")</f>
        <v>63.2</v>
      </c>
      <c r="C95" s="13"/>
      <c r="D95" s="10">
        <f>_xlfn.IFNA(VLOOKUP(Table1[[#This Row],[STATION (current)]],AllP20!B$2:F$93,5,FALSE),"")</f>
        <v>63.19</v>
      </c>
      <c r="E95" s="10"/>
      <c r="F95" s="10">
        <f>_xlfn.IFNA(VLOOKUP(Table1[[#This Row],[STATION (current)]],AllP20!B$2:I$93,8,FALSE),"")</f>
        <v>63.19</v>
      </c>
      <c r="G95" s="10"/>
      <c r="H95" s="10">
        <f>_xlfn.IFNA(VLOOKUP(Table1[[#This Row],[STATION (current)]],AllP20!B$2:L$93,11,FALSE),"")</f>
        <v>63.2</v>
      </c>
      <c r="I95" s="10"/>
      <c r="J95" s="10">
        <f>_xlfn.IFNA(VLOOKUP(Table1[[#This Row],[STATION (current)]],AllP20!B$2:O$93,14,FALSE),"")</f>
        <v>63.21</v>
      </c>
      <c r="K95" s="10"/>
      <c r="L95" s="10">
        <f>_xlfn.IFNA(VLOOKUP(Table1[[#This Row],[STATION (current)]],AllP20!B$2:R$93,17,FALSE),"")</f>
        <v>63.22</v>
      </c>
      <c r="M95" s="10"/>
      <c r="N95" s="10">
        <f>_xlfn.IFNA(VLOOKUP(Table1[[#This Row],[STATION (current)]],AllP20!B$2:U$93,20,FALSE),"")</f>
        <v>63.21</v>
      </c>
      <c r="O95" s="10"/>
      <c r="P95" s="12">
        <v>-1.0900000000000001</v>
      </c>
      <c r="Q95" s="4"/>
      <c r="R95" s="10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/>
      <c r="AD95"/>
      <c r="AE95"/>
      <c r="AF95"/>
      <c r="AG95"/>
    </row>
    <row r="96" spans="1:33" hidden="1" x14ac:dyDescent="0.25">
      <c r="A96" s="4" t="s">
        <v>167</v>
      </c>
      <c r="B96" s="14">
        <f>_xlfn.IFNA(VLOOKUP(Table1[[#This Row],[STATION (current)]],AllP20!B$2:C$93,2,FALSE),"")</f>
        <v>60.54</v>
      </c>
      <c r="C96" s="13"/>
      <c r="D96" s="10">
        <f>_xlfn.IFNA(VLOOKUP(Table1[[#This Row],[STATION (current)]],AllP20!B$2:F$93,5,FALSE),"")</f>
        <v>60.48</v>
      </c>
      <c r="E96" s="10"/>
      <c r="F96" s="10">
        <f>_xlfn.IFNA(VLOOKUP(Table1[[#This Row],[STATION (current)]],AllP20!B$2:I$93,8,FALSE),"")</f>
        <v>60.54</v>
      </c>
      <c r="G96" s="10"/>
      <c r="H96" s="10">
        <f>_xlfn.IFNA(VLOOKUP(Table1[[#This Row],[STATION (current)]],AllP20!B$2:L$93,11,FALSE),"")</f>
        <v>60.69</v>
      </c>
      <c r="I96" s="10"/>
      <c r="J96" s="10">
        <f>_xlfn.IFNA(VLOOKUP(Table1[[#This Row],[STATION (current)]],AllP20!B$2:O$93,14,FALSE),"")</f>
        <v>60.862000000000002</v>
      </c>
      <c r="K96" s="10"/>
      <c r="L96" s="10">
        <f>_xlfn.IFNA(VLOOKUP(Table1[[#This Row],[STATION (current)]],AllP20!B$2:R$93,17,FALSE),"")</f>
        <v>61.014000000000003</v>
      </c>
      <c r="M96" s="10"/>
      <c r="N96" s="10">
        <f>_xlfn.IFNA(VLOOKUP(Table1[[#This Row],[STATION (current)]],AllP20!B$2:U$93,20,FALSE),"")</f>
        <v>61.03</v>
      </c>
      <c r="O96" s="10"/>
      <c r="P96" s="12">
        <v>-1.0900000000000001</v>
      </c>
      <c r="Q96" s="4"/>
      <c r="R96" s="10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/>
      <c r="AD96"/>
      <c r="AE96"/>
      <c r="AF96"/>
      <c r="AG96"/>
    </row>
    <row r="97" spans="1:33" ht="15.75" thickBot="1" x14ac:dyDescent="0.3">
      <c r="A97" s="8" t="s">
        <v>170</v>
      </c>
      <c r="B97" s="14">
        <f>_xlfn.IFNA(VLOOKUP(Table1[[#This Row],[STATION (current)]],AllP20!B$2:C$93,2,FALSE),"")</f>
        <v>63.48</v>
      </c>
      <c r="C97" s="15">
        <f>IFERROR(Table1[[#This Row],[2011_P20]]-Table1[[#This Row],[OldP80@NAVD]],"")</f>
        <v>-1.0499999999999901</v>
      </c>
      <c r="D97" s="10">
        <f>_xlfn.IFNA(VLOOKUP(Table1[[#This Row],[STATION (current)]],AllP20!B$2:F$93,5,FALSE),"")</f>
        <v>63.41</v>
      </c>
      <c r="E97" s="10">
        <f>IFERROR(Table1[[#This Row],[2012_P20]]-Table1[[#This Row],[OldP80@NAVD]],"")</f>
        <v>-1.1199999999999903</v>
      </c>
      <c r="F97" s="14">
        <f>_xlfn.IFNA(VLOOKUP(Table1[[#This Row],[STATION (current)]],AllP20!B$2:I$93,8,FALSE),"")</f>
        <v>63.24</v>
      </c>
      <c r="G97" s="10">
        <f>IFERROR(Table1[[#This Row],[2013_P20]]-Table1[[#This Row],[OldP80@NAVD]],"")</f>
        <v>-1.2899999999999849</v>
      </c>
      <c r="H97" s="10">
        <f>_xlfn.IFNA(VLOOKUP(Table1[[#This Row],[STATION (current)]],AllP20!B$2:L$93,11,FALSE),"")</f>
        <v>63.4</v>
      </c>
      <c r="I97" s="10">
        <f>IFERROR(Table1[[#This Row],[2014_P20]]-Table1[[#This Row],[OldP80@NAVD]],"")</f>
        <v>-1.1299999999999883</v>
      </c>
      <c r="J97" s="14">
        <f>_xlfn.IFNA(VLOOKUP(Table1[[#This Row],[STATION (current)]],AllP20!B$2:O$93,14,FALSE),"")</f>
        <v>63.51</v>
      </c>
      <c r="K97" s="10">
        <f>IFERROR(Table1[[#This Row],[2015_P20]]-Table1[[#This Row],[OldP80@NAVD]],"")</f>
        <v>-1.0199999999999889</v>
      </c>
      <c r="L97" s="10">
        <f>_xlfn.IFNA(VLOOKUP(Table1[[#This Row],[STATION (current)]],AllP20!B$2:R$93,17,FALSE),"")</f>
        <v>63.624000000000002</v>
      </c>
      <c r="M97" s="10">
        <f>IFERROR(Table1[[#This Row],[2016_P20]]-Table1[[#This Row],[OldP80@NAVD]],"")</f>
        <v>-0.9059999999999846</v>
      </c>
      <c r="N97" s="14">
        <f>_xlfn.IFNA(VLOOKUP(Table1[[#This Row],[STATION (current)]],AllP20!B$2:U$93,20,FALSE),"")</f>
        <v>63.62</v>
      </c>
      <c r="O97" s="10">
        <f>IFERROR(Table1[[#This Row],[2017_P20]]-Table1[[#This Row],[OldP80@NAVD]],"")</f>
        <v>-0.90999999999998948</v>
      </c>
      <c r="P97" s="2">
        <v>-1.04</v>
      </c>
      <c r="Q97" s="8" t="s">
        <v>11</v>
      </c>
      <c r="R97" s="11">
        <v>65.569999999999993</v>
      </c>
      <c r="S97" s="13">
        <f>Table1[[#This Row],[P80NGVD]]+Table1[[#This Row],[shift]]</f>
        <v>64.529999999999987</v>
      </c>
      <c r="T97" s="13"/>
      <c r="U97" s="13"/>
      <c r="V97" s="13"/>
      <c r="W97" s="13"/>
      <c r="X97" s="13"/>
      <c r="Y97" s="13"/>
      <c r="Z97" s="13"/>
      <c r="AA97" s="13"/>
      <c r="AB97" s="13"/>
      <c r="AC97"/>
      <c r="AD97"/>
      <c r="AE97"/>
      <c r="AF97"/>
      <c r="AG97"/>
    </row>
    <row r="98" spans="1:33" ht="15.75" thickTop="1" x14ac:dyDescent="0.25"/>
    <row r="99" spans="1:33" x14ac:dyDescent="0.25">
      <c r="A99" s="16"/>
    </row>
    <row r="100" spans="1:33" x14ac:dyDescent="0.25">
      <c r="A100" s="16"/>
    </row>
  </sheetData>
  <sortState ref="AD2:AM35">
    <sortCondition ref="AD2:AD35"/>
  </sortState>
  <conditionalFormatting sqref="O1:O1048576 M1:M1048576 K1:K1048576 I1:I1048576 G1:G1048576 E1:E1048576 C1:C1048576">
    <cfRule type="colorScale" priority="1">
      <colorScale>
        <cfvo type="min"/>
        <cfvo type="num" val="0"/>
        <cfvo type="max"/>
        <color rgb="FFF8696B"/>
        <color theme="7" tint="0.79998168889431442"/>
        <color rgb="FF63BE7B"/>
      </colorScale>
    </cfRule>
  </conditionalFormatting>
  <hyperlinks>
    <hyperlink ref="S1" r:id="rId1" xr:uid="{61FEE434-1931-4812-96C2-55AF0F226583}"/>
  </hyperlink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AC28-F47C-4ADF-9ECC-BC84015B11DE}">
  <dimension ref="A1:W94"/>
  <sheetViews>
    <sheetView topLeftCell="A57" workbookViewId="0">
      <selection activeCell="U1" sqref="U1"/>
    </sheetView>
  </sheetViews>
  <sheetFormatPr defaultRowHeight="15" x14ac:dyDescent="0.25"/>
  <cols>
    <col min="2" max="2" width="39.7109375" customWidth="1"/>
    <col min="4" max="5" width="0" hidden="1" customWidth="1"/>
    <col min="7" max="8" width="0" hidden="1" customWidth="1"/>
    <col min="10" max="11" width="0" hidden="1" customWidth="1"/>
    <col min="13" max="14" width="0" hidden="1" customWidth="1"/>
    <col min="16" max="17" width="0" hidden="1" customWidth="1"/>
    <col min="19" max="20" width="0" hidden="1" customWidth="1"/>
    <col min="22" max="23" width="0" hidden="1" customWidth="1"/>
  </cols>
  <sheetData>
    <row r="1" spans="1:23" x14ac:dyDescent="0.25">
      <c r="B1" t="s">
        <v>75</v>
      </c>
      <c r="C1" t="s">
        <v>171</v>
      </c>
      <c r="D1" t="s">
        <v>172</v>
      </c>
      <c r="E1" t="s">
        <v>173</v>
      </c>
      <c r="F1" t="s">
        <v>215</v>
      </c>
      <c r="I1" s="9" t="s">
        <v>216</v>
      </c>
      <c r="L1" s="9" t="s">
        <v>217</v>
      </c>
      <c r="O1" s="9" t="s">
        <v>218</v>
      </c>
      <c r="R1" s="9" t="s">
        <v>219</v>
      </c>
      <c r="U1" s="9" t="s">
        <v>220</v>
      </c>
    </row>
    <row r="2" spans="1:23" x14ac:dyDescent="0.25">
      <c r="A2">
        <v>1</v>
      </c>
      <c r="B2" t="s">
        <v>82</v>
      </c>
      <c r="C2">
        <v>94.91</v>
      </c>
      <c r="D2">
        <v>96.407139999999998</v>
      </c>
      <c r="E2">
        <v>97.059380000000004</v>
      </c>
      <c r="F2">
        <v>94.91</v>
      </c>
      <c r="G2">
        <v>96.430930000000004</v>
      </c>
      <c r="H2">
        <v>97.093860000000006</v>
      </c>
      <c r="I2">
        <v>95.127740000000003</v>
      </c>
      <c r="J2">
        <v>96.481809999999996</v>
      </c>
      <c r="K2">
        <v>97.105059999999995</v>
      </c>
      <c r="L2">
        <v>95.398099999999999</v>
      </c>
      <c r="M2">
        <v>96.552220000000005</v>
      </c>
      <c r="N2">
        <v>97.07</v>
      </c>
      <c r="O2">
        <v>95.559600000000003</v>
      </c>
      <c r="P2">
        <v>96.657619999999994</v>
      </c>
      <c r="Q2">
        <v>97.140739999999994</v>
      </c>
      <c r="R2">
        <v>95.605599999999995</v>
      </c>
      <c r="S2">
        <v>96.730990000000006</v>
      </c>
      <c r="T2">
        <v>97.163039999999995</v>
      </c>
      <c r="U2">
        <v>95.586359999999999</v>
      </c>
      <c r="V2">
        <v>96.71857</v>
      </c>
      <c r="W2">
        <v>97.162000000000006</v>
      </c>
    </row>
    <row r="3" spans="1:23" x14ac:dyDescent="0.25">
      <c r="A3">
        <v>2</v>
      </c>
      <c r="B3" t="s">
        <v>83</v>
      </c>
      <c r="C3">
        <v>95.045000000000002</v>
      </c>
      <c r="D3">
        <v>96.093450000000004</v>
      </c>
      <c r="E3">
        <v>96.805260000000004</v>
      </c>
      <c r="F3">
        <v>95.068449999999999</v>
      </c>
      <c r="G3">
        <v>96.131379999999993</v>
      </c>
      <c r="H3">
        <v>96.834180000000003</v>
      </c>
      <c r="I3">
        <v>95.186350000000004</v>
      </c>
      <c r="J3">
        <v>96.172709999999995</v>
      </c>
      <c r="K3">
        <v>96.885400000000004</v>
      </c>
      <c r="L3">
        <v>95.329610000000002</v>
      </c>
      <c r="M3">
        <v>96.283640000000005</v>
      </c>
      <c r="N3">
        <v>96.854159999999993</v>
      </c>
      <c r="O3">
        <v>95.427890000000005</v>
      </c>
      <c r="P3">
        <v>96.418769999999995</v>
      </c>
      <c r="Q3">
        <v>96.967169999999996</v>
      </c>
      <c r="R3">
        <v>95.55968</v>
      </c>
      <c r="S3">
        <v>96.491110000000006</v>
      </c>
      <c r="T3">
        <v>97.039109999999994</v>
      </c>
      <c r="U3">
        <v>95.505219999999994</v>
      </c>
      <c r="V3">
        <v>96.47</v>
      </c>
      <c r="W3">
        <v>97.048220000000001</v>
      </c>
    </row>
    <row r="4" spans="1:23" x14ac:dyDescent="0.25">
      <c r="A4">
        <v>3</v>
      </c>
      <c r="B4" t="s">
        <v>84</v>
      </c>
      <c r="C4">
        <v>94.93</v>
      </c>
      <c r="D4">
        <v>96.42</v>
      </c>
      <c r="E4">
        <v>97.08</v>
      </c>
      <c r="F4">
        <v>95.04</v>
      </c>
      <c r="G4">
        <v>96.48</v>
      </c>
      <c r="H4">
        <v>97.13</v>
      </c>
      <c r="I4">
        <v>95.21</v>
      </c>
      <c r="J4">
        <v>96.51</v>
      </c>
      <c r="K4">
        <v>97.13</v>
      </c>
      <c r="L4">
        <v>95.32</v>
      </c>
      <c r="M4">
        <v>96.56</v>
      </c>
      <c r="N4">
        <v>97.1</v>
      </c>
      <c r="O4">
        <v>95.46</v>
      </c>
      <c r="P4">
        <v>96.65</v>
      </c>
      <c r="Q4">
        <v>97.16</v>
      </c>
      <c r="R4">
        <v>95.59</v>
      </c>
      <c r="S4">
        <v>96.72</v>
      </c>
      <c r="T4">
        <v>97.21</v>
      </c>
      <c r="U4">
        <v>95.57</v>
      </c>
      <c r="V4">
        <v>96.71</v>
      </c>
      <c r="W4">
        <v>97.21</v>
      </c>
    </row>
    <row r="5" spans="1:23" x14ac:dyDescent="0.25">
      <c r="A5">
        <v>4</v>
      </c>
      <c r="B5" t="s">
        <v>85</v>
      </c>
      <c r="C5">
        <v>89.299390000000002</v>
      </c>
      <c r="D5">
        <v>90.93</v>
      </c>
      <c r="E5">
        <v>93.25</v>
      </c>
      <c r="F5">
        <v>89.415199999999999</v>
      </c>
      <c r="G5">
        <v>91.954840000000004</v>
      </c>
      <c r="H5">
        <v>93.49785</v>
      </c>
      <c r="I5">
        <v>89.573629999999994</v>
      </c>
      <c r="J5">
        <v>92.251739999999998</v>
      </c>
      <c r="K5">
        <v>93.567390000000003</v>
      </c>
      <c r="L5">
        <v>89.702060000000003</v>
      </c>
      <c r="M5">
        <v>92.484999999999999</v>
      </c>
      <c r="N5">
        <v>93.62</v>
      </c>
      <c r="O5">
        <v>89.883229999999998</v>
      </c>
      <c r="P5">
        <v>92.703069999999997</v>
      </c>
      <c r="Q5">
        <v>93.933980000000005</v>
      </c>
      <c r="R5">
        <v>90.124120000000005</v>
      </c>
      <c r="S5">
        <v>93.104579999999999</v>
      </c>
      <c r="T5">
        <v>94.148340000000005</v>
      </c>
      <c r="U5">
        <v>90.154660000000007</v>
      </c>
      <c r="V5">
        <v>93.143810000000002</v>
      </c>
      <c r="W5">
        <v>94.165729999999996</v>
      </c>
    </row>
    <row r="6" spans="1:23" x14ac:dyDescent="0.25">
      <c r="A6">
        <v>5</v>
      </c>
      <c r="B6" t="s">
        <v>86</v>
      </c>
      <c r="C6">
        <v>88.511349999999993</v>
      </c>
      <c r="D6">
        <v>89.254559999999998</v>
      </c>
      <c r="E6">
        <v>90.418679999999995</v>
      </c>
      <c r="F6">
        <v>88.45</v>
      </c>
      <c r="G6">
        <v>89.219409999999996</v>
      </c>
      <c r="H6">
        <v>90.524749999999997</v>
      </c>
      <c r="I6">
        <v>88.486909999999995</v>
      </c>
      <c r="J6">
        <v>89.4</v>
      </c>
      <c r="K6">
        <v>91.020650000000003</v>
      </c>
      <c r="L6">
        <v>88.548150000000007</v>
      </c>
      <c r="M6">
        <v>89.684669999999997</v>
      </c>
      <c r="N6">
        <v>91.416179999999997</v>
      </c>
      <c r="O6">
        <v>88.614289999999997</v>
      </c>
      <c r="P6">
        <v>89.987139999999997</v>
      </c>
      <c r="Q6">
        <v>91.943650000000005</v>
      </c>
      <c r="R6">
        <v>88.702619999999996</v>
      </c>
      <c r="S6">
        <v>90.284599999999998</v>
      </c>
      <c r="T6">
        <v>92.462810000000005</v>
      </c>
      <c r="U6">
        <v>88.778940000000006</v>
      </c>
      <c r="V6">
        <v>90.465879999999999</v>
      </c>
      <c r="W6">
        <v>92.640360000000001</v>
      </c>
    </row>
    <row r="7" spans="1:23" x14ac:dyDescent="0.25">
      <c r="A7">
        <v>6</v>
      </c>
      <c r="B7" t="s">
        <v>87</v>
      </c>
      <c r="C7">
        <v>112.94710000000001</v>
      </c>
      <c r="D7">
        <v>115.31375</v>
      </c>
      <c r="E7">
        <v>116.23</v>
      </c>
      <c r="F7">
        <v>113.0759</v>
      </c>
      <c r="G7">
        <v>115.44204999999999</v>
      </c>
      <c r="H7">
        <v>116.23</v>
      </c>
      <c r="I7">
        <v>113.34028000000001</v>
      </c>
      <c r="J7">
        <v>115.55</v>
      </c>
      <c r="K7">
        <v>116.18</v>
      </c>
      <c r="L7">
        <v>113.62773</v>
      </c>
      <c r="M7">
        <v>115.72154</v>
      </c>
      <c r="N7">
        <v>116.265</v>
      </c>
      <c r="O7">
        <v>114.28523</v>
      </c>
      <c r="P7">
        <v>115.8429</v>
      </c>
      <c r="Q7">
        <v>116.40912</v>
      </c>
      <c r="R7">
        <v>114.81497</v>
      </c>
      <c r="S7">
        <v>115.95</v>
      </c>
      <c r="T7">
        <v>116.45055000000001</v>
      </c>
      <c r="U7">
        <v>114.88827000000001</v>
      </c>
      <c r="V7">
        <v>115.96</v>
      </c>
      <c r="W7">
        <v>116.46738999999999</v>
      </c>
    </row>
    <row r="8" spans="1:23" x14ac:dyDescent="0.25">
      <c r="A8">
        <v>7</v>
      </c>
      <c r="B8" t="s">
        <v>88</v>
      </c>
      <c r="C8">
        <v>63.757669999999997</v>
      </c>
      <c r="D8">
        <v>65.602999999999994</v>
      </c>
      <c r="E8">
        <v>67.903000000000006</v>
      </c>
      <c r="F8">
        <v>63.757669999999997</v>
      </c>
      <c r="G8">
        <v>65.602999999999994</v>
      </c>
      <c r="H8">
        <v>67.903000000000006</v>
      </c>
      <c r="I8">
        <v>63.757669999999997</v>
      </c>
      <c r="J8">
        <v>65.602999999999994</v>
      </c>
      <c r="K8">
        <v>67.903000000000006</v>
      </c>
      <c r="L8">
        <v>63.757669999999997</v>
      </c>
      <c r="M8">
        <v>65.602999999999994</v>
      </c>
      <c r="N8">
        <v>67.903000000000006</v>
      </c>
      <c r="O8">
        <v>63.757669999999997</v>
      </c>
      <c r="P8">
        <v>65.602999999999994</v>
      </c>
      <c r="Q8">
        <v>67.903000000000006</v>
      </c>
      <c r="R8">
        <v>63.757669999999997</v>
      </c>
      <c r="S8">
        <v>65.602999999999994</v>
      </c>
      <c r="T8">
        <v>67.903000000000006</v>
      </c>
      <c r="U8">
        <v>63.757669999999997</v>
      </c>
      <c r="V8">
        <v>65.602999999999994</v>
      </c>
      <c r="W8">
        <v>67.903000000000006</v>
      </c>
    </row>
    <row r="9" spans="1:23" x14ac:dyDescent="0.25">
      <c r="A9">
        <v>8</v>
      </c>
      <c r="B9" t="s">
        <v>89</v>
      </c>
      <c r="C9">
        <v>69.3</v>
      </c>
      <c r="D9">
        <v>69.800470000000004</v>
      </c>
      <c r="E9">
        <v>70.360569999999996</v>
      </c>
      <c r="F9">
        <v>69.3</v>
      </c>
      <c r="G9">
        <v>69.895759999999996</v>
      </c>
      <c r="H9">
        <v>70.402029999999996</v>
      </c>
      <c r="I9">
        <v>69.385909999999996</v>
      </c>
      <c r="J9">
        <v>69.897679999999994</v>
      </c>
      <c r="K9">
        <v>70.37</v>
      </c>
      <c r="L9">
        <v>69.371809999999996</v>
      </c>
      <c r="M9">
        <v>69.89143</v>
      </c>
      <c r="N9">
        <v>70.328829999999996</v>
      </c>
      <c r="O9">
        <v>69.375630000000001</v>
      </c>
      <c r="P9">
        <v>69.890839999999997</v>
      </c>
      <c r="Q9">
        <v>70.302030000000002</v>
      </c>
      <c r="R9">
        <v>69.315560000000005</v>
      </c>
      <c r="S9">
        <v>69.811890000000005</v>
      </c>
      <c r="T9">
        <v>70.272859999999994</v>
      </c>
      <c r="U9">
        <v>69.34</v>
      </c>
      <c r="V9">
        <v>69.769490000000005</v>
      </c>
      <c r="W9">
        <v>70.250060000000005</v>
      </c>
    </row>
    <row r="10" spans="1:23" x14ac:dyDescent="0.25">
      <c r="A10">
        <v>9</v>
      </c>
      <c r="B10" t="s">
        <v>90</v>
      </c>
      <c r="C10">
        <v>64.08</v>
      </c>
      <c r="D10">
        <v>64.563609999999997</v>
      </c>
      <c r="E10">
        <v>64.644090000000006</v>
      </c>
      <c r="F10">
        <v>64.08</v>
      </c>
      <c r="G10">
        <v>64.568569999999994</v>
      </c>
      <c r="H10">
        <v>64.671520000000001</v>
      </c>
      <c r="I10">
        <v>64.08</v>
      </c>
      <c r="J10">
        <v>64.573539999999994</v>
      </c>
      <c r="K10">
        <v>64.710620000000006</v>
      </c>
      <c r="L10">
        <v>64.08</v>
      </c>
      <c r="M10">
        <v>64.577669999999998</v>
      </c>
      <c r="N10">
        <v>64.773079999999993</v>
      </c>
      <c r="O10">
        <v>64.08</v>
      </c>
      <c r="P10">
        <v>64.589230000000001</v>
      </c>
      <c r="Q10">
        <v>64.973140000000001</v>
      </c>
      <c r="R10">
        <v>64.08</v>
      </c>
      <c r="S10">
        <v>64.580129999999997</v>
      </c>
      <c r="T10">
        <v>64.948679999999996</v>
      </c>
      <c r="U10">
        <v>64.08</v>
      </c>
      <c r="V10">
        <v>64.574290000000005</v>
      </c>
      <c r="W10">
        <v>64.921250000000001</v>
      </c>
    </row>
    <row r="11" spans="1:23" x14ac:dyDescent="0.25">
      <c r="A11">
        <v>10</v>
      </c>
      <c r="B11" t="s">
        <v>91</v>
      </c>
      <c r="C11">
        <v>67.162570000000002</v>
      </c>
      <c r="D11">
        <v>68.655000000000001</v>
      </c>
      <c r="E11">
        <v>69.49248</v>
      </c>
      <c r="F11">
        <v>66.3386</v>
      </c>
      <c r="G11">
        <v>68.655000000000001</v>
      </c>
      <c r="H11">
        <v>70.043379999999999</v>
      </c>
      <c r="I11">
        <v>66.789000000000001</v>
      </c>
      <c r="J11">
        <v>69.03143</v>
      </c>
      <c r="K11">
        <v>70.307289999999995</v>
      </c>
      <c r="L11">
        <v>67.504000000000005</v>
      </c>
      <c r="M11">
        <v>69.282539999999997</v>
      </c>
      <c r="N11">
        <v>70.512169999999998</v>
      </c>
      <c r="O11">
        <v>68.124570000000006</v>
      </c>
      <c r="P11">
        <v>69.516869999999997</v>
      </c>
      <c r="Q11">
        <v>70.5184</v>
      </c>
      <c r="R11">
        <v>68.229330000000004</v>
      </c>
      <c r="S11">
        <v>69.375</v>
      </c>
      <c r="T11">
        <v>70.475999999999999</v>
      </c>
      <c r="U11">
        <v>67.21857</v>
      </c>
      <c r="V11">
        <v>69.237139999999997</v>
      </c>
      <c r="W11">
        <v>70.443330000000003</v>
      </c>
    </row>
    <row r="12" spans="1:23" x14ac:dyDescent="0.25">
      <c r="A12">
        <v>11</v>
      </c>
      <c r="B12" t="s">
        <v>92</v>
      </c>
      <c r="C12">
        <v>61.72</v>
      </c>
      <c r="D12">
        <v>62.11833</v>
      </c>
      <c r="E12">
        <v>62.999049999999997</v>
      </c>
      <c r="F12">
        <v>61.61</v>
      </c>
      <c r="G12">
        <v>62.13</v>
      </c>
      <c r="H12">
        <v>63.382669999999997</v>
      </c>
      <c r="I12">
        <v>61.61</v>
      </c>
      <c r="J12">
        <v>62.400559999999999</v>
      </c>
      <c r="K12">
        <v>63.51</v>
      </c>
      <c r="L12">
        <v>61.61</v>
      </c>
      <c r="M12">
        <v>62.49832</v>
      </c>
      <c r="N12">
        <v>63.548630000000003</v>
      </c>
      <c r="O12">
        <v>61.61</v>
      </c>
      <c r="P12">
        <v>62.69</v>
      </c>
      <c r="Q12">
        <v>63.548920000000003</v>
      </c>
      <c r="R12">
        <v>61.61</v>
      </c>
      <c r="S12">
        <v>62.512860000000003</v>
      </c>
      <c r="T12">
        <v>63.485030000000002</v>
      </c>
      <c r="U12">
        <v>61.61</v>
      </c>
      <c r="V12">
        <v>62.39667</v>
      </c>
      <c r="W12">
        <v>63.45035</v>
      </c>
    </row>
    <row r="13" spans="1:23" x14ac:dyDescent="0.25">
      <c r="A13">
        <v>12</v>
      </c>
      <c r="B13" t="s">
        <v>93</v>
      </c>
      <c r="C13">
        <v>59.998190000000001</v>
      </c>
      <c r="D13">
        <v>60.71705</v>
      </c>
      <c r="E13">
        <v>62.107289999999999</v>
      </c>
      <c r="F13">
        <v>59.39114</v>
      </c>
      <c r="G13">
        <v>60.772689999999997</v>
      </c>
      <c r="H13">
        <v>62.824739999999998</v>
      </c>
      <c r="I13">
        <v>59.395290000000003</v>
      </c>
      <c r="J13">
        <v>61.121429999999997</v>
      </c>
      <c r="K13">
        <v>63.10745</v>
      </c>
      <c r="L13">
        <v>59.71143</v>
      </c>
      <c r="M13">
        <v>61.315660000000001</v>
      </c>
      <c r="N13">
        <v>63.213500000000003</v>
      </c>
      <c r="O13">
        <v>59.864359999999998</v>
      </c>
      <c r="P13">
        <v>61.59</v>
      </c>
      <c r="Q13">
        <v>63.27375</v>
      </c>
      <c r="R13">
        <v>59.634</v>
      </c>
      <c r="S13">
        <v>61.244999999999997</v>
      </c>
      <c r="T13">
        <v>63.091549999999998</v>
      </c>
      <c r="U13">
        <v>59.243859999999998</v>
      </c>
      <c r="V13">
        <v>61.064999999999998</v>
      </c>
      <c r="W13">
        <v>63.022419999999997</v>
      </c>
    </row>
    <row r="14" spans="1:23" x14ac:dyDescent="0.25">
      <c r="A14">
        <v>13</v>
      </c>
      <c r="B14" t="s">
        <v>94</v>
      </c>
      <c r="C14">
        <v>60.39714</v>
      </c>
      <c r="D14">
        <v>62.022379999999998</v>
      </c>
      <c r="E14">
        <v>62.93533</v>
      </c>
      <c r="F14">
        <v>59.848570000000002</v>
      </c>
      <c r="G14">
        <v>62.031579999999998</v>
      </c>
      <c r="H14">
        <v>63.345030000000001</v>
      </c>
      <c r="I14">
        <v>59.99418</v>
      </c>
      <c r="J14">
        <v>62.431759999999997</v>
      </c>
      <c r="K14">
        <v>63.508769999999998</v>
      </c>
      <c r="L14">
        <v>60.42286</v>
      </c>
      <c r="M14">
        <v>62.532380000000003</v>
      </c>
      <c r="N14">
        <v>63.572339999999997</v>
      </c>
      <c r="O14">
        <v>60.607840000000003</v>
      </c>
      <c r="P14">
        <v>62.692860000000003</v>
      </c>
      <c r="Q14">
        <v>63.570459999999997</v>
      </c>
      <c r="R14">
        <v>60.262</v>
      </c>
      <c r="S14">
        <v>62.517139999999998</v>
      </c>
      <c r="T14">
        <v>63.493519999999997</v>
      </c>
      <c r="U14">
        <v>59.720289999999999</v>
      </c>
      <c r="V14">
        <v>62.392139999999998</v>
      </c>
      <c r="W14">
        <v>63.456949999999999</v>
      </c>
    </row>
    <row r="15" spans="1:23" x14ac:dyDescent="0.25">
      <c r="A15">
        <v>14</v>
      </c>
      <c r="B15" t="s">
        <v>95</v>
      </c>
      <c r="C15">
        <v>65.022090000000006</v>
      </c>
      <c r="D15">
        <v>67.323080000000004</v>
      </c>
      <c r="E15">
        <v>69.211780000000005</v>
      </c>
      <c r="F15">
        <v>65.096100000000007</v>
      </c>
      <c r="G15">
        <v>67.201669999999993</v>
      </c>
      <c r="H15">
        <v>69.254630000000006</v>
      </c>
      <c r="I15">
        <v>65.137469999999993</v>
      </c>
      <c r="J15">
        <v>67.269859999999994</v>
      </c>
      <c r="K15">
        <v>69.300880000000006</v>
      </c>
      <c r="L15">
        <v>65.286619999999999</v>
      </c>
      <c r="M15">
        <v>67.599999999999994</v>
      </c>
      <c r="N15">
        <v>69.354690000000005</v>
      </c>
      <c r="O15">
        <v>65.5</v>
      </c>
      <c r="P15">
        <v>67.68571</v>
      </c>
      <c r="Q15">
        <v>69.403850000000006</v>
      </c>
      <c r="R15">
        <v>65.60333</v>
      </c>
      <c r="S15">
        <v>67.67107</v>
      </c>
      <c r="T15">
        <v>69.356920000000002</v>
      </c>
      <c r="U15">
        <v>65.372140000000002</v>
      </c>
      <c r="V15">
        <v>67.607860000000002</v>
      </c>
      <c r="W15">
        <v>69.355000000000004</v>
      </c>
    </row>
    <row r="16" spans="1:23" x14ac:dyDescent="0.25">
      <c r="A16">
        <v>15</v>
      </c>
      <c r="B16" t="s">
        <v>96</v>
      </c>
      <c r="C16">
        <v>81.811120000000003</v>
      </c>
      <c r="D16">
        <v>82.195409999999995</v>
      </c>
      <c r="E16">
        <v>82.839860000000002</v>
      </c>
      <c r="F16">
        <v>81.718159999999997</v>
      </c>
      <c r="G16">
        <v>82.177750000000003</v>
      </c>
      <c r="H16">
        <v>82.696849999999998</v>
      </c>
      <c r="I16">
        <v>81.615669999999994</v>
      </c>
      <c r="J16">
        <v>82.151740000000004</v>
      </c>
      <c r="K16">
        <v>82.571910000000003</v>
      </c>
      <c r="L16">
        <v>81.611639999999994</v>
      </c>
      <c r="M16">
        <v>82.111000000000004</v>
      </c>
      <c r="N16">
        <v>82.441000000000003</v>
      </c>
      <c r="O16">
        <v>81.613219999999998</v>
      </c>
      <c r="P16">
        <v>82.132480000000001</v>
      </c>
      <c r="Q16">
        <v>82.328040000000001</v>
      </c>
      <c r="R16">
        <v>81.667150000000007</v>
      </c>
      <c r="S16">
        <v>82.139150000000001</v>
      </c>
      <c r="T16">
        <v>82.41131</v>
      </c>
      <c r="U16">
        <v>81.667150000000007</v>
      </c>
      <c r="V16">
        <v>82.139150000000001</v>
      </c>
      <c r="W16">
        <v>82.41131</v>
      </c>
    </row>
    <row r="17" spans="1:23" x14ac:dyDescent="0.25">
      <c r="A17">
        <v>16</v>
      </c>
      <c r="B17" t="s">
        <v>97</v>
      </c>
      <c r="C17">
        <v>71.560569999999998</v>
      </c>
      <c r="D17">
        <v>72.666399999999996</v>
      </c>
      <c r="E17">
        <v>73.370469999999997</v>
      </c>
      <c r="F17">
        <v>71.480540000000005</v>
      </c>
      <c r="G17">
        <v>72.546670000000006</v>
      </c>
      <c r="H17">
        <v>73.261359999999996</v>
      </c>
      <c r="I17">
        <v>71.322239999999994</v>
      </c>
      <c r="J17">
        <v>72.413920000000005</v>
      </c>
      <c r="K17">
        <v>73.118889999999993</v>
      </c>
      <c r="L17">
        <v>71.177700000000002</v>
      </c>
      <c r="M17">
        <v>72.408140000000003</v>
      </c>
      <c r="N17">
        <v>73.124129999999994</v>
      </c>
      <c r="O17">
        <v>71.296959999999999</v>
      </c>
      <c r="P17">
        <v>72.606350000000006</v>
      </c>
      <c r="Q17">
        <v>73.246840000000006</v>
      </c>
      <c r="R17">
        <v>71.378730000000004</v>
      </c>
      <c r="S17">
        <v>72.608369999999994</v>
      </c>
      <c r="T17">
        <v>73.209999999999994</v>
      </c>
      <c r="U17">
        <v>71.259559999999993</v>
      </c>
      <c r="V17">
        <v>72.611040000000003</v>
      </c>
      <c r="W17">
        <v>73.277119999999996</v>
      </c>
    </row>
    <row r="18" spans="1:23" x14ac:dyDescent="0.25">
      <c r="A18">
        <v>17</v>
      </c>
      <c r="B18" t="s">
        <v>98</v>
      </c>
      <c r="C18">
        <v>114.14001</v>
      </c>
      <c r="D18">
        <v>114.99</v>
      </c>
      <c r="E18">
        <v>117.58371</v>
      </c>
      <c r="F18">
        <v>113.86086</v>
      </c>
      <c r="G18">
        <v>114.68</v>
      </c>
      <c r="H18">
        <v>116.93053</v>
      </c>
      <c r="I18">
        <v>113.75</v>
      </c>
      <c r="J18">
        <v>114.65702</v>
      </c>
      <c r="K18">
        <v>116.77143</v>
      </c>
      <c r="L18">
        <v>113.86429</v>
      </c>
      <c r="M18">
        <v>114.72143</v>
      </c>
      <c r="N18">
        <v>116.48357</v>
      </c>
      <c r="O18">
        <v>113.96</v>
      </c>
      <c r="P18">
        <v>114.79</v>
      </c>
      <c r="Q18">
        <v>116.66704</v>
      </c>
      <c r="R18">
        <v>114.06071</v>
      </c>
      <c r="S18">
        <v>114.9105</v>
      </c>
      <c r="T18">
        <v>117.18367000000001</v>
      </c>
      <c r="U18">
        <v>114.15705</v>
      </c>
      <c r="V18">
        <v>115.04</v>
      </c>
      <c r="W18">
        <v>117.25633000000001</v>
      </c>
    </row>
    <row r="19" spans="1:23" x14ac:dyDescent="0.25">
      <c r="A19">
        <v>18</v>
      </c>
      <c r="B19" t="s">
        <v>99</v>
      </c>
      <c r="C19">
        <v>61.676000000000002</v>
      </c>
      <c r="D19">
        <v>62.968179999999997</v>
      </c>
      <c r="E19">
        <v>64.124830000000003</v>
      </c>
      <c r="F19">
        <v>61.636789999999998</v>
      </c>
      <c r="G19">
        <v>62.995710000000003</v>
      </c>
      <c r="H19">
        <v>64.372820000000004</v>
      </c>
      <c r="I19">
        <v>61.830460000000002</v>
      </c>
      <c r="J19">
        <v>63.193280000000001</v>
      </c>
      <c r="K19">
        <v>64.615300000000005</v>
      </c>
      <c r="L19">
        <v>61.93488</v>
      </c>
      <c r="M19">
        <v>63.395000000000003</v>
      </c>
      <c r="N19">
        <v>64.909769999999995</v>
      </c>
      <c r="O19">
        <v>62.030079999999998</v>
      </c>
      <c r="P19">
        <v>63.48545</v>
      </c>
      <c r="Q19">
        <v>65.187529999999995</v>
      </c>
      <c r="R19">
        <v>62.101849999999999</v>
      </c>
      <c r="S19">
        <v>63.476660000000003</v>
      </c>
      <c r="T19">
        <v>65.145690000000002</v>
      </c>
      <c r="U19">
        <v>61.954000000000001</v>
      </c>
      <c r="V19">
        <v>63.43929</v>
      </c>
      <c r="W19">
        <v>65.122140000000002</v>
      </c>
    </row>
    <row r="20" spans="1:23" x14ac:dyDescent="0.25">
      <c r="A20">
        <v>19</v>
      </c>
      <c r="B20" t="s">
        <v>100</v>
      </c>
      <c r="C20">
        <v>129.18045000000001</v>
      </c>
      <c r="D20">
        <v>130.09298999999999</v>
      </c>
      <c r="E20">
        <v>130.51329999999999</v>
      </c>
      <c r="F20">
        <v>129.26043000000001</v>
      </c>
      <c r="G20">
        <v>130.12728000000001</v>
      </c>
      <c r="H20">
        <v>130.54957999999999</v>
      </c>
      <c r="I20">
        <v>129.33799999999999</v>
      </c>
      <c r="J20">
        <v>130.16713999999999</v>
      </c>
      <c r="K20">
        <v>130.55636000000001</v>
      </c>
      <c r="L20">
        <v>129.38999999999999</v>
      </c>
      <c r="M20">
        <v>130.22971000000001</v>
      </c>
      <c r="N20">
        <v>130.58455000000001</v>
      </c>
      <c r="O20">
        <v>129.45613</v>
      </c>
      <c r="P20">
        <v>130.29571000000001</v>
      </c>
      <c r="Q20">
        <v>130.62394</v>
      </c>
      <c r="R20">
        <v>129.54159000000001</v>
      </c>
      <c r="S20">
        <v>130.32818</v>
      </c>
      <c r="T20">
        <v>130.65</v>
      </c>
      <c r="U20">
        <v>129.55309</v>
      </c>
      <c r="V20">
        <v>130.32138</v>
      </c>
      <c r="W20">
        <v>130.65666999999999</v>
      </c>
    </row>
    <row r="21" spans="1:23" x14ac:dyDescent="0.25">
      <c r="A21">
        <v>20</v>
      </c>
      <c r="B21" t="s">
        <v>101</v>
      </c>
      <c r="C21">
        <v>98.58</v>
      </c>
      <c r="D21">
        <v>99.000569999999996</v>
      </c>
      <c r="E21">
        <v>99.422780000000003</v>
      </c>
      <c r="F21">
        <v>98.58</v>
      </c>
      <c r="G21">
        <v>98.992660000000001</v>
      </c>
      <c r="H21">
        <v>99.442400000000006</v>
      </c>
      <c r="I21">
        <v>98.58</v>
      </c>
      <c r="J21">
        <v>98.973709999999997</v>
      </c>
      <c r="K21">
        <v>99.45</v>
      </c>
      <c r="L21">
        <v>98.58</v>
      </c>
      <c r="M21">
        <v>98.994110000000006</v>
      </c>
      <c r="N21">
        <v>99.448849999999993</v>
      </c>
      <c r="O21">
        <v>98.58</v>
      </c>
      <c r="P21">
        <v>99.056550000000001</v>
      </c>
      <c r="Q21">
        <v>99.477119999999999</v>
      </c>
      <c r="R21">
        <v>98.58</v>
      </c>
      <c r="S21">
        <v>99.114999999999995</v>
      </c>
      <c r="T21">
        <v>99.496589999999998</v>
      </c>
      <c r="U21">
        <v>98.58</v>
      </c>
      <c r="V21">
        <v>99.106669999999994</v>
      </c>
      <c r="W21">
        <v>99.497749999999996</v>
      </c>
    </row>
    <row r="22" spans="1:23" x14ac:dyDescent="0.25">
      <c r="A22">
        <v>21</v>
      </c>
      <c r="B22" t="s">
        <v>102</v>
      </c>
      <c r="C22">
        <v>97.370469999999997</v>
      </c>
      <c r="D22">
        <v>98.551900000000003</v>
      </c>
      <c r="E22">
        <v>99.530100000000004</v>
      </c>
      <c r="F22">
        <v>97.251869999999997</v>
      </c>
      <c r="G22">
        <v>98.5167</v>
      </c>
      <c r="H22">
        <v>99.566980000000001</v>
      </c>
      <c r="I22">
        <v>97.345110000000005</v>
      </c>
      <c r="J22">
        <v>98.474069999999998</v>
      </c>
      <c r="K22">
        <v>99.596059999999994</v>
      </c>
      <c r="L22">
        <v>97.454530000000005</v>
      </c>
      <c r="M22">
        <v>98.506050000000002</v>
      </c>
      <c r="N22">
        <v>99.584850000000003</v>
      </c>
      <c r="O22">
        <v>97.577110000000005</v>
      </c>
      <c r="P22">
        <v>98.622349999999997</v>
      </c>
      <c r="Q22">
        <v>99.638000000000005</v>
      </c>
      <c r="R22">
        <v>97.670590000000004</v>
      </c>
      <c r="S22">
        <v>98.732569999999996</v>
      </c>
      <c r="T22">
        <v>99.660809999999998</v>
      </c>
      <c r="U22">
        <v>97.57978</v>
      </c>
      <c r="V22">
        <v>98.704999999999998</v>
      </c>
      <c r="W22">
        <v>99.644639999999995</v>
      </c>
    </row>
    <row r="23" spans="1:23" x14ac:dyDescent="0.25">
      <c r="A23">
        <v>22</v>
      </c>
      <c r="B23" t="s">
        <v>103</v>
      </c>
      <c r="C23">
        <v>97.47</v>
      </c>
      <c r="D23">
        <v>98.81</v>
      </c>
      <c r="E23">
        <v>99.36</v>
      </c>
      <c r="F23">
        <v>97.302000000000007</v>
      </c>
      <c r="G23">
        <v>98.8</v>
      </c>
      <c r="H23">
        <v>99.39</v>
      </c>
      <c r="I23">
        <v>97.352000000000004</v>
      </c>
      <c r="J23">
        <v>98.79</v>
      </c>
      <c r="K23">
        <v>99.4</v>
      </c>
      <c r="L23">
        <v>97.531999999999996</v>
      </c>
      <c r="M23">
        <v>98.84</v>
      </c>
      <c r="N23">
        <v>99.408000000000001</v>
      </c>
      <c r="O23">
        <v>97.691999999999993</v>
      </c>
      <c r="P23">
        <v>98.93</v>
      </c>
      <c r="Q23">
        <v>99.44</v>
      </c>
      <c r="R23">
        <v>97.84</v>
      </c>
      <c r="S23">
        <v>99</v>
      </c>
      <c r="T23">
        <v>99.45</v>
      </c>
      <c r="U23">
        <v>97.69</v>
      </c>
      <c r="V23">
        <v>98.98</v>
      </c>
      <c r="W23">
        <v>99.45</v>
      </c>
    </row>
    <row r="24" spans="1:23" x14ac:dyDescent="0.25">
      <c r="A24">
        <v>23</v>
      </c>
      <c r="B24" t="s">
        <v>104</v>
      </c>
      <c r="C24">
        <v>100.73</v>
      </c>
      <c r="D24">
        <v>101.08517000000001</v>
      </c>
      <c r="E24">
        <v>101.78385</v>
      </c>
      <c r="F24">
        <v>100.73</v>
      </c>
      <c r="G24">
        <v>101.06071</v>
      </c>
      <c r="H24">
        <v>101.78646000000001</v>
      </c>
      <c r="I24">
        <v>100.73</v>
      </c>
      <c r="J24">
        <v>101.04098</v>
      </c>
      <c r="K24">
        <v>101.80383999999999</v>
      </c>
      <c r="L24">
        <v>100.73</v>
      </c>
      <c r="M24">
        <v>101.14521000000001</v>
      </c>
      <c r="N24">
        <v>101.78713999999999</v>
      </c>
      <c r="O24">
        <v>100.73</v>
      </c>
      <c r="P24">
        <v>101.20762000000001</v>
      </c>
      <c r="Q24">
        <v>101.80041</v>
      </c>
      <c r="R24">
        <v>100.73</v>
      </c>
      <c r="S24">
        <v>101.27571</v>
      </c>
      <c r="T24">
        <v>101.79571</v>
      </c>
      <c r="U24">
        <v>100.73</v>
      </c>
      <c r="V24">
        <v>101.27036</v>
      </c>
      <c r="W24">
        <v>101.81421</v>
      </c>
    </row>
    <row r="25" spans="1:23" x14ac:dyDescent="0.25">
      <c r="A25">
        <v>24</v>
      </c>
      <c r="B25" t="s">
        <v>105</v>
      </c>
      <c r="C25">
        <v>98.577029999999993</v>
      </c>
      <c r="D25">
        <v>99.94211</v>
      </c>
      <c r="E25">
        <v>101.21623</v>
      </c>
      <c r="F25">
        <v>98.544939999999997</v>
      </c>
      <c r="G25">
        <v>99.903809999999993</v>
      </c>
      <c r="H25">
        <v>101.22512</v>
      </c>
      <c r="I25">
        <v>98.644229999999993</v>
      </c>
      <c r="J25">
        <v>99.910979999999995</v>
      </c>
      <c r="K25">
        <v>101.30653</v>
      </c>
      <c r="L25">
        <v>98.741990000000001</v>
      </c>
      <c r="M25">
        <v>100.1</v>
      </c>
      <c r="N25">
        <v>101.33181</v>
      </c>
      <c r="O25">
        <v>98.817719999999994</v>
      </c>
      <c r="P25">
        <v>100.2563</v>
      </c>
      <c r="Q25">
        <v>101.38702000000001</v>
      </c>
      <c r="R25">
        <v>98.921180000000007</v>
      </c>
      <c r="S25">
        <v>100.39071</v>
      </c>
      <c r="T25">
        <v>101.41462</v>
      </c>
      <c r="U25">
        <v>98.924999999999997</v>
      </c>
      <c r="V25">
        <v>100.38404</v>
      </c>
      <c r="W25">
        <v>101.44213999999999</v>
      </c>
    </row>
    <row r="26" spans="1:23" x14ac:dyDescent="0.25">
      <c r="A26">
        <v>25</v>
      </c>
      <c r="B26" t="s">
        <v>106</v>
      </c>
      <c r="C26">
        <v>98.52</v>
      </c>
      <c r="D26">
        <v>101.11</v>
      </c>
      <c r="E26">
        <v>101.79</v>
      </c>
      <c r="F26">
        <v>98.54</v>
      </c>
      <c r="G26">
        <v>101.06</v>
      </c>
      <c r="H26">
        <v>101.82</v>
      </c>
      <c r="I26">
        <v>98.742000000000004</v>
      </c>
      <c r="J26">
        <v>101.03</v>
      </c>
      <c r="K26">
        <v>101.84</v>
      </c>
      <c r="L26">
        <v>98.941999999999993</v>
      </c>
      <c r="M26">
        <v>101.15</v>
      </c>
      <c r="N26">
        <v>101.82</v>
      </c>
      <c r="O26">
        <v>99.09</v>
      </c>
      <c r="P26">
        <v>101.24</v>
      </c>
      <c r="Q26">
        <v>101.83</v>
      </c>
      <c r="R26">
        <v>99.244</v>
      </c>
      <c r="S26">
        <v>101.31</v>
      </c>
      <c r="T26">
        <v>101.83</v>
      </c>
      <c r="U26">
        <v>99.23</v>
      </c>
      <c r="V26">
        <v>101.3</v>
      </c>
      <c r="W26">
        <v>101.85</v>
      </c>
    </row>
    <row r="27" spans="1:23" x14ac:dyDescent="0.25">
      <c r="A27">
        <v>26</v>
      </c>
      <c r="B27" t="s">
        <v>107</v>
      </c>
      <c r="C27">
        <v>95.68</v>
      </c>
      <c r="D27">
        <v>96.265410000000003</v>
      </c>
      <c r="E27">
        <v>96.70966</v>
      </c>
      <c r="F27">
        <v>95.68</v>
      </c>
      <c r="G27">
        <v>96.237179999999995</v>
      </c>
      <c r="H27">
        <v>96.736019999999996</v>
      </c>
      <c r="I27">
        <v>95.68</v>
      </c>
      <c r="J27">
        <v>96.223910000000004</v>
      </c>
      <c r="K27">
        <v>96.784049999999993</v>
      </c>
      <c r="L27">
        <v>95.68</v>
      </c>
      <c r="M27">
        <v>96.3</v>
      </c>
      <c r="N27">
        <v>96.784829999999999</v>
      </c>
      <c r="O27">
        <v>95.68</v>
      </c>
      <c r="P27">
        <v>96.320689999999999</v>
      </c>
      <c r="Q27">
        <v>96.822010000000006</v>
      </c>
      <c r="R27">
        <v>95.68</v>
      </c>
      <c r="S27">
        <v>96.317239999999998</v>
      </c>
      <c r="T27">
        <v>96.81</v>
      </c>
      <c r="U27">
        <v>95.68</v>
      </c>
      <c r="V27">
        <v>96.307940000000002</v>
      </c>
      <c r="W27">
        <v>96.821449999999999</v>
      </c>
    </row>
    <row r="28" spans="1:23" x14ac:dyDescent="0.25">
      <c r="A28">
        <v>27</v>
      </c>
      <c r="B28" t="s">
        <v>108</v>
      </c>
      <c r="C28">
        <v>93.152889999999999</v>
      </c>
      <c r="D28">
        <v>95.654640000000001</v>
      </c>
      <c r="E28">
        <v>96.696359999999999</v>
      </c>
      <c r="F28">
        <v>93.24933</v>
      </c>
      <c r="G28">
        <v>95.604320000000001</v>
      </c>
      <c r="H28">
        <v>96.712869999999995</v>
      </c>
      <c r="I28">
        <v>93.600960000000001</v>
      </c>
      <c r="J28">
        <v>95.566059999999993</v>
      </c>
      <c r="K28">
        <v>96.787170000000003</v>
      </c>
      <c r="L28">
        <v>93.820400000000006</v>
      </c>
      <c r="M28">
        <v>95.736109999999996</v>
      </c>
      <c r="N28">
        <v>96.760249999999999</v>
      </c>
      <c r="O28">
        <v>94.047799999999995</v>
      </c>
      <c r="P28">
        <v>95.806340000000006</v>
      </c>
      <c r="Q28">
        <v>96.775139999999993</v>
      </c>
      <c r="R28">
        <v>94.272760000000005</v>
      </c>
      <c r="S28">
        <v>95.801349999999999</v>
      </c>
      <c r="T28">
        <v>96.740620000000007</v>
      </c>
      <c r="U28">
        <v>94.261449999999996</v>
      </c>
      <c r="V28">
        <v>95.78</v>
      </c>
      <c r="W28">
        <v>96.735200000000006</v>
      </c>
    </row>
    <row r="29" spans="1:23" x14ac:dyDescent="0.25">
      <c r="A29">
        <v>28</v>
      </c>
      <c r="B29" t="s">
        <v>109</v>
      </c>
      <c r="C29">
        <v>92.81</v>
      </c>
      <c r="D29">
        <v>96.25</v>
      </c>
      <c r="E29">
        <v>96.8</v>
      </c>
      <c r="F29">
        <v>92.86</v>
      </c>
      <c r="G29">
        <v>96.22</v>
      </c>
      <c r="H29">
        <v>96.83</v>
      </c>
      <c r="I29">
        <v>93.25</v>
      </c>
      <c r="J29">
        <v>96.2</v>
      </c>
      <c r="K29">
        <v>96.86</v>
      </c>
      <c r="L29">
        <v>93.56</v>
      </c>
      <c r="M29">
        <v>96.29</v>
      </c>
      <c r="N29">
        <v>96.89</v>
      </c>
      <c r="O29">
        <v>93.77</v>
      </c>
      <c r="P29">
        <v>96.32</v>
      </c>
      <c r="Q29">
        <v>96.93</v>
      </c>
      <c r="R29">
        <v>94.063999999999993</v>
      </c>
      <c r="S29">
        <v>96.34</v>
      </c>
      <c r="T29">
        <v>96.92</v>
      </c>
      <c r="U29">
        <v>94.054000000000002</v>
      </c>
      <c r="V29">
        <v>96.32</v>
      </c>
      <c r="W29">
        <v>96.91</v>
      </c>
    </row>
    <row r="30" spans="1:23" x14ac:dyDescent="0.25">
      <c r="A30">
        <v>29</v>
      </c>
      <c r="B30" t="s">
        <v>110</v>
      </c>
      <c r="C30">
        <v>104.17</v>
      </c>
      <c r="D30">
        <v>104.90636000000001</v>
      </c>
      <c r="E30">
        <v>105.28825999999999</v>
      </c>
      <c r="F30">
        <v>104.17</v>
      </c>
      <c r="G30">
        <v>104.90067000000001</v>
      </c>
      <c r="H30">
        <v>105.31429</v>
      </c>
      <c r="I30">
        <v>104.17</v>
      </c>
      <c r="J30">
        <v>104.86856</v>
      </c>
      <c r="K30">
        <v>105.31</v>
      </c>
      <c r="L30">
        <v>104.17</v>
      </c>
      <c r="M30">
        <v>104.89537</v>
      </c>
      <c r="N30">
        <v>105.35621</v>
      </c>
      <c r="O30">
        <v>104.17</v>
      </c>
      <c r="P30">
        <v>104.98505</v>
      </c>
      <c r="Q30">
        <v>105.39286</v>
      </c>
      <c r="R30">
        <v>104.18407999999999</v>
      </c>
      <c r="S30">
        <v>105.05</v>
      </c>
      <c r="T30">
        <v>105.42841</v>
      </c>
      <c r="U30">
        <v>104.17</v>
      </c>
      <c r="V30">
        <v>105.04859</v>
      </c>
      <c r="W30">
        <v>105.44314</v>
      </c>
    </row>
    <row r="31" spans="1:23" x14ac:dyDescent="0.25">
      <c r="A31">
        <v>30</v>
      </c>
      <c r="B31" t="s">
        <v>111</v>
      </c>
      <c r="C31">
        <v>102.59884</v>
      </c>
      <c r="D31">
        <v>104.884</v>
      </c>
      <c r="E31">
        <v>105.28010999999999</v>
      </c>
      <c r="F31">
        <v>102.93</v>
      </c>
      <c r="G31">
        <v>104.87657</v>
      </c>
      <c r="H31">
        <v>105.31</v>
      </c>
      <c r="I31">
        <v>102.97941</v>
      </c>
      <c r="J31">
        <v>104.84808</v>
      </c>
      <c r="K31">
        <v>105.30286</v>
      </c>
      <c r="L31">
        <v>103.19069</v>
      </c>
      <c r="M31">
        <v>104.86914</v>
      </c>
      <c r="N31">
        <v>105.34621</v>
      </c>
      <c r="O31">
        <v>103.42</v>
      </c>
      <c r="P31">
        <v>104.96250000000001</v>
      </c>
      <c r="Q31">
        <v>105.38543</v>
      </c>
      <c r="R31">
        <v>103.59535</v>
      </c>
      <c r="S31">
        <v>105.02919</v>
      </c>
      <c r="T31">
        <v>105.41925000000001</v>
      </c>
      <c r="U31">
        <v>103.57353000000001</v>
      </c>
      <c r="V31">
        <v>105.02758</v>
      </c>
      <c r="W31">
        <v>105.43313999999999</v>
      </c>
    </row>
    <row r="32" spans="1:23" x14ac:dyDescent="0.25">
      <c r="A32">
        <v>31</v>
      </c>
      <c r="B32" t="s">
        <v>112</v>
      </c>
      <c r="C32">
        <v>98.44</v>
      </c>
      <c r="D32">
        <v>98.44</v>
      </c>
      <c r="E32">
        <v>99.41</v>
      </c>
      <c r="F32">
        <v>98.44</v>
      </c>
      <c r="G32">
        <v>98.553640000000001</v>
      </c>
      <c r="H32">
        <v>99.491330000000005</v>
      </c>
      <c r="I32">
        <v>98.44</v>
      </c>
      <c r="J32">
        <v>98.921000000000006</v>
      </c>
      <c r="K32">
        <v>99.582920000000001</v>
      </c>
      <c r="L32">
        <v>98.44</v>
      </c>
      <c r="M32">
        <v>99.039050000000003</v>
      </c>
      <c r="N32">
        <v>99.656469999999999</v>
      </c>
      <c r="O32">
        <v>98.44</v>
      </c>
      <c r="P32">
        <v>99.12</v>
      </c>
      <c r="Q32">
        <v>99.714399999999998</v>
      </c>
      <c r="R32">
        <v>98.44</v>
      </c>
      <c r="S32">
        <v>99.243570000000005</v>
      </c>
      <c r="T32">
        <v>99.734830000000002</v>
      </c>
      <c r="U32">
        <v>98.44</v>
      </c>
      <c r="V32">
        <v>99.26</v>
      </c>
      <c r="W32">
        <v>99.751009999999994</v>
      </c>
    </row>
    <row r="33" spans="1:23" x14ac:dyDescent="0.25">
      <c r="A33">
        <v>32</v>
      </c>
      <c r="B33" t="s">
        <v>113</v>
      </c>
      <c r="C33">
        <v>96.172389999999993</v>
      </c>
      <c r="D33">
        <v>98.490290000000002</v>
      </c>
      <c r="E33">
        <v>99.699780000000004</v>
      </c>
      <c r="F33">
        <v>96.462350000000001</v>
      </c>
      <c r="G33">
        <v>98.563059999999993</v>
      </c>
      <c r="H33">
        <v>99.766599999999997</v>
      </c>
      <c r="I33">
        <v>96.837199999999996</v>
      </c>
      <c r="J33">
        <v>98.637140000000002</v>
      </c>
      <c r="K33">
        <v>99.867170000000002</v>
      </c>
      <c r="L33">
        <v>97.093010000000007</v>
      </c>
      <c r="M33">
        <v>98.885360000000006</v>
      </c>
      <c r="N33">
        <v>100.01828</v>
      </c>
      <c r="O33">
        <v>97.357709999999997</v>
      </c>
      <c r="P33">
        <v>99.025710000000004</v>
      </c>
      <c r="Q33">
        <v>100.10347</v>
      </c>
      <c r="R33">
        <v>97.582070000000002</v>
      </c>
      <c r="S33">
        <v>99.156109999999998</v>
      </c>
      <c r="T33">
        <v>100.11</v>
      </c>
      <c r="U33">
        <v>97.645520000000005</v>
      </c>
      <c r="V33">
        <v>99.158990000000003</v>
      </c>
      <c r="W33">
        <v>100.13731</v>
      </c>
    </row>
    <row r="34" spans="1:23" x14ac:dyDescent="0.25">
      <c r="A34">
        <v>33</v>
      </c>
      <c r="B34" t="s">
        <v>114</v>
      </c>
      <c r="C34">
        <v>96.6</v>
      </c>
      <c r="D34">
        <v>98.45</v>
      </c>
      <c r="E34">
        <v>99.54</v>
      </c>
      <c r="F34">
        <v>96.82</v>
      </c>
      <c r="G34">
        <v>98.7</v>
      </c>
      <c r="H34">
        <v>99.61</v>
      </c>
      <c r="I34">
        <v>96.98</v>
      </c>
      <c r="J34">
        <v>98.98</v>
      </c>
      <c r="K34">
        <v>99.67</v>
      </c>
      <c r="L34">
        <v>97.12</v>
      </c>
      <c r="M34">
        <v>99.11</v>
      </c>
      <c r="N34">
        <v>99.76</v>
      </c>
      <c r="O34">
        <v>97.221999999999994</v>
      </c>
      <c r="P34">
        <v>99.22</v>
      </c>
      <c r="Q34">
        <v>99.83</v>
      </c>
      <c r="R34">
        <v>97.39</v>
      </c>
      <c r="S34">
        <v>99.32</v>
      </c>
      <c r="T34">
        <v>99.84</v>
      </c>
      <c r="U34">
        <v>97.623999999999995</v>
      </c>
      <c r="V34">
        <v>99.33</v>
      </c>
      <c r="W34">
        <v>99.855999999999995</v>
      </c>
    </row>
    <row r="35" spans="1:23" x14ac:dyDescent="0.25">
      <c r="A35">
        <v>34</v>
      </c>
      <c r="B35" t="s">
        <v>115</v>
      </c>
      <c r="C35">
        <v>87.828050000000005</v>
      </c>
      <c r="D35">
        <v>90.026409999999998</v>
      </c>
      <c r="E35">
        <v>90.997529999999998</v>
      </c>
      <c r="F35">
        <v>88.017110000000002</v>
      </c>
      <c r="G35">
        <v>90.060169999999999</v>
      </c>
      <c r="H35">
        <v>91.043989999999994</v>
      </c>
      <c r="I35">
        <v>88.335329999999999</v>
      </c>
      <c r="J35">
        <v>90.103790000000004</v>
      </c>
      <c r="K35">
        <v>91.1</v>
      </c>
      <c r="L35">
        <v>88.769329999999997</v>
      </c>
      <c r="M35">
        <v>90.435569999999998</v>
      </c>
      <c r="N35">
        <v>91.2</v>
      </c>
      <c r="O35">
        <v>89.138800000000003</v>
      </c>
      <c r="P35">
        <v>90.547330000000002</v>
      </c>
      <c r="Q35">
        <v>91.28586</v>
      </c>
      <c r="R35">
        <v>89.344440000000006</v>
      </c>
      <c r="S35">
        <v>90.645520000000005</v>
      </c>
      <c r="T35">
        <v>91.326099999999997</v>
      </c>
      <c r="U35">
        <v>89.317430000000002</v>
      </c>
      <c r="V35">
        <v>90.617779999999996</v>
      </c>
      <c r="W35">
        <v>91.335999999999999</v>
      </c>
    </row>
    <row r="36" spans="1:23" x14ac:dyDescent="0.25">
      <c r="A36">
        <v>35</v>
      </c>
      <c r="B36" t="s">
        <v>116</v>
      </c>
      <c r="C36">
        <v>91.529240000000001</v>
      </c>
      <c r="D36">
        <v>92.089190000000002</v>
      </c>
      <c r="E36">
        <v>92.41</v>
      </c>
      <c r="F36">
        <v>91.483599999999996</v>
      </c>
      <c r="G36">
        <v>92.077740000000006</v>
      </c>
      <c r="H36">
        <v>92.415959999999998</v>
      </c>
      <c r="I36">
        <v>91.499709999999993</v>
      </c>
      <c r="J36">
        <v>92.08</v>
      </c>
      <c r="K36">
        <v>92.429069999999996</v>
      </c>
      <c r="L36">
        <v>91.552260000000004</v>
      </c>
      <c r="M36">
        <v>92.127579999999995</v>
      </c>
      <c r="N36">
        <v>92.440110000000004</v>
      </c>
      <c r="O36">
        <v>91.620270000000005</v>
      </c>
      <c r="P36">
        <v>92.168819999999997</v>
      </c>
      <c r="Q36">
        <v>92.462990000000005</v>
      </c>
      <c r="R36">
        <v>91.682730000000006</v>
      </c>
      <c r="S36">
        <v>92.184550000000002</v>
      </c>
      <c r="T36">
        <v>92.468239999999994</v>
      </c>
      <c r="U36">
        <v>91.641990000000007</v>
      </c>
      <c r="V36">
        <v>92.169290000000004</v>
      </c>
      <c r="W36">
        <v>92.468369999999993</v>
      </c>
    </row>
    <row r="37" spans="1:23" x14ac:dyDescent="0.25">
      <c r="A37">
        <v>36</v>
      </c>
      <c r="B37" t="s">
        <v>117</v>
      </c>
      <c r="C37">
        <v>89.547560000000004</v>
      </c>
      <c r="D37">
        <v>91.31429</v>
      </c>
      <c r="E37">
        <v>92.28143</v>
      </c>
      <c r="F37">
        <v>89.523949999999999</v>
      </c>
      <c r="G37">
        <v>91.23</v>
      </c>
      <c r="H37">
        <v>92.318049999999999</v>
      </c>
      <c r="I37">
        <v>89.686570000000003</v>
      </c>
      <c r="J37">
        <v>91.219290000000001</v>
      </c>
      <c r="K37">
        <v>92.37</v>
      </c>
      <c r="L37">
        <v>89.840320000000006</v>
      </c>
      <c r="M37">
        <v>91.41</v>
      </c>
      <c r="N37">
        <v>92.401179999999997</v>
      </c>
      <c r="O37">
        <v>90.068920000000006</v>
      </c>
      <c r="P37">
        <v>91.508750000000006</v>
      </c>
      <c r="Q37">
        <v>92.391589999999994</v>
      </c>
      <c r="R37">
        <v>90.162570000000002</v>
      </c>
      <c r="S37">
        <v>91.559269999999998</v>
      </c>
      <c r="T37">
        <v>92.407939999999996</v>
      </c>
      <c r="U37">
        <v>90.155950000000004</v>
      </c>
      <c r="V37">
        <v>91.551299999999998</v>
      </c>
      <c r="W37">
        <v>92.383439999999993</v>
      </c>
    </row>
    <row r="38" spans="1:23" x14ac:dyDescent="0.25">
      <c r="A38">
        <v>37</v>
      </c>
      <c r="B38" t="s">
        <v>118</v>
      </c>
      <c r="C38">
        <v>91.73</v>
      </c>
      <c r="D38">
        <v>92.21</v>
      </c>
      <c r="E38">
        <v>92.55</v>
      </c>
      <c r="F38">
        <v>91.66</v>
      </c>
      <c r="G38">
        <v>92.19</v>
      </c>
      <c r="H38">
        <v>92.56</v>
      </c>
      <c r="I38">
        <v>91.64</v>
      </c>
      <c r="J38">
        <v>92.19</v>
      </c>
      <c r="K38">
        <v>92.58</v>
      </c>
      <c r="L38">
        <v>91.7</v>
      </c>
      <c r="M38">
        <v>92.22</v>
      </c>
      <c r="N38">
        <v>92.6</v>
      </c>
      <c r="O38">
        <v>91.75</v>
      </c>
      <c r="P38">
        <v>92.26</v>
      </c>
      <c r="Q38">
        <v>92.617999999999995</v>
      </c>
      <c r="R38">
        <v>91.79</v>
      </c>
      <c r="S38">
        <v>92.29</v>
      </c>
      <c r="T38">
        <v>92.61</v>
      </c>
      <c r="U38">
        <v>91.75</v>
      </c>
      <c r="V38">
        <v>92.26</v>
      </c>
      <c r="W38">
        <v>92.6</v>
      </c>
    </row>
    <row r="39" spans="1:23" x14ac:dyDescent="0.25">
      <c r="A39">
        <v>38</v>
      </c>
      <c r="B39" t="s">
        <v>119</v>
      </c>
      <c r="C39">
        <v>102.5</v>
      </c>
      <c r="D39">
        <v>103.73103</v>
      </c>
      <c r="E39">
        <v>104.97136999999999</v>
      </c>
      <c r="F39">
        <v>102.5</v>
      </c>
      <c r="G39">
        <v>103.715</v>
      </c>
      <c r="H39">
        <v>104.99652</v>
      </c>
      <c r="I39">
        <v>102.5</v>
      </c>
      <c r="J39">
        <v>103.73403</v>
      </c>
      <c r="K39">
        <v>104.964</v>
      </c>
      <c r="L39">
        <v>102.5</v>
      </c>
      <c r="M39">
        <v>103.85333</v>
      </c>
      <c r="N39">
        <v>104.93667000000001</v>
      </c>
      <c r="O39">
        <v>102.52667</v>
      </c>
      <c r="P39">
        <v>103.99567999999999</v>
      </c>
      <c r="Q39">
        <v>105.02561</v>
      </c>
      <c r="R39">
        <v>102.59</v>
      </c>
      <c r="S39">
        <v>104.102</v>
      </c>
      <c r="T39">
        <v>105.11759000000001</v>
      </c>
      <c r="U39">
        <v>102.59</v>
      </c>
      <c r="V39">
        <v>104.102</v>
      </c>
      <c r="W39">
        <v>105.11759000000001</v>
      </c>
    </row>
    <row r="40" spans="1:23" x14ac:dyDescent="0.25">
      <c r="A40">
        <v>39</v>
      </c>
      <c r="B40" t="s">
        <v>120</v>
      </c>
      <c r="C40" t="s">
        <v>121</v>
      </c>
      <c r="D40" t="s">
        <v>121</v>
      </c>
      <c r="E40" t="s">
        <v>121</v>
      </c>
      <c r="F40" t="s">
        <v>121</v>
      </c>
      <c r="G40" t="s">
        <v>121</v>
      </c>
      <c r="H40" t="s">
        <v>121</v>
      </c>
      <c r="I40" t="s">
        <v>121</v>
      </c>
      <c r="J40" t="s">
        <v>121</v>
      </c>
      <c r="K40" t="s">
        <v>121</v>
      </c>
      <c r="L40" t="s">
        <v>121</v>
      </c>
      <c r="M40" t="s">
        <v>121</v>
      </c>
      <c r="N40" t="s">
        <v>121</v>
      </c>
      <c r="O40" t="s">
        <v>121</v>
      </c>
      <c r="P40" t="s">
        <v>121</v>
      </c>
      <c r="Q40" t="s">
        <v>121</v>
      </c>
      <c r="R40">
        <v>103.39245</v>
      </c>
      <c r="S40">
        <v>103.86241</v>
      </c>
      <c r="T40">
        <v>104.5145</v>
      </c>
      <c r="U40">
        <v>103.40600000000001</v>
      </c>
      <c r="V40">
        <v>104.57783000000001</v>
      </c>
      <c r="W40">
        <v>105.679</v>
      </c>
    </row>
    <row r="41" spans="1:23" x14ac:dyDescent="0.25">
      <c r="A41">
        <v>40</v>
      </c>
      <c r="B41" t="s">
        <v>122</v>
      </c>
      <c r="C41">
        <v>22.20392</v>
      </c>
      <c r="D41">
        <v>23.279</v>
      </c>
      <c r="E41">
        <v>24.503</v>
      </c>
      <c r="F41">
        <v>22.057690000000001</v>
      </c>
      <c r="G41">
        <v>22.83</v>
      </c>
      <c r="H41">
        <v>24.379000000000001</v>
      </c>
      <c r="I41">
        <v>20.728149999999999</v>
      </c>
      <c r="J41">
        <v>22.383710000000001</v>
      </c>
      <c r="K41">
        <v>24.270630000000001</v>
      </c>
      <c r="L41">
        <v>20.514230000000001</v>
      </c>
      <c r="M41">
        <v>22.236360000000001</v>
      </c>
      <c r="N41">
        <v>24.16198</v>
      </c>
      <c r="O41">
        <v>20.651630000000001</v>
      </c>
      <c r="P41">
        <v>22.075320000000001</v>
      </c>
      <c r="Q41">
        <v>23.963329999999999</v>
      </c>
      <c r="R41">
        <v>20.627690000000001</v>
      </c>
      <c r="S41">
        <v>21.95</v>
      </c>
      <c r="T41">
        <v>23.71444</v>
      </c>
      <c r="U41">
        <v>20.446249999999999</v>
      </c>
      <c r="V41">
        <v>21.883330000000001</v>
      </c>
      <c r="W41">
        <v>23.58071</v>
      </c>
    </row>
    <row r="42" spans="1:23" x14ac:dyDescent="0.25">
      <c r="A42">
        <v>41</v>
      </c>
      <c r="B42" t="s">
        <v>123</v>
      </c>
      <c r="C42">
        <v>80.78</v>
      </c>
      <c r="D42">
        <v>81.364999999999995</v>
      </c>
      <c r="E42">
        <v>81.84</v>
      </c>
      <c r="F42">
        <v>80.804410000000004</v>
      </c>
      <c r="G42">
        <v>81.437269999999998</v>
      </c>
      <c r="H42">
        <v>81.911199999999994</v>
      </c>
      <c r="I42">
        <v>80.88</v>
      </c>
      <c r="J42">
        <v>81.547499999999999</v>
      </c>
      <c r="K42">
        <v>82.13</v>
      </c>
      <c r="L42">
        <v>80.966669999999993</v>
      </c>
      <c r="M42">
        <v>81.655630000000002</v>
      </c>
      <c r="N42">
        <v>82.258330000000001</v>
      </c>
      <c r="O42">
        <v>81.06</v>
      </c>
      <c r="P42">
        <v>81.760000000000005</v>
      </c>
      <c r="Q42">
        <v>82.392939999999996</v>
      </c>
      <c r="R42">
        <v>81.126000000000005</v>
      </c>
      <c r="S42">
        <v>81.886669999999995</v>
      </c>
      <c r="T42">
        <v>82.52</v>
      </c>
      <c r="U42">
        <v>81.180000000000007</v>
      </c>
      <c r="V42">
        <v>81.966359999999995</v>
      </c>
      <c r="W42">
        <v>82.59</v>
      </c>
    </row>
    <row r="43" spans="1:23" x14ac:dyDescent="0.25">
      <c r="A43">
        <v>42</v>
      </c>
      <c r="B43" t="s">
        <v>124</v>
      </c>
      <c r="C43">
        <v>92.27</v>
      </c>
      <c r="D43">
        <v>94.366410000000002</v>
      </c>
      <c r="E43">
        <v>95.779750000000007</v>
      </c>
      <c r="F43">
        <v>92.008240000000001</v>
      </c>
      <c r="G43">
        <v>94.006299999999996</v>
      </c>
      <c r="H43">
        <v>95.575580000000002</v>
      </c>
      <c r="I43">
        <v>91.959180000000003</v>
      </c>
      <c r="J43">
        <v>93.715869999999995</v>
      </c>
      <c r="K43">
        <v>95.307149999999993</v>
      </c>
      <c r="L43">
        <v>92.157929999999993</v>
      </c>
      <c r="M43">
        <v>93.633870000000002</v>
      </c>
      <c r="N43">
        <v>95.191280000000006</v>
      </c>
      <c r="O43">
        <v>92.331209999999999</v>
      </c>
      <c r="P43">
        <v>94.05</v>
      </c>
      <c r="Q43">
        <v>95.316500000000005</v>
      </c>
      <c r="R43">
        <v>92.610969999999995</v>
      </c>
      <c r="S43">
        <v>94.321550000000002</v>
      </c>
      <c r="T43">
        <v>95.409620000000004</v>
      </c>
      <c r="U43">
        <v>92.697040000000001</v>
      </c>
      <c r="V43">
        <v>94.328000000000003</v>
      </c>
      <c r="W43">
        <v>95.423410000000004</v>
      </c>
    </row>
    <row r="44" spans="1:23" x14ac:dyDescent="0.25">
      <c r="A44">
        <v>43</v>
      </c>
      <c r="B44" t="s">
        <v>125</v>
      </c>
      <c r="C44">
        <v>108.76515999999999</v>
      </c>
      <c r="D44">
        <v>108.95968000000001</v>
      </c>
      <c r="E44">
        <v>109.11939</v>
      </c>
      <c r="F44">
        <v>108.7645</v>
      </c>
      <c r="G44">
        <v>108.95935</v>
      </c>
      <c r="H44">
        <v>109.14606000000001</v>
      </c>
      <c r="I44">
        <v>108.78937000000001</v>
      </c>
      <c r="J44">
        <v>108.9781</v>
      </c>
      <c r="K44">
        <v>109.20629</v>
      </c>
      <c r="L44">
        <v>108.81007</v>
      </c>
      <c r="M44">
        <v>108.99930999999999</v>
      </c>
      <c r="N44">
        <v>109.26170999999999</v>
      </c>
      <c r="O44">
        <v>108.81355000000001</v>
      </c>
      <c r="P44">
        <v>109.00346</v>
      </c>
      <c r="Q44">
        <v>109.26606</v>
      </c>
      <c r="R44">
        <v>108.81355000000001</v>
      </c>
      <c r="S44">
        <v>109.00346</v>
      </c>
      <c r="T44">
        <v>109.26606</v>
      </c>
      <c r="U44">
        <v>108.81355000000001</v>
      </c>
      <c r="V44">
        <v>109.00346</v>
      </c>
      <c r="W44">
        <v>109.26606</v>
      </c>
    </row>
    <row r="45" spans="1:23" x14ac:dyDescent="0.25">
      <c r="A45">
        <v>44</v>
      </c>
      <c r="B45" t="s">
        <v>126</v>
      </c>
      <c r="C45">
        <v>128.22728000000001</v>
      </c>
      <c r="D45">
        <v>128.69667000000001</v>
      </c>
      <c r="E45">
        <v>128.99123</v>
      </c>
      <c r="F45">
        <v>127.78765</v>
      </c>
      <c r="G45">
        <v>128.54723000000001</v>
      </c>
      <c r="H45">
        <v>128.97474</v>
      </c>
      <c r="I45">
        <v>127.7</v>
      </c>
      <c r="J45">
        <v>128.53609</v>
      </c>
      <c r="K45">
        <v>128.97219000000001</v>
      </c>
      <c r="L45">
        <v>127.75389</v>
      </c>
      <c r="M45">
        <v>128.60677000000001</v>
      </c>
      <c r="N45">
        <v>128.99375000000001</v>
      </c>
      <c r="O45">
        <v>127.83</v>
      </c>
      <c r="P45">
        <v>128.66887</v>
      </c>
      <c r="Q45">
        <v>129.12913</v>
      </c>
      <c r="R45">
        <v>127.91347</v>
      </c>
      <c r="S45">
        <v>128.79850999999999</v>
      </c>
      <c r="T45">
        <v>129.52054999999999</v>
      </c>
      <c r="U45">
        <v>128.02195</v>
      </c>
      <c r="V45">
        <v>128.85514000000001</v>
      </c>
      <c r="W45">
        <v>129.58838</v>
      </c>
    </row>
    <row r="46" spans="1:23" x14ac:dyDescent="0.25">
      <c r="A46">
        <v>45</v>
      </c>
      <c r="B46" t="s">
        <v>127</v>
      </c>
      <c r="C46">
        <v>100.44453</v>
      </c>
      <c r="D46">
        <v>101.13518999999999</v>
      </c>
      <c r="E46">
        <v>101.98316</v>
      </c>
      <c r="F46">
        <v>100.548</v>
      </c>
      <c r="G46">
        <v>101.23643</v>
      </c>
      <c r="H46">
        <v>102.05771</v>
      </c>
      <c r="I46">
        <v>100.61842</v>
      </c>
      <c r="J46">
        <v>101.30056</v>
      </c>
      <c r="K46">
        <v>102.05691</v>
      </c>
      <c r="L46">
        <v>100.69437000000001</v>
      </c>
      <c r="M46">
        <v>101.35321</v>
      </c>
      <c r="N46">
        <v>102.13433000000001</v>
      </c>
      <c r="O46">
        <v>100.7131</v>
      </c>
      <c r="P46">
        <v>101.3681</v>
      </c>
      <c r="Q46">
        <v>102.13714</v>
      </c>
      <c r="R46">
        <v>100.71</v>
      </c>
      <c r="S46">
        <v>101.30109</v>
      </c>
      <c r="T46">
        <v>102.0819</v>
      </c>
      <c r="U46">
        <v>100.61537</v>
      </c>
      <c r="V46">
        <v>101.25</v>
      </c>
      <c r="W46">
        <v>102.06774</v>
      </c>
    </row>
    <row r="47" spans="1:23" x14ac:dyDescent="0.25">
      <c r="A47">
        <v>46</v>
      </c>
      <c r="B47" t="s">
        <v>128</v>
      </c>
      <c r="C47">
        <v>102.3472</v>
      </c>
      <c r="D47">
        <v>102.99485</v>
      </c>
      <c r="E47">
        <v>103.57586000000001</v>
      </c>
      <c r="F47">
        <v>102.41985</v>
      </c>
      <c r="G47">
        <v>103.07091</v>
      </c>
      <c r="H47">
        <v>103.72545</v>
      </c>
      <c r="I47">
        <v>102.51130000000001</v>
      </c>
      <c r="J47">
        <v>103.19232</v>
      </c>
      <c r="K47">
        <v>103.95205</v>
      </c>
      <c r="L47">
        <v>102.58417</v>
      </c>
      <c r="M47">
        <v>103.29609000000001</v>
      </c>
      <c r="N47">
        <v>103.98101</v>
      </c>
      <c r="O47">
        <v>102.64088</v>
      </c>
      <c r="P47">
        <v>103.3689</v>
      </c>
      <c r="Q47">
        <v>104.01193000000001</v>
      </c>
      <c r="R47">
        <v>102.68</v>
      </c>
      <c r="S47">
        <v>103.43606</v>
      </c>
      <c r="T47">
        <v>104.06444</v>
      </c>
      <c r="U47">
        <v>102.59772</v>
      </c>
      <c r="V47">
        <v>103.42527</v>
      </c>
      <c r="W47">
        <v>104.065</v>
      </c>
    </row>
    <row r="48" spans="1:23" x14ac:dyDescent="0.25">
      <c r="A48">
        <v>47</v>
      </c>
      <c r="B48" t="s">
        <v>129</v>
      </c>
      <c r="C48">
        <v>136.24368999999999</v>
      </c>
      <c r="D48">
        <v>137.80453</v>
      </c>
      <c r="E48">
        <v>140.36748</v>
      </c>
      <c r="F48">
        <v>136.77278000000001</v>
      </c>
      <c r="G48">
        <v>137.94301999999999</v>
      </c>
      <c r="H48">
        <v>139.61902000000001</v>
      </c>
      <c r="I48">
        <v>137.13667000000001</v>
      </c>
      <c r="J48">
        <v>137.87429</v>
      </c>
      <c r="K48">
        <v>139.56443999999999</v>
      </c>
      <c r="L48">
        <v>137.06529</v>
      </c>
      <c r="M48">
        <v>137.80437000000001</v>
      </c>
      <c r="N48">
        <v>139.41103000000001</v>
      </c>
      <c r="O48">
        <v>137.17256</v>
      </c>
      <c r="P48">
        <v>137.96714</v>
      </c>
      <c r="Q48">
        <v>139.54333</v>
      </c>
      <c r="R48">
        <v>137.24741</v>
      </c>
      <c r="S48">
        <v>138.125</v>
      </c>
      <c r="T48">
        <v>140.40544</v>
      </c>
      <c r="U48">
        <v>137.20694</v>
      </c>
      <c r="V48">
        <v>138.12727000000001</v>
      </c>
      <c r="W48">
        <v>140.1482</v>
      </c>
    </row>
    <row r="49" spans="1:23" x14ac:dyDescent="0.25">
      <c r="A49">
        <v>48</v>
      </c>
      <c r="B49" t="s">
        <v>130</v>
      </c>
      <c r="C49">
        <v>80.195390000000003</v>
      </c>
      <c r="D49">
        <v>80.69</v>
      </c>
      <c r="E49">
        <v>82.195449999999994</v>
      </c>
      <c r="F49">
        <v>79.71123</v>
      </c>
      <c r="G49">
        <v>80.52852</v>
      </c>
      <c r="H49">
        <v>82.06</v>
      </c>
      <c r="I49">
        <v>79.576340000000002</v>
      </c>
      <c r="J49">
        <v>80.425110000000004</v>
      </c>
      <c r="K49">
        <v>81.905119999999997</v>
      </c>
      <c r="L49">
        <v>79.64385</v>
      </c>
      <c r="M49">
        <v>80.410529999999994</v>
      </c>
      <c r="N49">
        <v>81.519549999999995</v>
      </c>
      <c r="O49">
        <v>79.73648</v>
      </c>
      <c r="P49">
        <v>80.515940000000001</v>
      </c>
      <c r="Q49">
        <v>81.821219999999997</v>
      </c>
      <c r="R49">
        <v>79.823980000000006</v>
      </c>
      <c r="S49">
        <v>80.680000000000007</v>
      </c>
      <c r="T49">
        <v>81.850610000000003</v>
      </c>
      <c r="U49">
        <v>79.83</v>
      </c>
      <c r="V49">
        <v>80.692220000000006</v>
      </c>
      <c r="W49">
        <v>81.877330000000001</v>
      </c>
    </row>
    <row r="50" spans="1:23" x14ac:dyDescent="0.25">
      <c r="A50">
        <v>49</v>
      </c>
      <c r="B50" t="s">
        <v>44</v>
      </c>
      <c r="C50">
        <v>67.782219999999995</v>
      </c>
      <c r="D50">
        <v>68.148060000000001</v>
      </c>
      <c r="E50">
        <v>68.45487</v>
      </c>
      <c r="F50">
        <v>67.719070000000002</v>
      </c>
      <c r="G50">
        <v>68.14</v>
      </c>
      <c r="H50">
        <v>68.471760000000003</v>
      </c>
      <c r="I50">
        <v>67.760599999999997</v>
      </c>
      <c r="J50">
        <v>68.179090000000002</v>
      </c>
      <c r="K50">
        <v>68.528649999999999</v>
      </c>
      <c r="L50">
        <v>67.799840000000003</v>
      </c>
      <c r="M50">
        <v>68.207419999999999</v>
      </c>
      <c r="N50">
        <v>68.561679999999996</v>
      </c>
      <c r="O50">
        <v>67.83</v>
      </c>
      <c r="P50">
        <v>68.265169999999998</v>
      </c>
      <c r="Q50">
        <v>68.614840000000001</v>
      </c>
      <c r="R50">
        <v>67.86936</v>
      </c>
      <c r="S50">
        <v>68.325580000000002</v>
      </c>
      <c r="T50">
        <v>68.670060000000007</v>
      </c>
      <c r="U50">
        <v>67.871660000000006</v>
      </c>
      <c r="V50">
        <v>68.341669999999993</v>
      </c>
      <c r="W50">
        <v>68.69</v>
      </c>
    </row>
    <row r="51" spans="1:23" x14ac:dyDescent="0.25">
      <c r="A51">
        <v>50</v>
      </c>
      <c r="B51" t="s">
        <v>131</v>
      </c>
      <c r="C51">
        <v>85.051789999999997</v>
      </c>
      <c r="D51">
        <v>88.18</v>
      </c>
      <c r="E51">
        <v>89.629249999999999</v>
      </c>
      <c r="F51">
        <v>85.11909</v>
      </c>
      <c r="G51">
        <v>87.737930000000006</v>
      </c>
      <c r="H51">
        <v>89.53313</v>
      </c>
      <c r="I51">
        <v>85.091200000000001</v>
      </c>
      <c r="J51">
        <v>86.905850000000001</v>
      </c>
      <c r="K51">
        <v>89.467330000000004</v>
      </c>
      <c r="L51">
        <v>85.022000000000006</v>
      </c>
      <c r="M51">
        <v>86.31</v>
      </c>
      <c r="N51">
        <v>89.386499999999998</v>
      </c>
      <c r="O51">
        <v>85.084000000000003</v>
      </c>
      <c r="P51">
        <v>86.58</v>
      </c>
      <c r="Q51">
        <v>89.199730000000002</v>
      </c>
      <c r="R51">
        <v>85.177999999999997</v>
      </c>
      <c r="S51">
        <v>86.861670000000004</v>
      </c>
      <c r="T51">
        <v>88.929109999999994</v>
      </c>
      <c r="U51">
        <v>85.23</v>
      </c>
      <c r="V51">
        <v>86.899460000000005</v>
      </c>
      <c r="W51">
        <v>88.968180000000004</v>
      </c>
    </row>
    <row r="52" spans="1:23" x14ac:dyDescent="0.25">
      <c r="A52">
        <v>51</v>
      </c>
      <c r="B52" t="s">
        <v>132</v>
      </c>
      <c r="C52">
        <v>47.643430000000002</v>
      </c>
      <c r="D52">
        <v>48.206000000000003</v>
      </c>
      <c r="E52">
        <v>48.51</v>
      </c>
      <c r="F52">
        <v>47.63</v>
      </c>
      <c r="G52">
        <v>48.208820000000003</v>
      </c>
      <c r="H52">
        <v>48.518000000000001</v>
      </c>
      <c r="I52">
        <v>47.743429999999996</v>
      </c>
      <c r="J52">
        <v>48.21266</v>
      </c>
      <c r="K52">
        <v>48.51</v>
      </c>
      <c r="L52">
        <v>47.801670000000001</v>
      </c>
      <c r="M52">
        <v>48.22</v>
      </c>
      <c r="N52">
        <v>48.505569999999999</v>
      </c>
      <c r="O52">
        <v>47.737789999999997</v>
      </c>
      <c r="P52">
        <v>48.2</v>
      </c>
      <c r="Q52">
        <v>48.48</v>
      </c>
      <c r="R52">
        <v>47.074289999999998</v>
      </c>
      <c r="S52">
        <v>48.14</v>
      </c>
      <c r="T52">
        <v>48.445880000000002</v>
      </c>
      <c r="U52">
        <v>46.967329999999997</v>
      </c>
      <c r="V52">
        <v>48.097499999999997</v>
      </c>
      <c r="W52">
        <v>48.427500000000002</v>
      </c>
    </row>
    <row r="53" spans="1:23" x14ac:dyDescent="0.25">
      <c r="A53">
        <v>52</v>
      </c>
      <c r="B53" t="s">
        <v>40</v>
      </c>
      <c r="C53">
        <v>84.063850000000002</v>
      </c>
      <c r="D53">
        <v>84.334410000000005</v>
      </c>
      <c r="E53">
        <v>84.543610000000001</v>
      </c>
      <c r="F53">
        <v>84.067520000000002</v>
      </c>
      <c r="G53">
        <v>84.337270000000004</v>
      </c>
      <c r="H53">
        <v>84.539240000000007</v>
      </c>
      <c r="I53">
        <v>84.102180000000004</v>
      </c>
      <c r="J53">
        <v>84.356470000000002</v>
      </c>
      <c r="K53">
        <v>84.57</v>
      </c>
      <c r="L53">
        <v>84.13364</v>
      </c>
      <c r="M53">
        <v>84.400649999999999</v>
      </c>
      <c r="N53">
        <v>84.626840000000001</v>
      </c>
      <c r="O53">
        <v>84.154060000000001</v>
      </c>
      <c r="P53">
        <v>84.434920000000005</v>
      </c>
      <c r="Q53">
        <v>84.711699999999993</v>
      </c>
      <c r="R53">
        <v>84.177189999999996</v>
      </c>
      <c r="S53">
        <v>84.459270000000004</v>
      </c>
      <c r="T53">
        <v>84.803650000000005</v>
      </c>
      <c r="U53">
        <v>84.196129999999997</v>
      </c>
      <c r="V53">
        <v>84.49</v>
      </c>
      <c r="W53">
        <v>84.843800000000002</v>
      </c>
    </row>
    <row r="54" spans="1:23" x14ac:dyDescent="0.25">
      <c r="A54">
        <v>53</v>
      </c>
      <c r="B54" t="s">
        <v>133</v>
      </c>
      <c r="C54">
        <v>91.481039999999993</v>
      </c>
      <c r="D54">
        <v>92.373350000000002</v>
      </c>
      <c r="E54">
        <v>93.626130000000003</v>
      </c>
      <c r="F54">
        <v>91.354320000000001</v>
      </c>
      <c r="G54">
        <v>92.111249999999998</v>
      </c>
      <c r="H54">
        <v>93.13</v>
      </c>
      <c r="I54">
        <v>91.201139999999995</v>
      </c>
      <c r="J54">
        <v>91.963250000000002</v>
      </c>
      <c r="K54">
        <v>93.017139999999998</v>
      </c>
      <c r="L54">
        <v>91.306219999999996</v>
      </c>
      <c r="M54">
        <v>91.984650000000002</v>
      </c>
      <c r="N54">
        <v>93.074759999999998</v>
      </c>
      <c r="O54">
        <v>91.376499999999993</v>
      </c>
      <c r="P54">
        <v>92.211100000000002</v>
      </c>
      <c r="Q54">
        <v>94.688919999999996</v>
      </c>
      <c r="R54">
        <v>91.458950000000002</v>
      </c>
      <c r="S54">
        <v>92.48706</v>
      </c>
      <c r="T54">
        <v>95.757189999999994</v>
      </c>
      <c r="U54">
        <v>91.476979999999998</v>
      </c>
      <c r="V54">
        <v>92.636600000000001</v>
      </c>
      <c r="W54">
        <v>95.75</v>
      </c>
    </row>
    <row r="55" spans="1:23" x14ac:dyDescent="0.25">
      <c r="A55">
        <v>54</v>
      </c>
      <c r="B55" t="s">
        <v>56</v>
      </c>
      <c r="C55">
        <v>88.320710000000005</v>
      </c>
      <c r="D55">
        <v>89.030680000000004</v>
      </c>
      <c r="E55">
        <v>90.097930000000005</v>
      </c>
      <c r="F55">
        <v>88.201009999999997</v>
      </c>
      <c r="G55">
        <v>88.957220000000007</v>
      </c>
      <c r="H55">
        <v>90.017200000000003</v>
      </c>
      <c r="I55">
        <v>88.24</v>
      </c>
      <c r="J55">
        <v>89.179640000000006</v>
      </c>
      <c r="K55">
        <v>90.187659999999994</v>
      </c>
      <c r="L55">
        <v>88.329430000000002</v>
      </c>
      <c r="M55">
        <v>89.331360000000004</v>
      </c>
      <c r="N55">
        <v>91.077449999999999</v>
      </c>
      <c r="O55">
        <v>88.38</v>
      </c>
      <c r="P55">
        <v>89.584289999999996</v>
      </c>
      <c r="Q55">
        <v>91.700810000000004</v>
      </c>
      <c r="R55">
        <v>88.45975</v>
      </c>
      <c r="S55">
        <v>89.86815</v>
      </c>
      <c r="T55">
        <v>91.976730000000003</v>
      </c>
      <c r="U55">
        <v>88.550060000000002</v>
      </c>
      <c r="V55">
        <v>89.975809999999996</v>
      </c>
      <c r="W55">
        <v>91.992040000000003</v>
      </c>
    </row>
    <row r="56" spans="1:23" x14ac:dyDescent="0.25">
      <c r="A56">
        <v>55</v>
      </c>
      <c r="B56" t="s">
        <v>134</v>
      </c>
      <c r="C56">
        <v>37.318680000000001</v>
      </c>
      <c r="D56">
        <v>38.642000000000003</v>
      </c>
      <c r="E56">
        <v>40.380000000000003</v>
      </c>
      <c r="F56">
        <v>36.917169999999999</v>
      </c>
      <c r="G56">
        <v>38.17286</v>
      </c>
      <c r="H56">
        <v>40.253329999999998</v>
      </c>
      <c r="I56">
        <v>36.657179999999997</v>
      </c>
      <c r="J56">
        <v>37.81</v>
      </c>
      <c r="K56">
        <v>40.155000000000001</v>
      </c>
      <c r="L56">
        <v>36.409999999999997</v>
      </c>
      <c r="M56">
        <v>37.575000000000003</v>
      </c>
      <c r="N56">
        <v>40.001350000000002</v>
      </c>
      <c r="O56">
        <v>36.267499999999998</v>
      </c>
      <c r="P56">
        <v>37.39</v>
      </c>
      <c r="Q56">
        <v>39.73189</v>
      </c>
      <c r="R56">
        <v>36.192</v>
      </c>
      <c r="S56">
        <v>37.262500000000003</v>
      </c>
      <c r="T56">
        <v>39.395150000000001</v>
      </c>
      <c r="U56">
        <v>36.076000000000001</v>
      </c>
      <c r="V56">
        <v>37.208889999999997</v>
      </c>
      <c r="W56">
        <v>39.21705</v>
      </c>
    </row>
    <row r="57" spans="1:23" x14ac:dyDescent="0.25">
      <c r="A57">
        <v>56</v>
      </c>
      <c r="B57" t="s">
        <v>49</v>
      </c>
      <c r="C57">
        <v>130.10029</v>
      </c>
      <c r="D57">
        <v>130.89676</v>
      </c>
      <c r="E57">
        <v>131.50628</v>
      </c>
      <c r="F57">
        <v>130.23765</v>
      </c>
      <c r="G57">
        <v>130.96382</v>
      </c>
      <c r="H57">
        <v>131.51973000000001</v>
      </c>
      <c r="I57">
        <v>130.36964</v>
      </c>
      <c r="J57">
        <v>131.00869</v>
      </c>
      <c r="K57">
        <v>131.51857000000001</v>
      </c>
      <c r="L57">
        <v>130.45643000000001</v>
      </c>
      <c r="M57">
        <v>131.16944000000001</v>
      </c>
      <c r="N57">
        <v>131.57138</v>
      </c>
      <c r="O57">
        <v>130.54</v>
      </c>
      <c r="P57">
        <v>131.26124999999999</v>
      </c>
      <c r="Q57">
        <v>131.69217</v>
      </c>
      <c r="R57">
        <v>130.59553</v>
      </c>
      <c r="S57">
        <v>131.34025</v>
      </c>
      <c r="T57">
        <v>131.85423</v>
      </c>
      <c r="U57">
        <v>130.63538</v>
      </c>
      <c r="V57">
        <v>131.38249999999999</v>
      </c>
      <c r="W57">
        <v>131.96583999999999</v>
      </c>
    </row>
    <row r="58" spans="1:23" x14ac:dyDescent="0.25">
      <c r="A58">
        <v>57</v>
      </c>
      <c r="B58" t="s">
        <v>135</v>
      </c>
      <c r="C58">
        <v>57.42794</v>
      </c>
      <c r="D58">
        <v>60.265000000000001</v>
      </c>
      <c r="E58">
        <v>62.704349999999998</v>
      </c>
      <c r="F58">
        <v>56.823830000000001</v>
      </c>
      <c r="G58">
        <v>59.500239999999998</v>
      </c>
      <c r="H58">
        <v>62.45</v>
      </c>
      <c r="I58">
        <v>56.508490000000002</v>
      </c>
      <c r="J58">
        <v>59.4</v>
      </c>
      <c r="K58">
        <v>62.231279999999998</v>
      </c>
      <c r="L58">
        <v>56.79</v>
      </c>
      <c r="M58">
        <v>59.283329999999999</v>
      </c>
      <c r="N58">
        <v>62.221760000000003</v>
      </c>
      <c r="O58">
        <v>57.05104</v>
      </c>
      <c r="P58">
        <v>59.577849999999998</v>
      </c>
      <c r="Q58">
        <v>62.547350000000002</v>
      </c>
      <c r="R58">
        <v>57.382919999999999</v>
      </c>
      <c r="S58">
        <v>60.018949999999997</v>
      </c>
      <c r="T58">
        <v>62.511510000000001</v>
      </c>
      <c r="U58">
        <v>57.368670000000002</v>
      </c>
      <c r="V58">
        <v>60.046990000000001</v>
      </c>
      <c r="W58">
        <v>62.583329999999997</v>
      </c>
    </row>
    <row r="59" spans="1:23" x14ac:dyDescent="0.25">
      <c r="A59">
        <v>58</v>
      </c>
      <c r="B59" t="s">
        <v>136</v>
      </c>
      <c r="C59">
        <v>123.75700000000001</v>
      </c>
      <c r="D59">
        <v>123.877</v>
      </c>
      <c r="E59">
        <v>124.58792</v>
      </c>
      <c r="F59">
        <v>123.75700000000001</v>
      </c>
      <c r="G59">
        <v>123.877</v>
      </c>
      <c r="H59">
        <v>124.71956</v>
      </c>
      <c r="I59">
        <v>123.75700000000001</v>
      </c>
      <c r="J59">
        <v>123.877</v>
      </c>
      <c r="K59">
        <v>126.03861000000001</v>
      </c>
      <c r="L59">
        <v>123.75700000000001</v>
      </c>
      <c r="M59">
        <v>123.92854</v>
      </c>
      <c r="N59">
        <v>129.24700000000001</v>
      </c>
      <c r="O59">
        <v>123.75700000000001</v>
      </c>
      <c r="P59">
        <v>124.08931</v>
      </c>
      <c r="Q59">
        <v>131.75551999999999</v>
      </c>
      <c r="R59">
        <v>123.75700000000001</v>
      </c>
      <c r="S59">
        <v>124.39479</v>
      </c>
      <c r="T59">
        <v>133.017</v>
      </c>
      <c r="U59">
        <v>123.75700000000001</v>
      </c>
      <c r="V59">
        <v>124.587</v>
      </c>
      <c r="W59">
        <v>133.20804000000001</v>
      </c>
    </row>
    <row r="60" spans="1:23" x14ac:dyDescent="0.25">
      <c r="A60">
        <v>59</v>
      </c>
      <c r="B60" t="s">
        <v>137</v>
      </c>
      <c r="C60">
        <v>126.95699999999999</v>
      </c>
      <c r="D60">
        <v>129.00962000000001</v>
      </c>
      <c r="E60">
        <v>130.40090000000001</v>
      </c>
      <c r="F60">
        <v>126.95699999999999</v>
      </c>
      <c r="G60">
        <v>129.10937999999999</v>
      </c>
      <c r="H60">
        <v>131.09700000000001</v>
      </c>
      <c r="I60">
        <v>127.07271</v>
      </c>
      <c r="J60">
        <v>129.55270999999999</v>
      </c>
      <c r="K60">
        <v>132.64985999999999</v>
      </c>
      <c r="L60">
        <v>127.51075</v>
      </c>
      <c r="M60">
        <v>130.31414000000001</v>
      </c>
      <c r="N60">
        <v>133.26271</v>
      </c>
      <c r="O60">
        <v>127.94199999999999</v>
      </c>
      <c r="P60">
        <v>131.17271</v>
      </c>
      <c r="Q60">
        <v>133.29414</v>
      </c>
      <c r="R60">
        <v>128.273</v>
      </c>
      <c r="S60">
        <v>132.38271</v>
      </c>
      <c r="T60">
        <v>133.31571</v>
      </c>
      <c r="U60">
        <v>128.52699999999999</v>
      </c>
      <c r="V60">
        <v>132.58699999999999</v>
      </c>
      <c r="W60">
        <v>133.327</v>
      </c>
    </row>
    <row r="61" spans="1:23" x14ac:dyDescent="0.25">
      <c r="A61">
        <v>60</v>
      </c>
      <c r="B61" t="s">
        <v>138</v>
      </c>
      <c r="C61">
        <v>126.107</v>
      </c>
      <c r="D61">
        <v>128.96718000000001</v>
      </c>
      <c r="E61">
        <v>130.785</v>
      </c>
      <c r="F61">
        <v>126.107</v>
      </c>
      <c r="G61">
        <v>129.06879000000001</v>
      </c>
      <c r="H61">
        <v>131.11085</v>
      </c>
      <c r="I61">
        <v>126.43129</v>
      </c>
      <c r="J61">
        <v>129.59700000000001</v>
      </c>
      <c r="K61">
        <v>132.50700000000001</v>
      </c>
      <c r="L61">
        <v>126.95699999999999</v>
      </c>
      <c r="M61">
        <v>130.25271000000001</v>
      </c>
      <c r="N61">
        <v>132.96413999999999</v>
      </c>
      <c r="O61">
        <v>127.48914000000001</v>
      </c>
      <c r="P61">
        <v>131.23392000000001</v>
      </c>
      <c r="Q61">
        <v>133.21843000000001</v>
      </c>
      <c r="R61">
        <v>128.06613999999999</v>
      </c>
      <c r="S61">
        <v>132.27699999999999</v>
      </c>
      <c r="T61">
        <v>133.167</v>
      </c>
      <c r="U61">
        <v>128.45957000000001</v>
      </c>
      <c r="V61">
        <v>132.45414</v>
      </c>
      <c r="W61">
        <v>133.23699999999999</v>
      </c>
    </row>
    <row r="62" spans="1:23" x14ac:dyDescent="0.25">
      <c r="A62">
        <v>61</v>
      </c>
      <c r="B62" t="s">
        <v>139</v>
      </c>
      <c r="C62">
        <v>126.80833</v>
      </c>
      <c r="D62">
        <v>128.93629000000001</v>
      </c>
      <c r="E62">
        <v>130.49207999999999</v>
      </c>
      <c r="F62">
        <v>126.88791999999999</v>
      </c>
      <c r="G62">
        <v>129.06052</v>
      </c>
      <c r="H62">
        <v>130.90069</v>
      </c>
      <c r="I62">
        <v>127.37238000000001</v>
      </c>
      <c r="J62">
        <v>129.78738000000001</v>
      </c>
      <c r="K62">
        <v>132.85991999999999</v>
      </c>
      <c r="L62">
        <v>127.88459</v>
      </c>
      <c r="M62">
        <v>130.36612</v>
      </c>
      <c r="N62">
        <v>133.44431</v>
      </c>
      <c r="O62">
        <v>128.16162</v>
      </c>
      <c r="P62">
        <v>130.99607</v>
      </c>
      <c r="Q62">
        <v>133.77685</v>
      </c>
      <c r="R62">
        <v>128.38437999999999</v>
      </c>
      <c r="S62">
        <v>132.52699999999999</v>
      </c>
      <c r="T62">
        <v>133.84700000000001</v>
      </c>
      <c r="U62">
        <v>128.56992</v>
      </c>
      <c r="V62">
        <v>132.947</v>
      </c>
      <c r="W62">
        <v>133.87700000000001</v>
      </c>
    </row>
    <row r="63" spans="1:23" x14ac:dyDescent="0.25">
      <c r="A63">
        <v>62</v>
      </c>
      <c r="B63" t="s">
        <v>140</v>
      </c>
      <c r="C63">
        <v>126.70066</v>
      </c>
      <c r="D63">
        <v>129.41703000000001</v>
      </c>
      <c r="E63">
        <v>130.27885000000001</v>
      </c>
      <c r="F63">
        <v>125.727</v>
      </c>
      <c r="G63">
        <v>129.32085000000001</v>
      </c>
      <c r="H63">
        <v>130.52967000000001</v>
      </c>
      <c r="I63">
        <v>126.277</v>
      </c>
      <c r="J63">
        <v>129.75941</v>
      </c>
      <c r="K63">
        <v>132.80655999999999</v>
      </c>
      <c r="L63">
        <v>127.04576</v>
      </c>
      <c r="M63">
        <v>130.11699999999999</v>
      </c>
      <c r="N63">
        <v>133.45366999999999</v>
      </c>
      <c r="O63">
        <v>127.4885</v>
      </c>
      <c r="P63">
        <v>130.59737999999999</v>
      </c>
      <c r="Q63">
        <v>133.72515000000001</v>
      </c>
      <c r="R63">
        <v>127.87669</v>
      </c>
      <c r="S63">
        <v>132.12622999999999</v>
      </c>
      <c r="T63">
        <v>133.77941999999999</v>
      </c>
      <c r="U63">
        <v>128.41222999999999</v>
      </c>
      <c r="V63">
        <v>132.952</v>
      </c>
      <c r="W63">
        <v>133.82499999999999</v>
      </c>
    </row>
    <row r="64" spans="1:23" x14ac:dyDescent="0.25">
      <c r="A64">
        <v>63</v>
      </c>
      <c r="B64" t="s">
        <v>141</v>
      </c>
      <c r="C64">
        <v>125.45129</v>
      </c>
      <c r="D64">
        <v>129.94771</v>
      </c>
      <c r="E64">
        <v>131.52071000000001</v>
      </c>
      <c r="F64">
        <v>123.877</v>
      </c>
      <c r="G64">
        <v>130.01676</v>
      </c>
      <c r="H64">
        <v>131.8295</v>
      </c>
      <c r="I64">
        <v>125.595</v>
      </c>
      <c r="J64">
        <v>130.357</v>
      </c>
      <c r="K64">
        <v>131.97391999999999</v>
      </c>
      <c r="L64">
        <v>126.84414</v>
      </c>
      <c r="M64">
        <v>130.69271000000001</v>
      </c>
      <c r="N64">
        <v>132.37700000000001</v>
      </c>
      <c r="O64">
        <v>127.959</v>
      </c>
      <c r="P64">
        <v>131.07129</v>
      </c>
      <c r="Q64">
        <v>133.32557</v>
      </c>
      <c r="R64">
        <v>128.82871</v>
      </c>
      <c r="S64">
        <v>131.29007999999999</v>
      </c>
      <c r="T64">
        <v>133.45057</v>
      </c>
      <c r="U64">
        <v>128.97729000000001</v>
      </c>
      <c r="V64">
        <v>131.33699999999999</v>
      </c>
      <c r="W64">
        <v>133.51757000000001</v>
      </c>
    </row>
    <row r="65" spans="1:23" x14ac:dyDescent="0.25">
      <c r="A65">
        <v>64</v>
      </c>
      <c r="B65" t="s">
        <v>142</v>
      </c>
      <c r="C65">
        <v>128.11129</v>
      </c>
      <c r="D65">
        <v>129.89985999999999</v>
      </c>
      <c r="E65">
        <v>131.27757</v>
      </c>
      <c r="F65">
        <v>128.13200000000001</v>
      </c>
      <c r="G65">
        <v>129.98414</v>
      </c>
      <c r="H65">
        <v>131.92699999999999</v>
      </c>
      <c r="I65">
        <v>128.3595</v>
      </c>
      <c r="J65">
        <v>130.36556999999999</v>
      </c>
      <c r="K65">
        <v>132.95985999999999</v>
      </c>
      <c r="L65">
        <v>128.59747999999999</v>
      </c>
      <c r="M65">
        <v>130.90293</v>
      </c>
      <c r="N65">
        <v>133.477</v>
      </c>
      <c r="O65">
        <v>128.80413999999999</v>
      </c>
      <c r="P65">
        <v>131.34367</v>
      </c>
      <c r="Q65">
        <v>133.66986</v>
      </c>
      <c r="R65">
        <v>129.029</v>
      </c>
      <c r="S65">
        <v>131.94367</v>
      </c>
      <c r="T65">
        <v>133.69986</v>
      </c>
      <c r="U65">
        <v>129.13729000000001</v>
      </c>
      <c r="V65">
        <v>132.03700000000001</v>
      </c>
      <c r="W65">
        <v>133.74257</v>
      </c>
    </row>
    <row r="66" spans="1:23" x14ac:dyDescent="0.25">
      <c r="A66">
        <v>65</v>
      </c>
      <c r="B66" t="s">
        <v>143</v>
      </c>
      <c r="C66">
        <v>127.157</v>
      </c>
      <c r="D66">
        <v>127.66557</v>
      </c>
      <c r="E66">
        <v>130.24357000000001</v>
      </c>
      <c r="F66">
        <v>127.157</v>
      </c>
      <c r="G66">
        <v>127.98629</v>
      </c>
      <c r="H66">
        <v>131.04843</v>
      </c>
      <c r="I66">
        <v>127.15913999999999</v>
      </c>
      <c r="J66">
        <v>128.33699999999999</v>
      </c>
      <c r="K66">
        <v>131.75843</v>
      </c>
      <c r="L66">
        <v>127.167</v>
      </c>
      <c r="M66">
        <v>129.25414000000001</v>
      </c>
      <c r="N66">
        <v>133.09700000000001</v>
      </c>
      <c r="O66">
        <v>127.167</v>
      </c>
      <c r="P66">
        <v>130.11699999999999</v>
      </c>
      <c r="Q66">
        <v>133.64699999999999</v>
      </c>
      <c r="R66">
        <v>127.167</v>
      </c>
      <c r="S66">
        <v>130.52699999999999</v>
      </c>
      <c r="T66">
        <v>133.67699999999999</v>
      </c>
      <c r="U66">
        <v>127.197</v>
      </c>
      <c r="V66">
        <v>130.55699999999999</v>
      </c>
      <c r="W66">
        <v>133.74043</v>
      </c>
    </row>
    <row r="67" spans="1:23" x14ac:dyDescent="0.25">
      <c r="A67">
        <v>66</v>
      </c>
      <c r="B67" t="s">
        <v>144</v>
      </c>
      <c r="C67">
        <v>98.89</v>
      </c>
      <c r="D67">
        <v>99.344549999999998</v>
      </c>
      <c r="E67">
        <v>100.04286</v>
      </c>
      <c r="F67">
        <v>98.94511</v>
      </c>
      <c r="G67">
        <v>99.420869999999994</v>
      </c>
      <c r="H67">
        <v>100.06746</v>
      </c>
      <c r="I67">
        <v>99.025379999999998</v>
      </c>
      <c r="J67">
        <v>99.512169999999998</v>
      </c>
      <c r="K67">
        <v>100.08307000000001</v>
      </c>
      <c r="L67">
        <v>99.07</v>
      </c>
      <c r="M67">
        <v>99.547650000000004</v>
      </c>
      <c r="N67">
        <v>100.10444</v>
      </c>
      <c r="O67">
        <v>99.113330000000005</v>
      </c>
      <c r="P67">
        <v>99.608890000000002</v>
      </c>
      <c r="Q67">
        <v>100.12069</v>
      </c>
      <c r="R67">
        <v>99.141750000000002</v>
      </c>
      <c r="S67">
        <v>99.711129999999997</v>
      </c>
      <c r="T67">
        <v>100.13</v>
      </c>
      <c r="U67">
        <v>99.141199999999998</v>
      </c>
      <c r="V67">
        <v>99.712760000000003</v>
      </c>
      <c r="W67">
        <v>100.13</v>
      </c>
    </row>
    <row r="68" spans="1:23" x14ac:dyDescent="0.25">
      <c r="A68">
        <v>67</v>
      </c>
      <c r="B68" t="s">
        <v>145</v>
      </c>
      <c r="C68">
        <v>138.44171</v>
      </c>
      <c r="D68">
        <v>139.73076</v>
      </c>
      <c r="E68">
        <v>140.59569999999999</v>
      </c>
      <c r="F68">
        <v>138.57891000000001</v>
      </c>
      <c r="G68">
        <v>140.00434999999999</v>
      </c>
      <c r="H68">
        <v>140.61677</v>
      </c>
      <c r="I68">
        <v>138.80659</v>
      </c>
      <c r="J68">
        <v>140.13333</v>
      </c>
      <c r="K68">
        <v>140.69333</v>
      </c>
      <c r="L68">
        <v>138.95103</v>
      </c>
      <c r="M68">
        <v>140.19286</v>
      </c>
      <c r="N68">
        <v>140.73414</v>
      </c>
      <c r="O68">
        <v>139.13457</v>
      </c>
      <c r="P68">
        <v>140.21951999999999</v>
      </c>
      <c r="Q68">
        <v>140.71333000000001</v>
      </c>
      <c r="R68">
        <v>139.30652000000001</v>
      </c>
      <c r="S68">
        <v>140.26859999999999</v>
      </c>
      <c r="T68">
        <v>140.67693</v>
      </c>
      <c r="U68">
        <v>139.35953000000001</v>
      </c>
      <c r="V68">
        <v>140.25707</v>
      </c>
      <c r="W68">
        <v>140.62635</v>
      </c>
    </row>
    <row r="69" spans="1:23" x14ac:dyDescent="0.25">
      <c r="A69">
        <v>68</v>
      </c>
      <c r="B69" t="s">
        <v>146</v>
      </c>
      <c r="C69">
        <v>0</v>
      </c>
      <c r="D69">
        <v>112.13056</v>
      </c>
      <c r="E69">
        <v>116.7527</v>
      </c>
      <c r="F69">
        <v>0</v>
      </c>
      <c r="G69">
        <v>112.39785999999999</v>
      </c>
      <c r="H69">
        <v>116.24961</v>
      </c>
      <c r="I69">
        <v>0</v>
      </c>
      <c r="J69">
        <v>112.74666999999999</v>
      </c>
      <c r="K69">
        <v>116.7749</v>
      </c>
      <c r="L69">
        <v>0</v>
      </c>
      <c r="M69">
        <v>113.61227</v>
      </c>
      <c r="N69">
        <v>117.12645000000001</v>
      </c>
      <c r="O69">
        <v>0</v>
      </c>
      <c r="P69">
        <v>114.86091</v>
      </c>
      <c r="Q69">
        <v>117.28140999999999</v>
      </c>
      <c r="R69">
        <v>0</v>
      </c>
      <c r="S69">
        <v>116.12286</v>
      </c>
      <c r="T69">
        <v>117.27166</v>
      </c>
      <c r="U69">
        <v>59.687559999999998</v>
      </c>
      <c r="V69">
        <v>116.46831</v>
      </c>
      <c r="W69">
        <v>117.3096</v>
      </c>
    </row>
    <row r="70" spans="1:23" x14ac:dyDescent="0.25">
      <c r="A70">
        <v>69</v>
      </c>
      <c r="B70" t="s">
        <v>147</v>
      </c>
      <c r="C70">
        <v>0</v>
      </c>
      <c r="D70">
        <v>111.25145999999999</v>
      </c>
      <c r="E70">
        <v>117.23757000000001</v>
      </c>
      <c r="F70">
        <v>0</v>
      </c>
      <c r="G70">
        <v>115.32183999999999</v>
      </c>
      <c r="H70">
        <v>117.20766999999999</v>
      </c>
      <c r="I70">
        <v>0</v>
      </c>
      <c r="J70">
        <v>115.90075</v>
      </c>
      <c r="K70">
        <v>117.816</v>
      </c>
      <c r="L70">
        <v>0</v>
      </c>
      <c r="M70">
        <v>116.39108</v>
      </c>
      <c r="N70">
        <v>118.47252</v>
      </c>
      <c r="O70">
        <v>0</v>
      </c>
      <c r="P70">
        <v>116.71254</v>
      </c>
      <c r="Q70">
        <v>118.59338</v>
      </c>
      <c r="R70">
        <v>0</v>
      </c>
      <c r="S70">
        <v>117.20471000000001</v>
      </c>
      <c r="T70">
        <v>118.82984999999999</v>
      </c>
      <c r="U70">
        <v>61.350670000000001</v>
      </c>
      <c r="V70">
        <v>117.37124</v>
      </c>
      <c r="W70">
        <v>118.93125000000001</v>
      </c>
    </row>
    <row r="71" spans="1:23" x14ac:dyDescent="0.25">
      <c r="A71">
        <v>70</v>
      </c>
      <c r="B71" t="s">
        <v>148</v>
      </c>
      <c r="C71">
        <v>123.31583999999999</v>
      </c>
      <c r="D71">
        <v>124.25552999999999</v>
      </c>
      <c r="E71">
        <v>125.27498</v>
      </c>
      <c r="F71">
        <v>123.26387</v>
      </c>
      <c r="G71">
        <v>124.15787</v>
      </c>
      <c r="H71">
        <v>125.16455000000001</v>
      </c>
      <c r="I71">
        <v>123.18</v>
      </c>
      <c r="J71">
        <v>124.19239</v>
      </c>
      <c r="K71">
        <v>125.2987</v>
      </c>
      <c r="L71">
        <v>123.33627</v>
      </c>
      <c r="M71">
        <v>124.47141000000001</v>
      </c>
      <c r="N71">
        <v>125.4448</v>
      </c>
      <c r="O71">
        <v>123.48333</v>
      </c>
      <c r="P71">
        <v>124.7088</v>
      </c>
      <c r="Q71">
        <v>125.79609000000001</v>
      </c>
      <c r="R71">
        <v>123.62452</v>
      </c>
      <c r="S71">
        <v>124.93635</v>
      </c>
      <c r="T71">
        <v>126.16346</v>
      </c>
      <c r="U71">
        <v>123.73748000000001</v>
      </c>
      <c r="V71">
        <v>125.09</v>
      </c>
      <c r="W71">
        <v>126.32245</v>
      </c>
    </row>
    <row r="72" spans="1:23" x14ac:dyDescent="0.25">
      <c r="A72">
        <v>71</v>
      </c>
      <c r="B72" t="s">
        <v>149</v>
      </c>
      <c r="C72">
        <v>96.789540000000002</v>
      </c>
      <c r="D72">
        <v>125.02826</v>
      </c>
      <c r="E72">
        <v>125.79369</v>
      </c>
      <c r="F72">
        <v>121.86654</v>
      </c>
      <c r="G72">
        <v>124.88893</v>
      </c>
      <c r="H72">
        <v>125.61288999999999</v>
      </c>
      <c r="I72">
        <v>121.86654</v>
      </c>
      <c r="J72">
        <v>124.88893</v>
      </c>
      <c r="K72">
        <v>125.61288999999999</v>
      </c>
      <c r="L72">
        <v>121.86654</v>
      </c>
      <c r="M72">
        <v>124.88893</v>
      </c>
      <c r="N72">
        <v>125.61288999999999</v>
      </c>
      <c r="O72">
        <v>121.86654</v>
      </c>
      <c r="P72">
        <v>124.88893</v>
      </c>
      <c r="Q72">
        <v>125.61288999999999</v>
      </c>
      <c r="R72">
        <v>121.86654</v>
      </c>
      <c r="S72">
        <v>124.88893</v>
      </c>
      <c r="T72">
        <v>125.61288999999999</v>
      </c>
      <c r="U72">
        <v>121.86654</v>
      </c>
      <c r="V72">
        <v>124.88893</v>
      </c>
      <c r="W72">
        <v>125.61288999999999</v>
      </c>
    </row>
    <row r="73" spans="1:23" x14ac:dyDescent="0.25">
      <c r="A73">
        <v>72</v>
      </c>
      <c r="B73" t="s">
        <v>150</v>
      </c>
      <c r="C73">
        <v>87.684349999999995</v>
      </c>
      <c r="D73">
        <v>87.968260000000001</v>
      </c>
      <c r="E73">
        <v>88.418400000000005</v>
      </c>
      <c r="F73">
        <v>87.613479999999996</v>
      </c>
      <c r="G73">
        <v>87.945779999999999</v>
      </c>
      <c r="H73">
        <v>88.613740000000007</v>
      </c>
      <c r="I73">
        <v>87.661630000000002</v>
      </c>
      <c r="J73">
        <v>88.105930000000001</v>
      </c>
      <c r="K73">
        <v>88.831119999999999</v>
      </c>
      <c r="L73">
        <v>87.699780000000004</v>
      </c>
      <c r="M73">
        <v>88.345420000000004</v>
      </c>
      <c r="N73">
        <v>89.743430000000004</v>
      </c>
      <c r="O73">
        <v>87.750630000000001</v>
      </c>
      <c r="P73">
        <v>88.633930000000007</v>
      </c>
      <c r="Q73">
        <v>90.199309999999997</v>
      </c>
      <c r="R73">
        <v>87.815460000000002</v>
      </c>
      <c r="S73">
        <v>88.838890000000006</v>
      </c>
      <c r="T73">
        <v>90.526949999999999</v>
      </c>
      <c r="U73">
        <v>87.868080000000006</v>
      </c>
      <c r="V73">
        <v>89.04</v>
      </c>
      <c r="W73">
        <v>90.556179999999998</v>
      </c>
    </row>
    <row r="74" spans="1:23" x14ac:dyDescent="0.25">
      <c r="A74">
        <v>73</v>
      </c>
      <c r="B74" t="s">
        <v>151</v>
      </c>
      <c r="C74">
        <v>70.224999999999994</v>
      </c>
      <c r="D74">
        <v>73.83</v>
      </c>
      <c r="E74">
        <v>76.534999999999997</v>
      </c>
      <c r="F74">
        <v>68.8</v>
      </c>
      <c r="G74">
        <v>73.197220000000002</v>
      </c>
      <c r="H74">
        <v>76.341539999999995</v>
      </c>
      <c r="I74">
        <v>65.57544</v>
      </c>
      <c r="J74">
        <v>72.165629999999993</v>
      </c>
      <c r="K74">
        <v>76.120800000000003</v>
      </c>
      <c r="L74">
        <v>64.338750000000005</v>
      </c>
      <c r="M74">
        <v>70.545839999999998</v>
      </c>
      <c r="N74">
        <v>75.569990000000004</v>
      </c>
      <c r="O74">
        <v>64.813749999999999</v>
      </c>
      <c r="P74">
        <v>69.888999999999996</v>
      </c>
      <c r="Q74">
        <v>75.09</v>
      </c>
      <c r="R74">
        <v>65.209999999999994</v>
      </c>
      <c r="S74">
        <v>69.240679999999998</v>
      </c>
      <c r="T74">
        <v>74.69</v>
      </c>
      <c r="U74">
        <v>64.543329999999997</v>
      </c>
      <c r="V74">
        <v>69.06</v>
      </c>
      <c r="W74">
        <v>74.614999999999995</v>
      </c>
    </row>
    <row r="75" spans="1:23" x14ac:dyDescent="0.25">
      <c r="A75">
        <v>74</v>
      </c>
      <c r="B75" t="s">
        <v>152</v>
      </c>
      <c r="C75">
        <v>121.65</v>
      </c>
      <c r="D75">
        <v>122.76</v>
      </c>
      <c r="E75">
        <v>125.33</v>
      </c>
      <c r="F75">
        <v>121.60384999999999</v>
      </c>
      <c r="G75">
        <v>122.8</v>
      </c>
      <c r="H75">
        <v>125.05</v>
      </c>
      <c r="I75">
        <v>121.33199999999999</v>
      </c>
      <c r="J75">
        <v>122.62</v>
      </c>
      <c r="K75">
        <v>124.8</v>
      </c>
      <c r="L75">
        <v>120.96</v>
      </c>
      <c r="M75">
        <v>122.6</v>
      </c>
      <c r="N75">
        <v>124.62</v>
      </c>
      <c r="O75">
        <v>121.196</v>
      </c>
      <c r="P75">
        <v>122.77500000000001</v>
      </c>
      <c r="Q75">
        <v>124.788</v>
      </c>
      <c r="R75">
        <v>121.4</v>
      </c>
      <c r="S75">
        <v>123.03</v>
      </c>
      <c r="T75">
        <v>125.3</v>
      </c>
      <c r="U75">
        <v>121.4</v>
      </c>
      <c r="V75">
        <v>122.99</v>
      </c>
      <c r="W75">
        <v>125.31</v>
      </c>
    </row>
    <row r="76" spans="1:23" x14ac:dyDescent="0.25">
      <c r="A76">
        <v>75</v>
      </c>
      <c r="B76" t="s">
        <v>153</v>
      </c>
      <c r="C76">
        <v>87.48621</v>
      </c>
      <c r="D76">
        <v>88.315169999999995</v>
      </c>
      <c r="E76">
        <v>88.829260000000005</v>
      </c>
      <c r="F76">
        <v>87.49624</v>
      </c>
      <c r="G76">
        <v>88.22645</v>
      </c>
      <c r="H76">
        <v>88.763220000000004</v>
      </c>
      <c r="I76">
        <v>87.474149999999995</v>
      </c>
      <c r="J76">
        <v>88.237120000000004</v>
      </c>
      <c r="K76">
        <v>88.794989999999999</v>
      </c>
      <c r="L76">
        <v>87.568190000000001</v>
      </c>
      <c r="M76">
        <v>88.341179999999994</v>
      </c>
      <c r="N76">
        <v>88.917929999999998</v>
      </c>
      <c r="O76">
        <v>87.650670000000005</v>
      </c>
      <c r="P76">
        <v>88.438590000000005</v>
      </c>
      <c r="Q76">
        <v>89.056989999999999</v>
      </c>
      <c r="R76">
        <v>87.719650000000001</v>
      </c>
      <c r="S76">
        <v>88.530289999999994</v>
      </c>
      <c r="T76">
        <v>89.313370000000006</v>
      </c>
      <c r="U76">
        <v>87.774289999999993</v>
      </c>
      <c r="V76">
        <v>88.568809999999999</v>
      </c>
      <c r="W76">
        <v>89.385559999999998</v>
      </c>
    </row>
    <row r="77" spans="1:23" x14ac:dyDescent="0.25">
      <c r="A77">
        <v>76</v>
      </c>
      <c r="B77" t="s">
        <v>154</v>
      </c>
      <c r="C77">
        <v>64.725999999999999</v>
      </c>
      <c r="D77">
        <v>65.98</v>
      </c>
      <c r="E77">
        <v>67.010000000000005</v>
      </c>
      <c r="F77">
        <v>64.88</v>
      </c>
      <c r="G77">
        <v>65.989999999999995</v>
      </c>
      <c r="H77">
        <v>66.811999999999998</v>
      </c>
      <c r="I77">
        <v>64.605999999999995</v>
      </c>
      <c r="J77">
        <v>66</v>
      </c>
      <c r="K77">
        <v>66.959999999999994</v>
      </c>
      <c r="L77">
        <v>64.768000000000001</v>
      </c>
      <c r="M77">
        <v>65.989999999999995</v>
      </c>
      <c r="N77">
        <v>67.132000000000005</v>
      </c>
      <c r="O77">
        <v>64.930000000000007</v>
      </c>
      <c r="P77">
        <v>66.209999999999994</v>
      </c>
      <c r="Q77">
        <v>67.400000000000006</v>
      </c>
      <c r="R77">
        <v>65.11</v>
      </c>
      <c r="S77">
        <v>66.38</v>
      </c>
      <c r="T77">
        <v>67.41</v>
      </c>
      <c r="U77">
        <v>65.099999999999994</v>
      </c>
      <c r="V77">
        <v>66.353139999999996</v>
      </c>
      <c r="W77">
        <v>67.400000000000006</v>
      </c>
    </row>
    <row r="78" spans="1:23" x14ac:dyDescent="0.25">
      <c r="A78">
        <v>77</v>
      </c>
      <c r="B78" t="s">
        <v>155</v>
      </c>
      <c r="C78">
        <v>104.85</v>
      </c>
      <c r="D78">
        <v>108.34684</v>
      </c>
      <c r="E78">
        <v>108.78700000000001</v>
      </c>
      <c r="F78">
        <v>106.93463</v>
      </c>
      <c r="G78">
        <v>108.34533</v>
      </c>
      <c r="H78">
        <v>109.12307</v>
      </c>
      <c r="I78">
        <v>107.34075</v>
      </c>
      <c r="J78">
        <v>108.53702</v>
      </c>
      <c r="K78">
        <v>110.06352</v>
      </c>
      <c r="L78">
        <v>107.78316</v>
      </c>
      <c r="M78">
        <v>108.85</v>
      </c>
      <c r="N78">
        <v>110.67456</v>
      </c>
      <c r="O78">
        <v>108.14569</v>
      </c>
      <c r="P78">
        <v>109.27571</v>
      </c>
      <c r="Q78">
        <v>111.07477</v>
      </c>
      <c r="R78">
        <v>108.31133</v>
      </c>
      <c r="S78">
        <v>109.67715</v>
      </c>
      <c r="T78">
        <v>111.23913</v>
      </c>
      <c r="U78">
        <v>108.35736</v>
      </c>
      <c r="V78">
        <v>109.70208</v>
      </c>
      <c r="W78">
        <v>111.23205</v>
      </c>
    </row>
    <row r="79" spans="1:23" x14ac:dyDescent="0.25">
      <c r="A79">
        <v>78</v>
      </c>
      <c r="B79" t="s">
        <v>156</v>
      </c>
      <c r="C79">
        <v>129.3263</v>
      </c>
      <c r="D79">
        <v>129.96834999999999</v>
      </c>
      <c r="E79">
        <v>130.36972</v>
      </c>
      <c r="F79">
        <v>129.36071000000001</v>
      </c>
      <c r="G79">
        <v>130.00981999999999</v>
      </c>
      <c r="H79">
        <v>130.404</v>
      </c>
      <c r="I79">
        <v>129.41544999999999</v>
      </c>
      <c r="J79">
        <v>130.08059</v>
      </c>
      <c r="K79">
        <v>130.42588000000001</v>
      </c>
      <c r="L79">
        <v>129.46817999999999</v>
      </c>
      <c r="M79">
        <v>130.16986</v>
      </c>
      <c r="N79">
        <v>130.47085999999999</v>
      </c>
      <c r="O79">
        <v>129.51365999999999</v>
      </c>
      <c r="P79">
        <v>130.23599999999999</v>
      </c>
      <c r="Q79">
        <v>130.52726999999999</v>
      </c>
      <c r="R79">
        <v>129.54840999999999</v>
      </c>
      <c r="S79">
        <v>130.26786000000001</v>
      </c>
      <c r="T79">
        <v>130.56825000000001</v>
      </c>
      <c r="U79">
        <v>129.55325999999999</v>
      </c>
      <c r="V79">
        <v>130.26141000000001</v>
      </c>
      <c r="W79">
        <v>130.57318000000001</v>
      </c>
    </row>
    <row r="80" spans="1:23" x14ac:dyDescent="0.25">
      <c r="A80">
        <v>79</v>
      </c>
      <c r="B80" t="s">
        <v>157</v>
      </c>
      <c r="C80">
        <v>97.7</v>
      </c>
      <c r="D80">
        <v>98.33</v>
      </c>
      <c r="E80">
        <v>99.05</v>
      </c>
      <c r="F80">
        <v>97.6</v>
      </c>
      <c r="G80">
        <v>98.34</v>
      </c>
      <c r="H80">
        <v>99.07</v>
      </c>
      <c r="I80">
        <v>97.63</v>
      </c>
      <c r="J80">
        <v>98.36</v>
      </c>
      <c r="K80">
        <v>99.13</v>
      </c>
      <c r="L80">
        <v>97.712329999999994</v>
      </c>
      <c r="M80">
        <v>98.43</v>
      </c>
      <c r="N80">
        <v>99.13</v>
      </c>
      <c r="O80">
        <v>97.76</v>
      </c>
      <c r="P80">
        <v>98.52</v>
      </c>
      <c r="Q80">
        <v>99.22</v>
      </c>
      <c r="R80">
        <v>97.82</v>
      </c>
      <c r="S80">
        <v>98.54</v>
      </c>
      <c r="T80">
        <v>99.19</v>
      </c>
      <c r="U80">
        <v>97.82</v>
      </c>
      <c r="V80">
        <v>98.55</v>
      </c>
      <c r="W80">
        <v>99.206000000000003</v>
      </c>
    </row>
    <row r="81" spans="1:23" x14ac:dyDescent="0.25">
      <c r="A81">
        <v>80</v>
      </c>
      <c r="B81" t="s">
        <v>158</v>
      </c>
      <c r="C81">
        <v>97.65</v>
      </c>
      <c r="D81">
        <v>98.22</v>
      </c>
      <c r="E81">
        <v>98.92</v>
      </c>
      <c r="F81">
        <v>97.55</v>
      </c>
      <c r="G81">
        <v>98.22</v>
      </c>
      <c r="H81">
        <v>98.92</v>
      </c>
      <c r="I81">
        <v>97.581999999999994</v>
      </c>
      <c r="J81">
        <v>98.24</v>
      </c>
      <c r="K81">
        <v>98.98</v>
      </c>
      <c r="L81">
        <v>97.67</v>
      </c>
      <c r="M81">
        <v>98.31</v>
      </c>
      <c r="N81">
        <v>98.98</v>
      </c>
      <c r="O81">
        <v>97.74</v>
      </c>
      <c r="P81">
        <v>98.39</v>
      </c>
      <c r="Q81">
        <v>99.07</v>
      </c>
      <c r="R81">
        <v>97.787220000000005</v>
      </c>
      <c r="S81">
        <v>98.43</v>
      </c>
      <c r="T81">
        <v>99.04</v>
      </c>
      <c r="U81">
        <v>97.784440000000004</v>
      </c>
      <c r="V81">
        <v>98.45</v>
      </c>
      <c r="W81">
        <v>99.06</v>
      </c>
    </row>
    <row r="82" spans="1:23" x14ac:dyDescent="0.25">
      <c r="A82">
        <v>81</v>
      </c>
      <c r="B82" t="s">
        <v>159</v>
      </c>
      <c r="C82">
        <v>89.736159999999998</v>
      </c>
      <c r="D82">
        <v>90.589399999999998</v>
      </c>
      <c r="E82">
        <v>93.017049999999998</v>
      </c>
      <c r="F82">
        <v>89.114109999999997</v>
      </c>
      <c r="G82">
        <v>90.228219999999993</v>
      </c>
      <c r="H82">
        <v>91.785070000000005</v>
      </c>
      <c r="I82">
        <v>88.661709999999999</v>
      </c>
      <c r="J82">
        <v>90.081540000000004</v>
      </c>
      <c r="K82">
        <v>91.183520000000001</v>
      </c>
      <c r="L82">
        <v>88.47269</v>
      </c>
      <c r="M82">
        <v>89.81</v>
      </c>
      <c r="N82">
        <v>91.084130000000002</v>
      </c>
      <c r="O82">
        <v>88.597610000000003</v>
      </c>
      <c r="P82">
        <v>90.000380000000007</v>
      </c>
      <c r="Q82">
        <v>91.021010000000004</v>
      </c>
      <c r="R82">
        <v>88.66</v>
      </c>
      <c r="S82">
        <v>90.111400000000003</v>
      </c>
      <c r="T82">
        <v>90.953500000000005</v>
      </c>
      <c r="U82">
        <v>88.750069999999994</v>
      </c>
      <c r="V82">
        <v>90.120339999999999</v>
      </c>
      <c r="W82">
        <v>90.932699999999997</v>
      </c>
    </row>
    <row r="83" spans="1:23" x14ac:dyDescent="0.25">
      <c r="A83">
        <v>82</v>
      </c>
      <c r="B83" t="s">
        <v>160</v>
      </c>
      <c r="C83">
        <v>68.19</v>
      </c>
      <c r="D83">
        <v>68.66095</v>
      </c>
      <c r="E83">
        <v>68.989999999999995</v>
      </c>
      <c r="F83">
        <v>68.150000000000006</v>
      </c>
      <c r="G83">
        <v>68.668570000000003</v>
      </c>
      <c r="H83">
        <v>69.007779999999997</v>
      </c>
      <c r="I83">
        <v>68.17</v>
      </c>
      <c r="J83">
        <v>68.671999999999997</v>
      </c>
      <c r="K83">
        <v>69.03143</v>
      </c>
      <c r="L83">
        <v>68.2</v>
      </c>
      <c r="M83">
        <v>68.69</v>
      </c>
      <c r="N83">
        <v>69.086569999999995</v>
      </c>
      <c r="O83">
        <v>68.22</v>
      </c>
      <c r="P83">
        <v>68.687269999999998</v>
      </c>
      <c r="Q83">
        <v>69.067229999999995</v>
      </c>
      <c r="R83">
        <v>68.12</v>
      </c>
      <c r="S83">
        <v>68.621250000000003</v>
      </c>
      <c r="T83">
        <v>69.036670000000001</v>
      </c>
      <c r="U83">
        <v>68.061670000000007</v>
      </c>
      <c r="V83">
        <v>68.593329999999995</v>
      </c>
      <c r="W83">
        <v>69.012379999999993</v>
      </c>
    </row>
    <row r="84" spans="1:23" x14ac:dyDescent="0.25">
      <c r="A84">
        <v>83</v>
      </c>
      <c r="B84" t="s">
        <v>161</v>
      </c>
      <c r="C84">
        <v>45.473100000000002</v>
      </c>
      <c r="D84">
        <v>47.41</v>
      </c>
      <c r="E84">
        <v>49.05</v>
      </c>
      <c r="F84">
        <v>45.01</v>
      </c>
      <c r="G84">
        <v>46.674999999999997</v>
      </c>
      <c r="H84">
        <v>48.919089999999997</v>
      </c>
      <c r="I84">
        <v>44.79</v>
      </c>
      <c r="J84">
        <v>46.07667</v>
      </c>
      <c r="K84">
        <v>48.79</v>
      </c>
      <c r="L84">
        <v>44.982860000000002</v>
      </c>
      <c r="M84">
        <v>46.063569999999999</v>
      </c>
      <c r="N84">
        <v>48.593470000000003</v>
      </c>
      <c r="O84">
        <v>45.164439999999999</v>
      </c>
      <c r="P84">
        <v>46.357869999999998</v>
      </c>
      <c r="Q84">
        <v>48.264000000000003</v>
      </c>
      <c r="R84">
        <v>45.25</v>
      </c>
      <c r="S84">
        <v>46.736669999999997</v>
      </c>
      <c r="T84">
        <v>48.191870000000002</v>
      </c>
      <c r="U84">
        <v>45.27402</v>
      </c>
      <c r="V84">
        <v>46.775860000000002</v>
      </c>
      <c r="W84">
        <v>48.25</v>
      </c>
    </row>
    <row r="85" spans="1:23" x14ac:dyDescent="0.25">
      <c r="A85">
        <v>84</v>
      </c>
      <c r="B85" t="s">
        <v>162</v>
      </c>
      <c r="C85">
        <v>64.569999999999993</v>
      </c>
      <c r="D85">
        <v>64.959999999999994</v>
      </c>
      <c r="E85">
        <v>66.02</v>
      </c>
      <c r="F85">
        <v>64.569999999999993</v>
      </c>
      <c r="G85">
        <v>64.91</v>
      </c>
      <c r="H85">
        <v>65.989999999999995</v>
      </c>
      <c r="I85">
        <v>64.56</v>
      </c>
      <c r="J85">
        <v>64.930000000000007</v>
      </c>
      <c r="K85">
        <v>66.040000000000006</v>
      </c>
      <c r="L85">
        <v>64.569999999999993</v>
      </c>
      <c r="M85">
        <v>65.09</v>
      </c>
      <c r="N85">
        <v>66</v>
      </c>
      <c r="O85">
        <v>64.569999999999993</v>
      </c>
      <c r="P85">
        <v>65.260000000000005</v>
      </c>
      <c r="Q85">
        <v>66.14</v>
      </c>
      <c r="R85">
        <v>64.58</v>
      </c>
      <c r="S85">
        <v>65.42</v>
      </c>
      <c r="T85">
        <v>66.27</v>
      </c>
      <c r="U85">
        <v>64.59</v>
      </c>
      <c r="V85">
        <v>65.349999999999994</v>
      </c>
      <c r="W85">
        <v>66.25</v>
      </c>
    </row>
    <row r="86" spans="1:23" x14ac:dyDescent="0.25">
      <c r="A86">
        <v>85</v>
      </c>
      <c r="B86" t="s">
        <v>163</v>
      </c>
      <c r="C86">
        <v>63.14</v>
      </c>
      <c r="D86">
        <v>64.900000000000006</v>
      </c>
      <c r="E86">
        <v>65.989999999999995</v>
      </c>
      <c r="F86">
        <v>63.06</v>
      </c>
      <c r="G86">
        <v>64.78</v>
      </c>
      <c r="H86">
        <v>65.97</v>
      </c>
      <c r="I86">
        <v>63.07</v>
      </c>
      <c r="J86">
        <v>64.825000000000003</v>
      </c>
      <c r="K86">
        <v>66.03</v>
      </c>
      <c r="L86">
        <v>63.2</v>
      </c>
      <c r="M86">
        <v>65.040000000000006</v>
      </c>
      <c r="N86">
        <v>65.98</v>
      </c>
      <c r="O86">
        <v>63.38</v>
      </c>
      <c r="P86">
        <v>65.22</v>
      </c>
      <c r="Q86">
        <v>66.11</v>
      </c>
      <c r="R86">
        <v>63.524000000000001</v>
      </c>
      <c r="S86">
        <v>65.39</v>
      </c>
      <c r="T86">
        <v>66.260000000000005</v>
      </c>
      <c r="U86">
        <v>63.54</v>
      </c>
      <c r="V86">
        <v>65.33</v>
      </c>
      <c r="W86">
        <v>66.22</v>
      </c>
    </row>
    <row r="87" spans="1:23" x14ac:dyDescent="0.25">
      <c r="A87">
        <v>86</v>
      </c>
      <c r="B87" t="s">
        <v>164</v>
      </c>
      <c r="C87">
        <v>60.4</v>
      </c>
      <c r="D87">
        <v>60.48</v>
      </c>
      <c r="E87">
        <v>61.73</v>
      </c>
      <c r="F87">
        <v>60.41</v>
      </c>
      <c r="G87">
        <v>60.47</v>
      </c>
      <c r="H87">
        <v>61.72</v>
      </c>
      <c r="I87">
        <v>60.4</v>
      </c>
      <c r="J87">
        <v>60.48</v>
      </c>
      <c r="K87">
        <v>61.84</v>
      </c>
      <c r="L87">
        <v>60.41</v>
      </c>
      <c r="M87">
        <v>60.58</v>
      </c>
      <c r="N87">
        <v>61.87</v>
      </c>
      <c r="O87">
        <v>60.42</v>
      </c>
      <c r="P87">
        <v>60.93</v>
      </c>
      <c r="Q87">
        <v>62.05</v>
      </c>
      <c r="R87">
        <v>60.43</v>
      </c>
      <c r="S87">
        <v>61.13</v>
      </c>
      <c r="T87">
        <v>62.22</v>
      </c>
      <c r="U87">
        <v>60.43</v>
      </c>
      <c r="V87">
        <v>60.99</v>
      </c>
      <c r="W87">
        <v>62.155999999999999</v>
      </c>
    </row>
    <row r="88" spans="1:23" x14ac:dyDescent="0.25">
      <c r="A88">
        <v>87</v>
      </c>
      <c r="B88" t="s">
        <v>165</v>
      </c>
      <c r="C88">
        <v>58.44</v>
      </c>
      <c r="D88">
        <v>60.19</v>
      </c>
      <c r="E88">
        <v>61.6</v>
      </c>
      <c r="F88">
        <v>58.392000000000003</v>
      </c>
      <c r="G88">
        <v>60.1</v>
      </c>
      <c r="H88">
        <v>61.588000000000001</v>
      </c>
      <c r="I88">
        <v>58.411999999999999</v>
      </c>
      <c r="J88">
        <v>60.12</v>
      </c>
      <c r="K88">
        <v>61.68</v>
      </c>
      <c r="L88">
        <v>58.54</v>
      </c>
      <c r="M88">
        <v>60.46</v>
      </c>
      <c r="N88">
        <v>61.73</v>
      </c>
      <c r="O88">
        <v>58.73</v>
      </c>
      <c r="P88">
        <v>60.784999999999997</v>
      </c>
      <c r="Q88">
        <v>61.91</v>
      </c>
      <c r="R88">
        <v>58.88</v>
      </c>
      <c r="S88">
        <v>60.97</v>
      </c>
      <c r="T88">
        <v>62.07</v>
      </c>
      <c r="U88">
        <v>58.89</v>
      </c>
      <c r="V88">
        <v>60.86</v>
      </c>
      <c r="W88">
        <v>62.02</v>
      </c>
    </row>
    <row r="89" spans="1:23" x14ac:dyDescent="0.25">
      <c r="A89">
        <v>88</v>
      </c>
      <c r="B89" t="s">
        <v>166</v>
      </c>
      <c r="C89">
        <v>63.2</v>
      </c>
      <c r="D89">
        <v>63.3</v>
      </c>
      <c r="E89">
        <v>64.05</v>
      </c>
      <c r="F89">
        <v>63.19</v>
      </c>
      <c r="G89">
        <v>63.3</v>
      </c>
      <c r="H89">
        <v>64.048000000000002</v>
      </c>
      <c r="I89">
        <v>63.19</v>
      </c>
      <c r="J89">
        <v>63.3</v>
      </c>
      <c r="K89">
        <v>64.14</v>
      </c>
      <c r="L89">
        <v>63.2</v>
      </c>
      <c r="M89">
        <v>63.31</v>
      </c>
      <c r="N89">
        <v>64.13</v>
      </c>
      <c r="O89">
        <v>63.21</v>
      </c>
      <c r="P89">
        <v>63.32</v>
      </c>
      <c r="Q89">
        <v>64.290000000000006</v>
      </c>
      <c r="R89">
        <v>63.22</v>
      </c>
      <c r="S89">
        <v>63.44</v>
      </c>
      <c r="T89">
        <v>64.510000000000005</v>
      </c>
      <c r="U89">
        <v>63.21</v>
      </c>
      <c r="V89">
        <v>63.33</v>
      </c>
      <c r="W89">
        <v>64.445999999999998</v>
      </c>
    </row>
    <row r="90" spans="1:23" x14ac:dyDescent="0.25">
      <c r="A90">
        <v>89</v>
      </c>
      <c r="B90" t="s">
        <v>167</v>
      </c>
      <c r="C90">
        <v>60.54</v>
      </c>
      <c r="D90">
        <v>62.3</v>
      </c>
      <c r="E90">
        <v>63.88</v>
      </c>
      <c r="F90">
        <v>60.48</v>
      </c>
      <c r="G90">
        <v>62.28</v>
      </c>
      <c r="H90">
        <v>63.82</v>
      </c>
      <c r="I90">
        <v>60.54</v>
      </c>
      <c r="J90">
        <v>62.354999999999997</v>
      </c>
      <c r="K90">
        <v>63.97</v>
      </c>
      <c r="L90">
        <v>60.69</v>
      </c>
      <c r="M90">
        <v>62.67</v>
      </c>
      <c r="N90">
        <v>63.95</v>
      </c>
      <c r="O90">
        <v>60.862000000000002</v>
      </c>
      <c r="P90">
        <v>62.93</v>
      </c>
      <c r="Q90">
        <v>64.12</v>
      </c>
      <c r="R90">
        <v>61.014000000000003</v>
      </c>
      <c r="S90">
        <v>63.15</v>
      </c>
      <c r="T90">
        <v>64.28</v>
      </c>
      <c r="U90">
        <v>61.03</v>
      </c>
      <c r="V90">
        <v>63.01</v>
      </c>
      <c r="W90">
        <v>64.23</v>
      </c>
    </row>
    <row r="91" spans="1:23" x14ac:dyDescent="0.25">
      <c r="A91">
        <v>90</v>
      </c>
      <c r="B91" t="s">
        <v>168</v>
      </c>
      <c r="C91">
        <v>61.68</v>
      </c>
      <c r="D91">
        <v>62.4</v>
      </c>
      <c r="E91">
        <v>63.33</v>
      </c>
      <c r="F91">
        <v>61.67</v>
      </c>
      <c r="G91">
        <v>62.23</v>
      </c>
      <c r="H91">
        <v>63.25</v>
      </c>
      <c r="I91">
        <v>61.65</v>
      </c>
      <c r="J91">
        <v>62.22</v>
      </c>
      <c r="K91">
        <v>63.24</v>
      </c>
      <c r="L91">
        <v>61.66</v>
      </c>
      <c r="M91">
        <v>62.36</v>
      </c>
      <c r="N91">
        <v>63.25</v>
      </c>
      <c r="O91">
        <v>61.68</v>
      </c>
      <c r="P91">
        <v>62.5</v>
      </c>
      <c r="Q91">
        <v>63.25</v>
      </c>
      <c r="R91">
        <v>61.69</v>
      </c>
      <c r="S91">
        <v>62.63</v>
      </c>
      <c r="T91">
        <v>63.32</v>
      </c>
      <c r="U91">
        <v>61.69</v>
      </c>
      <c r="V91">
        <v>62.61</v>
      </c>
      <c r="W91">
        <v>63.32</v>
      </c>
    </row>
    <row r="92" spans="1:23" x14ac:dyDescent="0.25">
      <c r="A92">
        <v>91</v>
      </c>
      <c r="B92" t="s">
        <v>169</v>
      </c>
      <c r="C92">
        <v>60.41</v>
      </c>
      <c r="D92">
        <v>61.89</v>
      </c>
      <c r="E92">
        <v>62.93</v>
      </c>
      <c r="F92">
        <v>60.29</v>
      </c>
      <c r="G92">
        <v>61.71</v>
      </c>
      <c r="H92">
        <v>62.83</v>
      </c>
      <c r="I92">
        <v>60.11</v>
      </c>
      <c r="J92">
        <v>61.71</v>
      </c>
      <c r="K92">
        <v>62.83</v>
      </c>
      <c r="L92">
        <v>60.3</v>
      </c>
      <c r="M92">
        <v>61.88</v>
      </c>
      <c r="N92">
        <v>62.857999999999997</v>
      </c>
      <c r="O92">
        <v>60.46</v>
      </c>
      <c r="P92">
        <v>61.98</v>
      </c>
      <c r="Q92">
        <v>62.85</v>
      </c>
      <c r="R92">
        <v>60.58</v>
      </c>
      <c r="S92">
        <v>62.09</v>
      </c>
      <c r="T92">
        <v>62.94</v>
      </c>
      <c r="U92">
        <v>60.54</v>
      </c>
      <c r="V92">
        <v>62.07</v>
      </c>
      <c r="W92">
        <v>62.93</v>
      </c>
    </row>
    <row r="93" spans="1:23" x14ac:dyDescent="0.25">
      <c r="A93">
        <v>92</v>
      </c>
      <c r="B93" t="s">
        <v>170</v>
      </c>
      <c r="C93">
        <v>63.48</v>
      </c>
      <c r="D93">
        <v>64.959999999999994</v>
      </c>
      <c r="E93">
        <v>66.319999999999993</v>
      </c>
      <c r="F93">
        <v>63.41</v>
      </c>
      <c r="G93">
        <v>64.72</v>
      </c>
      <c r="H93">
        <v>66.128</v>
      </c>
      <c r="I93">
        <v>63.24</v>
      </c>
      <c r="J93">
        <v>64.7</v>
      </c>
      <c r="K93">
        <v>66.05</v>
      </c>
      <c r="L93">
        <v>63.4</v>
      </c>
      <c r="M93">
        <v>64.89</v>
      </c>
      <c r="N93">
        <v>66.13</v>
      </c>
      <c r="O93">
        <v>63.51</v>
      </c>
      <c r="P93">
        <v>65.05</v>
      </c>
      <c r="Q93">
        <v>66.168000000000006</v>
      </c>
      <c r="R93">
        <v>63.624000000000002</v>
      </c>
      <c r="S93">
        <v>65.19</v>
      </c>
      <c r="T93">
        <v>66.3</v>
      </c>
      <c r="U93">
        <v>63.62</v>
      </c>
      <c r="V93">
        <v>65.16</v>
      </c>
      <c r="W93">
        <v>66.236000000000004</v>
      </c>
    </row>
    <row r="94" spans="1:23" x14ac:dyDescent="0.25">
      <c r="A94">
        <v>93</v>
      </c>
      <c r="B94" t="s">
        <v>121</v>
      </c>
      <c r="C94" t="s">
        <v>121</v>
      </c>
      <c r="D94" t="s">
        <v>121</v>
      </c>
      <c r="E94" t="s">
        <v>121</v>
      </c>
      <c r="F94" t="s">
        <v>121</v>
      </c>
      <c r="G94" t="s">
        <v>121</v>
      </c>
      <c r="H94" t="s">
        <v>121</v>
      </c>
      <c r="I94" t="s">
        <v>121</v>
      </c>
      <c r="J94" t="s">
        <v>121</v>
      </c>
      <c r="K94" t="s">
        <v>121</v>
      </c>
      <c r="L94" t="s">
        <v>121</v>
      </c>
      <c r="M94" t="s">
        <v>121</v>
      </c>
      <c r="N94" t="s">
        <v>121</v>
      </c>
      <c r="O94">
        <v>109.3</v>
      </c>
      <c r="P94">
        <v>109.69857</v>
      </c>
      <c r="Q94">
        <v>110.06</v>
      </c>
      <c r="R94">
        <v>109.31429</v>
      </c>
      <c r="S94">
        <v>109.58857</v>
      </c>
      <c r="T94">
        <v>110.01467</v>
      </c>
      <c r="U94">
        <v>109.2</v>
      </c>
      <c r="V94">
        <v>109.49786</v>
      </c>
      <c r="W94">
        <v>110.0044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4EC4-E5DF-41EC-B596-1B1BA5550A84}">
  <dimension ref="B1:N120"/>
  <sheetViews>
    <sheetView workbookViewId="0">
      <selection activeCell="I108" sqref="I108"/>
    </sheetView>
  </sheetViews>
  <sheetFormatPr defaultRowHeight="15" x14ac:dyDescent="0.25"/>
  <cols>
    <col min="2" max="2" width="39.7109375" style="9" customWidth="1"/>
    <col min="3" max="3" width="31.28515625" customWidth="1"/>
    <col min="4" max="4" width="10.5703125" customWidth="1"/>
    <col min="5" max="5" width="9.5703125" style="3" bestFit="1" customWidth="1"/>
    <col min="6" max="6" width="10.5703125" style="3" bestFit="1" customWidth="1"/>
    <col min="7" max="7" width="11.85546875" style="3" customWidth="1"/>
    <col min="8" max="8" width="9.28515625" style="21" customWidth="1"/>
    <col min="9" max="9" width="12.28515625" style="20" customWidth="1"/>
    <col min="10" max="11" width="9.5703125" style="3" customWidth="1"/>
    <col min="12" max="12" width="12.42578125" style="3" customWidth="1"/>
    <col min="13" max="13" width="13.85546875" customWidth="1"/>
    <col min="14" max="14" width="12.42578125" style="3" customWidth="1"/>
  </cols>
  <sheetData>
    <row r="1" spans="2:14" s="9" customFormat="1" x14ac:dyDescent="0.25">
      <c r="E1" s="3"/>
      <c r="F1" s="3"/>
      <c r="G1" s="3"/>
      <c r="H1" s="3" t="s">
        <v>240</v>
      </c>
      <c r="I1" s="20"/>
      <c r="J1" s="3" t="s">
        <v>241</v>
      </c>
      <c r="K1" s="3" t="s">
        <v>241</v>
      </c>
      <c r="L1" s="3" t="s">
        <v>242</v>
      </c>
      <c r="M1" s="3" t="s">
        <v>242</v>
      </c>
      <c r="N1" s="3"/>
    </row>
    <row r="2" spans="2:14" x14ac:dyDescent="0.25">
      <c r="B2" s="23" t="s">
        <v>75</v>
      </c>
      <c r="C2" t="s">
        <v>228</v>
      </c>
      <c r="D2" t="s">
        <v>76</v>
      </c>
      <c r="E2" s="22" t="s">
        <v>234</v>
      </c>
      <c r="F2" s="22" t="s">
        <v>235</v>
      </c>
      <c r="G2" s="3" t="s">
        <v>229</v>
      </c>
      <c r="H2" t="s">
        <v>230</v>
      </c>
      <c r="I2" s="20" t="s">
        <v>236</v>
      </c>
      <c r="J2" s="3" t="s">
        <v>237</v>
      </c>
      <c r="K2" s="22" t="s">
        <v>243</v>
      </c>
      <c r="L2" s="3" t="s">
        <v>239</v>
      </c>
      <c r="M2" s="3" t="s">
        <v>238</v>
      </c>
      <c r="N2" s="3" t="s">
        <v>80</v>
      </c>
    </row>
    <row r="3" spans="2:14" x14ac:dyDescent="0.25">
      <c r="B3" s="9" t="s">
        <v>82</v>
      </c>
      <c r="C3" s="9" t="str">
        <f>_xlfn.IFNA(IF(VLOOKUP(Table3[[#This Row],[STATION]],NewP20s!A$5:Q$97,17,FALSE)=0,"",VLOOKUP(Table3[[#This Row],[STATION]],NewP20s!A$5:Q$97,17,FALSE)),"")</f>
        <v/>
      </c>
      <c r="D3" t="str">
        <f>IFERROR(IF(VLOOKUP(C3,'2015Wetlands'!A$2:B$46,2,FALSE)=0,"",VLOOKUP(C3,'2015Wetlands'!A$2:B$46,2,FALSE)),"")</f>
        <v/>
      </c>
      <c r="E3" s="3" t="str">
        <f>IFERROR(IF(VLOOKUP(C3,'2015Wetlands'!A$2:I$46,3,FALSE)=0,"",VLOOKUP(C3,'2015Wetlands'!A$2:I$46,3,FALSE)),"")</f>
        <v/>
      </c>
      <c r="F3" s="3" t="str">
        <f>IFERROR(IF(VLOOKUP(C3,'2015Wetlands'!A$2:I$46,4,FALSE)=0,"",VLOOKUP(C3,'2015Wetlands'!A$2:I$46,4,FALSE)),"")</f>
        <v/>
      </c>
      <c r="G3" s="3" t="str">
        <f>IFERROR(VLOOKUP(C3,'2015Wetlands'!A$2:H$46,8,FALSE),"")</f>
        <v/>
      </c>
      <c r="H3" t="str">
        <f>IFERROR(VLOOKUP(C3,'2015Wetlands'!A$2:H$46,7,FALSE),"")</f>
        <v/>
      </c>
      <c r="I3" s="20" t="str">
        <f>_xlfn.IFNA(IFERROR(VLOOKUP(Table3[[#This Row],[STATION]],'Class 1s'!B$5:G$62,6,FALSE),VLOOKUP(Table3[[#This Row],[Old Name]],'Class 1s'!B$5:G$62,6,FALSE)),"")</f>
        <v/>
      </c>
      <c r="J3" s="3" t="str">
        <f>IFERROR(Table3[[#This Row],[P80_29]]+Table3[[#This Row],[Datum Shift]],"")</f>
        <v/>
      </c>
      <c r="K3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3" s="3">
        <f>IFERROR(VLOOKUP(Table3[[#This Row],[STATION]],AllP20!B$2:C$94,2,FALSE),"")</f>
        <v>94.91</v>
      </c>
      <c r="M3" s="3">
        <f>IFERROR(VLOOKUP(Table3[[#This Row],[STATION]],AllP20!B$2:U$94,20,FALSE),"")</f>
        <v>95.586359999999999</v>
      </c>
      <c r="N3" s="3" t="str">
        <f>IFERROR(Table3[[#This Row],[RefElev88]]-Table3[[#This Row],[2017_P80_88]],"")</f>
        <v/>
      </c>
    </row>
    <row r="4" spans="2:14" x14ac:dyDescent="0.25">
      <c r="B4" s="9" t="s">
        <v>83</v>
      </c>
      <c r="C4" s="9" t="str">
        <f>_xlfn.IFNA(IF(VLOOKUP(Table3[[#This Row],[STATION]],NewP20s!A$5:Q$97,17,FALSE)=0,"",VLOOKUP(Table3[[#This Row],[STATION]],NewP20s!A$5:Q$97,17,FALSE)),"")</f>
        <v/>
      </c>
      <c r="D4" s="9" t="str">
        <f>IFERROR(IF(VLOOKUP(C4,'2015Wetlands'!A$2:B$46,2,FALSE)=0,"",VLOOKUP(C4,'2015Wetlands'!A$2:B$46,2,FALSE)),"")</f>
        <v/>
      </c>
      <c r="E4" s="3" t="str">
        <f>IFERROR(IF(VLOOKUP(C4,'2015Wetlands'!A$2:I$46,3,FALSE)=0,"",VLOOKUP(C4,'2015Wetlands'!A$2:I$46,3,FALSE)),"")</f>
        <v/>
      </c>
      <c r="F4" s="3" t="str">
        <f>IFERROR(IF(VLOOKUP(C4,'2015Wetlands'!A$2:I$46,4,FALSE)=0,"",VLOOKUP(C4,'2015Wetlands'!A$2:I$46,4,FALSE)),"")</f>
        <v/>
      </c>
      <c r="G4" s="3" t="str">
        <f>IFERROR(VLOOKUP(C4,'2015Wetlands'!A$2:H$46,8,FALSE),"")</f>
        <v/>
      </c>
      <c r="H4" s="9" t="str">
        <f>IFERROR(VLOOKUP(C4,'2015Wetlands'!A$2:H$46,7,FALSE),"")</f>
        <v/>
      </c>
      <c r="I4" s="20" t="str">
        <f>_xlfn.IFNA(IFERROR(VLOOKUP(Table3[[#This Row],[STATION]],'Class 1s'!B$5:G$62,6,FALSE),VLOOKUP(Table3[[#This Row],[Old Name]],'Class 1s'!B$5:G$62,6,FALSE)),"")</f>
        <v/>
      </c>
      <c r="J4" s="3" t="str">
        <f>IFERROR(Table3[[#This Row],[P80_29]]+Table3[[#This Row],[Datum Shift]],"")</f>
        <v/>
      </c>
      <c r="K4" s="3">
        <v>98.397000000000006</v>
      </c>
      <c r="L4" s="3">
        <f>IFERROR(VLOOKUP(Table3[[#This Row],[STATION]],AllP20!B$2:C$94,2,FALSE),"")</f>
        <v>95.045000000000002</v>
      </c>
      <c r="M4" s="3">
        <f>IFERROR(VLOOKUP(Table3[[#This Row],[STATION]],AllP20!B$2:U$94,20,FALSE),"")</f>
        <v>95.505219999999994</v>
      </c>
      <c r="N4" s="3">
        <f>IFERROR(Table3[[#This Row],[RefElev88]]-Table3[[#This Row],[2017_P80_88]],"")</f>
        <v>2.8917800000000113</v>
      </c>
    </row>
    <row r="5" spans="2:14" x14ac:dyDescent="0.25">
      <c r="B5" s="9" t="s">
        <v>84</v>
      </c>
      <c r="C5" s="9" t="str">
        <f>_xlfn.IFNA(IF(VLOOKUP(Table3[[#This Row],[STATION]],NewP20s!A$5:Q$97,17,FALSE)=0,"",VLOOKUP(Table3[[#This Row],[STATION]],NewP20s!A$5:Q$97,17,FALSE)),"")</f>
        <v/>
      </c>
      <c r="D5" s="9" t="str">
        <f>IFERROR(IF(VLOOKUP(C5,'2015Wetlands'!A$2:B$46,2,FALSE)=0,"",VLOOKUP(C5,'2015Wetlands'!A$2:B$46,2,FALSE)),"")</f>
        <v/>
      </c>
      <c r="E5" s="3" t="str">
        <f>IFERROR(IF(VLOOKUP(C5,'2015Wetlands'!A$2:I$46,3,FALSE)=0,"",VLOOKUP(C5,'2015Wetlands'!A$2:I$46,3,FALSE)),"")</f>
        <v/>
      </c>
      <c r="F5" s="3" t="str">
        <f>IFERROR(IF(VLOOKUP(C5,'2015Wetlands'!A$2:I$46,4,FALSE)=0,"",VLOOKUP(C5,'2015Wetlands'!A$2:I$46,4,FALSE)),"")</f>
        <v/>
      </c>
      <c r="G5" s="3" t="str">
        <f>IFERROR(VLOOKUP(C5,'2015Wetlands'!A$2:H$46,8,FALSE),"")</f>
        <v/>
      </c>
      <c r="H5" s="9" t="str">
        <f>IFERROR(VLOOKUP(C5,'2015Wetlands'!A$2:H$46,7,FALSE),"")</f>
        <v/>
      </c>
      <c r="I5" s="20" t="str">
        <f>_xlfn.IFNA(IFERROR(VLOOKUP(Table3[[#This Row],[STATION]],'Class 1s'!B$5:G$62,6,FALSE),VLOOKUP(Table3[[#This Row],[Old Name]],'Class 1s'!B$5:G$62,6,FALSE)),"")</f>
        <v/>
      </c>
      <c r="J5" s="3" t="str">
        <f>IFERROR(Table3[[#This Row],[P80_29]]+Table3[[#This Row],[Datum Shift]],"")</f>
        <v/>
      </c>
      <c r="K5" s="3">
        <v>98.397000000000006</v>
      </c>
      <c r="L5" s="3">
        <f>IFERROR(VLOOKUP(Table3[[#This Row],[STATION]],AllP20!B$2:C$94,2,FALSE),"")</f>
        <v>94.93</v>
      </c>
      <c r="M5" s="3">
        <f>IFERROR(VLOOKUP(Table3[[#This Row],[STATION]],AllP20!B$2:U$94,20,FALSE),"")</f>
        <v>95.57</v>
      </c>
      <c r="N5" s="3">
        <f>IFERROR(Table3[[#This Row],[RefElev88]]-Table3[[#This Row],[2017_P80_88]],"")</f>
        <v>2.8270000000000124</v>
      </c>
    </row>
    <row r="6" spans="2:14" x14ac:dyDescent="0.25">
      <c r="C6" s="9" t="str">
        <f>_xlfn.IFNA(IF(VLOOKUP(Table3[[#This Row],[STATION]],NewP20s!A$5:Q$97,17,FALSE)=0,"",VLOOKUP(Table3[[#This Row],[STATION]],NewP20s!A$5:Q$97,17,FALSE)),"")</f>
        <v/>
      </c>
      <c r="D6" s="9" t="str">
        <f>IFERROR(IF(VLOOKUP(C6,'2015Wetlands'!A$2:B$46,2,FALSE)=0,"",VLOOKUP(C6,'2015Wetlands'!A$2:B$46,2,FALSE)),"")</f>
        <v/>
      </c>
      <c r="E6" s="3" t="str">
        <f>IFERROR(IF(VLOOKUP(C6,'2015Wetlands'!A$2:I$46,3,FALSE)=0,"",VLOOKUP(C6,'2015Wetlands'!A$2:I$46,3,FALSE)),"")</f>
        <v/>
      </c>
      <c r="F6" s="3" t="str">
        <f>IFERROR(IF(VLOOKUP(C6,'2015Wetlands'!A$2:I$46,4,FALSE)=0,"",VLOOKUP(C6,'2015Wetlands'!A$2:I$46,4,FALSE)),"")</f>
        <v/>
      </c>
      <c r="G6" s="3" t="str">
        <f>IFERROR(VLOOKUP(C6,'2015Wetlands'!A$2:H$46,8,FALSE),"")</f>
        <v/>
      </c>
      <c r="H6" s="21" t="str">
        <f>IFERROR(VLOOKUP(C6,'2015Wetlands'!A$2:H$46,7,FALSE),"")</f>
        <v/>
      </c>
      <c r="I6" s="20" t="str">
        <f>_xlfn.IFNA(IFERROR(VLOOKUP(Table3[[#This Row],[STATION]],'Class 1s'!B$5:G$62,6,FALSE),VLOOKUP(Table3[[#This Row],[Old Name]],'Class 1s'!B$5:G$62,6,FALSE)),"")</f>
        <v/>
      </c>
      <c r="J6" s="3" t="str">
        <f>IFERROR(Table3[[#This Row],[P80_29]]+Table3[[#This Row],[Datum Shift]],"")</f>
        <v/>
      </c>
      <c r="K6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6" s="3" t="str">
        <f>IFERROR(VLOOKUP(MAX(Table3[[#This Row],[STATION]],Table3[[#This Row],[Old Name]]),AllP20!B$2:C$94,2,FALSE),"")</f>
        <v/>
      </c>
      <c r="M6" s="3" t="str">
        <f>IFERROR(VLOOKUP(Table3[[#This Row],[STATION]],AllP20!B$2:U$94,20,FALSE),"")</f>
        <v/>
      </c>
      <c r="N6" s="3" t="str">
        <f>IFERROR(Table3[[#This Row],[RefElev88]]-Table3[[#This Row],[2017_P80_88]],"")</f>
        <v/>
      </c>
    </row>
    <row r="7" spans="2:14" x14ac:dyDescent="0.25">
      <c r="B7" s="9" t="s">
        <v>85</v>
      </c>
      <c r="C7" s="9" t="str">
        <f>_xlfn.IFNA(IF(VLOOKUP(Table3[[#This Row],[STATION]],NewP20s!A$5:Q$97,17,FALSE)=0,"",VLOOKUP(Table3[[#This Row],[STATION]],NewP20s!A$5:Q$97,17,FALSE)),"")</f>
        <v>Big Gum Lake</v>
      </c>
      <c r="D7" s="9" t="str">
        <f>IFERROR(IF(VLOOKUP(C7,'2015Wetlands'!A$2:B$46,2,FALSE)=0,"",VLOOKUP(C7,'2015Wetlands'!A$2:B$46,2,FALSE)),"")</f>
        <v>SW-QA</v>
      </c>
      <c r="E7" s="3">
        <f>IFERROR(IF(VLOOKUP(C7,'2015Wetlands'!A$2:I$46,3,FALSE)=0,"",VLOOKUP(C7,'2015Wetlands'!A$2:I$46,3,FALSE)),"")</f>
        <v>498139.55</v>
      </c>
      <c r="F7" s="3">
        <f>IFERROR(IF(VLOOKUP(C7,'2015Wetlands'!A$2:I$46,4,FALSE)=0,"",VLOOKUP(C7,'2015Wetlands'!A$2:I$46,4,FALSE)),"")</f>
        <v>1306955</v>
      </c>
      <c r="G7" s="3">
        <f>IFERROR(VLOOKUP(C7,'2015Wetlands'!A$2:H$46,8,FALSE),"")</f>
        <v>95.95</v>
      </c>
      <c r="H7" s="9">
        <f>IFERROR(VLOOKUP(C7,'2015Wetlands'!A$2:H$46,7,FALSE),"")</f>
        <v>89.96</v>
      </c>
      <c r="I7" s="20" t="str">
        <f>_xlfn.IFNA(IFERROR(VLOOKUP(Table3[[#This Row],[STATION]],'Class 1s'!B$5:G$62,6,FALSE),VLOOKUP(Table3[[#This Row],[Old Name]],'Class 1s'!B$5:G$62,6,FALSE)),"")</f>
        <v/>
      </c>
      <c r="J7" s="3" t="str">
        <f>IFERROR(Table3[[#This Row],[P80_29]]+Table3[[#This Row],[Datum Shift]],"")</f>
        <v/>
      </c>
      <c r="K7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7" s="3">
        <f>IFERROR(VLOOKUP(Table3[[#This Row],[STATION]],AllP20!B$2:C$94,2,FALSE),"")</f>
        <v>89.299390000000002</v>
      </c>
      <c r="M7" s="3">
        <f>IFERROR(VLOOKUP(Table3[[#This Row],[STATION]],AllP20!B$2:U$94,20,FALSE),"")</f>
        <v>90.154660000000007</v>
      </c>
      <c r="N7" s="3" t="str">
        <f>IFERROR(Table3[[#This Row],[RefElev88]]-Table3[[#This Row],[2017_P80_88]],"")</f>
        <v/>
      </c>
    </row>
    <row r="8" spans="2:14" x14ac:dyDescent="0.25">
      <c r="B8" s="9" t="s">
        <v>86</v>
      </c>
      <c r="C8" s="9" t="str">
        <f>_xlfn.IFNA(IF(VLOOKUP(Table3[[#This Row],[STATION]],NewP20s!A$5:Q$97,17,FALSE)=0,"",VLOOKUP(Table3[[#This Row],[STATION]],NewP20s!A$5:Q$97,17,FALSE)),"")</f>
        <v/>
      </c>
      <c r="D8" s="9" t="str">
        <f>IFERROR(IF(VLOOKUP(C8,'2015Wetlands'!A$2:B$46,2,FALSE)=0,"",VLOOKUP(C8,'2015Wetlands'!A$2:B$46,2,FALSE)),"")</f>
        <v/>
      </c>
      <c r="E8" s="3" t="str">
        <f>IFERROR(IF(VLOOKUP(C8,'2015Wetlands'!A$2:I$46,3,FALSE)=0,"",VLOOKUP(C8,'2015Wetlands'!A$2:I$46,3,FALSE)),"")</f>
        <v/>
      </c>
      <c r="F8" s="3" t="str">
        <f>IFERROR(IF(VLOOKUP(C8,'2015Wetlands'!A$2:I$46,4,FALSE)=0,"",VLOOKUP(C8,'2015Wetlands'!A$2:I$46,4,FALSE)),"")</f>
        <v/>
      </c>
      <c r="G8" s="3" t="str">
        <f>IFERROR(VLOOKUP(C8,'2015Wetlands'!A$2:H$46,8,FALSE),"")</f>
        <v/>
      </c>
      <c r="H8" s="9" t="str">
        <f>IFERROR(VLOOKUP(C8,'2015Wetlands'!A$2:H$46,7,FALSE),"")</f>
        <v/>
      </c>
      <c r="I8" s="20" t="str">
        <f>_xlfn.IFNA(IFERROR(VLOOKUP(Table3[[#This Row],[STATION]],'Class 1s'!B$5:G$62,6,FALSE),VLOOKUP(Table3[[#This Row],[Old Name]],'Class 1s'!B$5:G$62,6,FALSE)),"")</f>
        <v/>
      </c>
      <c r="J8" s="3" t="str">
        <f>IFERROR(Table3[[#This Row],[P80_29]]+Table3[[#This Row],[Datum Shift]],"")</f>
        <v/>
      </c>
      <c r="K8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8" s="3">
        <f>IFERROR(VLOOKUP(Table3[[#This Row],[STATION]],AllP20!B$2:C$94,2,FALSE),"")</f>
        <v>88.511349999999993</v>
      </c>
      <c r="M8" s="3">
        <f>IFERROR(VLOOKUP(Table3[[#This Row],[STATION]],AllP20!B$2:U$94,20,FALSE),"")</f>
        <v>88.778940000000006</v>
      </c>
      <c r="N8" s="3" t="str">
        <f>IFERROR(Table3[[#This Row],[RefElev88]]-Table3[[#This Row],[2017_P80_88]],"")</f>
        <v/>
      </c>
    </row>
    <row r="9" spans="2:14" x14ac:dyDescent="0.25">
      <c r="B9" s="9" t="s">
        <v>87</v>
      </c>
      <c r="C9" s="9" t="str">
        <f>_xlfn.IFNA(IF(VLOOKUP(Table3[[#This Row],[STATION]],NewP20s!A$5:Q$97,17,FALSE)=0,"",VLOOKUP(Table3[[#This Row],[STATION]],NewP20s!A$5:Q$97,17,FALSE)),"")</f>
        <v>Boggy Marsh</v>
      </c>
      <c r="D9" s="9" t="str">
        <f>IFERROR(IF(VLOOKUP(C9,'2015Wetlands'!A$2:B$46,2,FALSE)=0,"",VLOOKUP(C9,'2015Wetlands'!A$2:B$46,2,FALSE)),"")</f>
        <v>SJ-LC</v>
      </c>
      <c r="E9" s="3">
        <f>IFERROR(IF(VLOOKUP(C9,'2015Wetlands'!A$2:I$46,3,FALSE)=0,"",VLOOKUP(C9,'2015Wetlands'!A$2:I$46,3,FALSE)),"")</f>
        <v>431132.28125</v>
      </c>
      <c r="F9" s="3">
        <f>IFERROR(IF(VLOOKUP(C9,'2015Wetlands'!A$2:I$46,4,FALSE)=0,"",VLOOKUP(C9,'2015Wetlands'!A$2:I$46,4,FALSE)),"")</f>
        <v>1474124.375</v>
      </c>
      <c r="G9" s="3">
        <f>IFERROR(VLOOKUP(C9,'2015Wetlands'!A$2:H$46,8,FALSE),"")</f>
        <v>118.82</v>
      </c>
      <c r="H9" s="9">
        <f>IFERROR(VLOOKUP(C9,'2015Wetlands'!A$2:H$46,7,FALSE),"")</f>
        <v>113.82</v>
      </c>
      <c r="I9" s="20" t="str">
        <f>_xlfn.IFNA(IFERROR(VLOOKUP(Table3[[#This Row],[STATION]],'Class 1s'!B$5:G$62,6,FALSE),VLOOKUP(Table3[[#This Row],[Old Name]],'Class 1s'!B$5:G$62,6,FALSE)),"")</f>
        <v/>
      </c>
      <c r="J9" s="3" t="str">
        <f>IFERROR(Table3[[#This Row],[P80_29]]+Table3[[#This Row],[Datum Shift]],"")</f>
        <v/>
      </c>
      <c r="K9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9" s="3">
        <f>IFERROR(VLOOKUP(Table3[[#This Row],[STATION]],AllP20!B$2:C$94,2,FALSE),"")</f>
        <v>112.94710000000001</v>
      </c>
      <c r="M9" s="3">
        <f>IFERROR(VLOOKUP(Table3[[#This Row],[STATION]],AllP20!B$2:U$94,20,FALSE),"")</f>
        <v>114.88827000000001</v>
      </c>
      <c r="N9" s="3" t="str">
        <f>IFERROR(Table3[[#This Row],[RefElev88]]-Table3[[#This Row],[2017_P80_88]],"")</f>
        <v/>
      </c>
    </row>
    <row r="10" spans="2:14" x14ac:dyDescent="0.25">
      <c r="C10" s="9" t="str">
        <f>_xlfn.IFNA(IF(VLOOKUP(Table3[[#This Row],[STATION]],NewP20s!A$5:Q$97,17,FALSE)=0,"",VLOOKUP(Table3[[#This Row],[STATION]],NewP20s!A$5:Q$97,17,FALSE)),"")</f>
        <v/>
      </c>
      <c r="D10" s="9" t="str">
        <f>IFERROR(IF(VLOOKUP(C10,'2015Wetlands'!A$2:B$46,2,FALSE)=0,"",VLOOKUP(C10,'2015Wetlands'!A$2:B$46,2,FALSE)),"")</f>
        <v/>
      </c>
      <c r="E10" s="3" t="str">
        <f>IFERROR(IF(VLOOKUP(C10,'2015Wetlands'!A$2:I$46,3,FALSE)=0,"",VLOOKUP(C10,'2015Wetlands'!A$2:I$46,3,FALSE)),"")</f>
        <v/>
      </c>
      <c r="F10" s="3" t="str">
        <f>IFERROR(IF(VLOOKUP(C10,'2015Wetlands'!A$2:I$46,4,FALSE)=0,"",VLOOKUP(C10,'2015Wetlands'!A$2:I$46,4,FALSE)),"")</f>
        <v/>
      </c>
      <c r="G10" s="3" t="str">
        <f>IFERROR(VLOOKUP(C10,'2015Wetlands'!A$2:H$46,8,FALSE),"")</f>
        <v/>
      </c>
      <c r="H10" s="21" t="str">
        <f>IFERROR(VLOOKUP(C10,'2015Wetlands'!A$2:H$46,7,FALSE),"")</f>
        <v/>
      </c>
      <c r="I10" s="20" t="str">
        <f>_xlfn.IFNA(IFERROR(VLOOKUP(Table3[[#This Row],[STATION]],'Class 1s'!B$5:G$62,6,FALSE),VLOOKUP(Table3[[#This Row],[Old Name]],'Class 1s'!B$5:G$62,6,FALSE)),"")</f>
        <v/>
      </c>
      <c r="J10" s="3" t="str">
        <f>IFERROR(Table3[[#This Row],[P80_29]]+Table3[[#This Row],[Datum Shift]],"")</f>
        <v/>
      </c>
      <c r="K10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0" s="3" t="str">
        <f>IFERROR(VLOOKUP(Table3[[#This Row],[STATION]],AllP20!B$2:C$94,2,FALSE),"")</f>
        <v/>
      </c>
      <c r="M10" s="3" t="str">
        <f>IFERROR(VLOOKUP(Table3[[#This Row],[STATION]],AllP20!B$2:U$94,20,FALSE),"")</f>
        <v/>
      </c>
      <c r="N10" s="3" t="str">
        <f>IFERROR(Table3[[#This Row],[RefElev88]]-Table3[[#This Row],[2017_P80_88]],"")</f>
        <v/>
      </c>
    </row>
    <row r="11" spans="2:14" x14ac:dyDescent="0.25">
      <c r="B11" s="9" t="s">
        <v>88</v>
      </c>
      <c r="C11" s="9" t="str">
        <f>_xlfn.IFNA(IF(VLOOKUP(Table3[[#This Row],[STATION]],NewP20s!A$5:Q$97,17,FALSE)=0,"",VLOOKUP(Table3[[#This Row],[STATION]],NewP20s!A$5:Q$97,17,FALSE)),"")</f>
        <v>Cypress Creek #190 "E" Marsh</v>
      </c>
      <c r="D11" s="9" t="str">
        <f>IFERROR(IF(VLOOKUP(C11,'2015Wetlands'!A$2:B$46,2,FALSE)=0,"",VLOOKUP(C11,'2015Wetlands'!A$2:B$46,2,FALSE)),"")</f>
        <v>SW-LF</v>
      </c>
      <c r="E11" s="3" t="str">
        <f>IFERROR(IF(VLOOKUP(C11,'2015Wetlands'!A$2:I$46,3,FALSE)=0,"",VLOOKUP(C11,'2015Wetlands'!A$2:I$46,3,FALSE)),"")</f>
        <v/>
      </c>
      <c r="F11" s="3" t="str">
        <f>IFERROR(IF(VLOOKUP(C11,'2015Wetlands'!A$2:I$46,4,FALSE)=0,"",VLOOKUP(C11,'2015Wetlands'!A$2:I$46,4,FALSE)),"")</f>
        <v/>
      </c>
      <c r="G11" s="3">
        <f>IFERROR(VLOOKUP(C11,'2015Wetlands'!A$2:H$46,8,FALSE),"")</f>
        <v>72.03</v>
      </c>
      <c r="H11" s="9">
        <f>IFERROR(VLOOKUP(C11,'2015Wetlands'!A$2:H$46,7,FALSE),"")</f>
        <v>65.09</v>
      </c>
      <c r="I11" s="20">
        <f>_xlfn.IFNA(IFERROR(VLOOKUP(Table3[[#This Row],[STATION]],'Class 1s'!B$5:G$62,6,FALSE),VLOOKUP(Table3[[#This Row],[Old Name]],'Class 1s'!B$5:G$62,6,FALSE)),"")</f>
        <v>-0.8</v>
      </c>
      <c r="J11" s="3">
        <f>IFERROR(Table3[[#This Row],[P80_29]]+Table3[[#This Row],[Datum Shift]],"")</f>
        <v>64.290000000000006</v>
      </c>
      <c r="K11" s="3">
        <f>IFERROR(IFERROR(IFERROR(VLOOKUP(Table3[[#This Row],[STATION]],'Class 1s'!B$5:H$62,7,FALSE),VLOOKUP(Table3[[#This Row],[Old Name]],'Class 1s'!B$5:H$62,7,FALSE)),(Table3[[#This Row],[RefElev27]]+Table3[[#This Row],[Datum Shift]])),"")</f>
        <v>71.23</v>
      </c>
      <c r="L11" s="3">
        <f>IFERROR(VLOOKUP(Table3[[#This Row],[STATION]],AllP20!B$2:C$94,2,FALSE),"")</f>
        <v>63.757669999999997</v>
      </c>
      <c r="M11" s="3">
        <f>IFERROR(VLOOKUP(Table3[[#This Row],[STATION]],AllP20!B$2:U$94,20,FALSE),"")</f>
        <v>63.757669999999997</v>
      </c>
      <c r="N11" s="3">
        <f>IFERROR(Table3[[#This Row],[RefElev88]]-Table3[[#This Row],[2017_P80_88]],"")</f>
        <v>7.4723300000000066</v>
      </c>
    </row>
    <row r="12" spans="2:14" x14ac:dyDescent="0.25">
      <c r="B12" s="9" t="s">
        <v>90</v>
      </c>
      <c r="C12" s="9" t="str">
        <f>_xlfn.IFNA(IF(VLOOKUP(Table3[[#This Row],[STATION]],NewP20s!A$5:Q$97,17,FALSE)=0,"",VLOOKUP(Table3[[#This Row],[STATION]],NewP20s!A$5:Q$97,17,FALSE)),"")</f>
        <v/>
      </c>
      <c r="D12" s="9" t="str">
        <f>IFERROR(IF(VLOOKUP(C12,'2015Wetlands'!A$2:B$46,2,FALSE)=0,"",VLOOKUP(C12,'2015Wetlands'!A$2:B$46,2,FALSE)),"")</f>
        <v/>
      </c>
      <c r="E12" s="3" t="str">
        <f>IFERROR(IF(VLOOKUP(C12,'2015Wetlands'!A$2:I$46,3,FALSE)=0,"",VLOOKUP(C12,'2015Wetlands'!A$2:I$46,3,FALSE)),"")</f>
        <v/>
      </c>
      <c r="F12" s="3" t="str">
        <f>IFERROR(IF(VLOOKUP(C12,'2015Wetlands'!A$2:I$46,4,FALSE)=0,"",VLOOKUP(C12,'2015Wetlands'!A$2:I$46,4,FALSE)),"")</f>
        <v/>
      </c>
      <c r="G12" s="3" t="str">
        <f>IFERROR(VLOOKUP(C12,'2015Wetlands'!A$2:H$46,8,FALSE),"")</f>
        <v/>
      </c>
      <c r="H12" s="9" t="str">
        <f>IFERROR(VLOOKUP(C12,'2015Wetlands'!A$2:H$46,7,FALSE),"")</f>
        <v/>
      </c>
      <c r="I12" s="20" t="str">
        <f>_xlfn.IFNA(IFERROR(VLOOKUP(Table3[[#This Row],[STATION]],'Class 1s'!B$5:G$62,6,FALSE),VLOOKUP(Table3[[#This Row],[Old Name]],'Class 1s'!B$5:G$62,6,FALSE)),"")</f>
        <v/>
      </c>
      <c r="J12" s="3" t="str">
        <f>IFERROR(Table3[[#This Row],[P80_29]]+Table3[[#This Row],[Datum Shift]],"")</f>
        <v/>
      </c>
      <c r="K12" s="3">
        <v>71.23</v>
      </c>
      <c r="L12" s="3">
        <f>IFERROR(VLOOKUP(Table3[[#This Row],[STATION]],AllP20!B$2:C$94,2,FALSE),"")</f>
        <v>64.08</v>
      </c>
      <c r="M12" s="3">
        <f>IFERROR(VLOOKUP(Table3[[#This Row],[STATION]],AllP20!B$2:U$94,20,FALSE),"")</f>
        <v>64.08</v>
      </c>
      <c r="N12" s="3">
        <f>IFERROR(Table3[[#This Row],[RefElev88]]-Table3[[#This Row],[2017_P80_88]],"")</f>
        <v>7.1500000000000057</v>
      </c>
    </row>
    <row r="13" spans="2:14" x14ac:dyDescent="0.25">
      <c r="B13" s="9" t="s">
        <v>91</v>
      </c>
      <c r="C13" s="9" t="str">
        <f>_xlfn.IFNA(IF(VLOOKUP(Table3[[#This Row],[STATION]],NewP20s!A$5:Q$97,17,FALSE)=0,"",VLOOKUP(Table3[[#This Row],[STATION]],NewP20s!A$5:Q$97,17,FALSE)),"")</f>
        <v/>
      </c>
      <c r="D13" s="9" t="str">
        <f>IFERROR(IF(VLOOKUP(C13,'2015Wetlands'!A$2:B$46,2,FALSE)=0,"",VLOOKUP(C13,'2015Wetlands'!A$2:B$46,2,FALSE)),"")</f>
        <v/>
      </c>
      <c r="E13" s="3" t="str">
        <f>IFERROR(IF(VLOOKUP(C13,'2015Wetlands'!A$2:I$46,3,FALSE)=0,"",VLOOKUP(C13,'2015Wetlands'!A$2:I$46,3,FALSE)),"")</f>
        <v/>
      </c>
      <c r="F13" s="3" t="str">
        <f>IFERROR(IF(VLOOKUP(C13,'2015Wetlands'!A$2:I$46,4,FALSE)=0,"",VLOOKUP(C13,'2015Wetlands'!A$2:I$46,4,FALSE)),"")</f>
        <v/>
      </c>
      <c r="G13" s="3" t="str">
        <f>IFERROR(VLOOKUP(C13,'2015Wetlands'!A$2:H$46,8,FALSE),"")</f>
        <v/>
      </c>
      <c r="H13" s="9" t="str">
        <f>IFERROR(VLOOKUP(C13,'2015Wetlands'!A$2:H$46,7,FALSE),"")</f>
        <v/>
      </c>
      <c r="I13" s="20" t="str">
        <f>_xlfn.IFNA(IFERROR(VLOOKUP(Table3[[#This Row],[STATION]],'Class 1s'!B$5:G$62,6,FALSE),VLOOKUP(Table3[[#This Row],[Old Name]],'Class 1s'!B$5:G$62,6,FALSE)),"")</f>
        <v/>
      </c>
      <c r="J13" s="3" t="str">
        <f>IFERROR(Table3[[#This Row],[P80_29]]+Table3[[#This Row],[Datum Shift]],"")</f>
        <v/>
      </c>
      <c r="K13" s="3">
        <v>71.23</v>
      </c>
      <c r="L13" s="3">
        <f>IFERROR(VLOOKUP(Table3[[#This Row],[STATION]],AllP20!B$2:C$94,2,FALSE),"")</f>
        <v>67.162570000000002</v>
      </c>
      <c r="M13" s="3">
        <f>IFERROR(VLOOKUP(Table3[[#This Row],[STATION]],AllP20!B$2:U$94,20,FALSE),"")</f>
        <v>67.21857</v>
      </c>
      <c r="N13" s="3">
        <f>IFERROR(Table3[[#This Row],[RefElev88]]-Table3[[#This Row],[2017_P80_88]],"")</f>
        <v>4.0114300000000043</v>
      </c>
    </row>
    <row r="14" spans="2:14" x14ac:dyDescent="0.25">
      <c r="C14" s="9" t="str">
        <f>_xlfn.IFNA(IF(VLOOKUP(Table3[[#This Row],[STATION]],NewP20s!A$5:Q$97,17,FALSE)=0,"",VLOOKUP(Table3[[#This Row],[STATION]],NewP20s!A$5:Q$97,17,FALSE)),"")</f>
        <v/>
      </c>
      <c r="D14" s="9" t="str">
        <f>IFERROR(IF(VLOOKUP(C14,'2015Wetlands'!A$2:B$46,2,FALSE)=0,"",VLOOKUP(C14,'2015Wetlands'!A$2:B$46,2,FALSE)),"")</f>
        <v/>
      </c>
      <c r="E14" s="3" t="str">
        <f>IFERROR(IF(VLOOKUP(C14,'2015Wetlands'!A$2:I$46,3,FALSE)=0,"",VLOOKUP(C14,'2015Wetlands'!A$2:I$46,3,FALSE)),"")</f>
        <v/>
      </c>
      <c r="F14" s="3" t="str">
        <f>IFERROR(IF(VLOOKUP(C14,'2015Wetlands'!A$2:I$46,4,FALSE)=0,"",VLOOKUP(C14,'2015Wetlands'!A$2:I$46,4,FALSE)),"")</f>
        <v/>
      </c>
      <c r="G14" s="3" t="str">
        <f>IFERROR(VLOOKUP(C14,'2015Wetlands'!A$2:H$46,8,FALSE),"")</f>
        <v/>
      </c>
      <c r="H14" s="21" t="str">
        <f>IFERROR(VLOOKUP(C14,'2015Wetlands'!A$2:H$46,7,FALSE),"")</f>
        <v/>
      </c>
      <c r="I14" s="20" t="str">
        <f>_xlfn.IFNA(IFERROR(VLOOKUP(Table3[[#This Row],[STATION]],'Class 1s'!B$5:G$62,6,FALSE),VLOOKUP(Table3[[#This Row],[Old Name]],'Class 1s'!B$5:G$62,6,FALSE)),"")</f>
        <v/>
      </c>
      <c r="J14" s="3" t="str">
        <f>IFERROR(Table3[[#This Row],[P80_29]]+Table3[[#This Row],[Datum Shift]],"")</f>
        <v/>
      </c>
      <c r="K14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4" s="3" t="str">
        <f>IFERROR(VLOOKUP(Table3[[#This Row],[STATION]],AllP20!B$2:C$94,2,FALSE),"")</f>
        <v/>
      </c>
      <c r="M14" s="3" t="str">
        <f>IFERROR(VLOOKUP(Table3[[#This Row],[STATION]],AllP20!B$2:U$94,20,FALSE),"")</f>
        <v/>
      </c>
      <c r="N14" s="3" t="str">
        <f>IFERROR(Table3[[#This Row],[RefElev88]]-Table3[[#This Row],[2017_P80_88]],"")</f>
        <v/>
      </c>
    </row>
    <row r="15" spans="2:14" x14ac:dyDescent="0.25">
      <c r="B15" s="9" t="s">
        <v>99</v>
      </c>
      <c r="C15" s="9" t="str">
        <f>_xlfn.IFNA(IF(VLOOKUP(Table3[[#This Row],[STATION]],NewP20s!A$5:Q$97,17,FALSE)=0,"",VLOOKUP(Table3[[#This Row],[STATION]],NewP20s!A$5:Q$97,17,FALSE)),"")</f>
        <v>Cypress Creek #223 "B" W46</v>
      </c>
      <c r="D15" s="9" t="str">
        <f>IFERROR(IF(VLOOKUP(C15,'2015Wetlands'!A$2:B$46,2,FALSE)=0,"",VLOOKUP(C15,'2015Wetlands'!A$2:B$46,2,FALSE)),"")</f>
        <v>SW-LG</v>
      </c>
      <c r="E15" s="3" t="str">
        <f>IFERROR(IF(VLOOKUP(C15,'2015Wetlands'!A$2:I$46,3,FALSE)=0,"",VLOOKUP(C15,'2015Wetlands'!A$2:I$46,3,FALSE)),"")</f>
        <v/>
      </c>
      <c r="F15" s="3" t="str">
        <f>IFERROR(IF(VLOOKUP(C15,'2015Wetlands'!A$2:I$46,4,FALSE)=0,"",VLOOKUP(C15,'2015Wetlands'!A$2:I$46,4,FALSE)),"")</f>
        <v/>
      </c>
      <c r="G15" s="3">
        <f>IFERROR(VLOOKUP(C15,'2015Wetlands'!A$2:H$46,8,FALSE),"")</f>
        <v>68.930000000000007</v>
      </c>
      <c r="H15" s="9">
        <f>IFERROR(VLOOKUP(C15,'2015Wetlands'!A$2:H$46,7,FALSE),"")</f>
        <v>60.87</v>
      </c>
      <c r="I15" s="20">
        <f>_xlfn.IFNA(IFERROR(VLOOKUP(Table3[[#This Row],[STATION]],'Class 1s'!B$5:G$62,6,FALSE),VLOOKUP(Table3[[#This Row],[Old Name]],'Class 1s'!B$5:G$62,6,FALSE)),"")</f>
        <v>-0.82</v>
      </c>
      <c r="J15" s="3">
        <f>IFERROR(Table3[[#This Row],[P80_29]]+Table3[[#This Row],[Datum Shift]],"")</f>
        <v>60.05</v>
      </c>
      <c r="K15" s="3">
        <f>IFERROR(IFERROR(IFERROR(VLOOKUP(Table3[[#This Row],[STATION]],'Class 1s'!B$5:H$62,7,FALSE),VLOOKUP(Table3[[#This Row],[Old Name]],'Class 1s'!B$5:H$62,7,FALSE)),(Table3[[#This Row],[RefElev27]]+Table3[[#This Row],[Datum Shift]])),"")</f>
        <v>68.110000000000014</v>
      </c>
      <c r="L15" s="3">
        <f>IFERROR(VLOOKUP(Table3[[#This Row],[STATION]],AllP20!B$2:C$94,2,FALSE),"")</f>
        <v>61.676000000000002</v>
      </c>
      <c r="M15" s="3">
        <f>IFERROR(VLOOKUP(Table3[[#This Row],[STATION]],AllP20!B$2:U$94,20,FALSE),"")</f>
        <v>61.954000000000001</v>
      </c>
      <c r="N15" s="3">
        <f>IFERROR(Table3[[#This Row],[RefElev88]]-Table3[[#This Row],[2017_P80_88]],"")</f>
        <v>6.156000000000013</v>
      </c>
    </row>
    <row r="16" spans="2:14" x14ac:dyDescent="0.25">
      <c r="C16" s="9" t="str">
        <f>_xlfn.IFNA(IF(VLOOKUP(Table3[[#This Row],[STATION]],NewP20s!A$5:Q$97,17,FALSE)=0,"",VLOOKUP(Table3[[#This Row],[STATION]],NewP20s!A$5:Q$97,17,FALSE)),"")</f>
        <v/>
      </c>
      <c r="D16" s="9" t="str">
        <f>IFERROR(IF(VLOOKUP(C16,'2015Wetlands'!A$2:B$46,2,FALSE)=0,"",VLOOKUP(C16,'2015Wetlands'!A$2:B$46,2,FALSE)),"")</f>
        <v/>
      </c>
      <c r="E16" s="3" t="str">
        <f>IFERROR(IF(VLOOKUP(C16,'2015Wetlands'!A$2:I$46,3,FALSE)=0,"",VLOOKUP(C16,'2015Wetlands'!A$2:I$46,3,FALSE)),"")</f>
        <v/>
      </c>
      <c r="F16" s="3" t="str">
        <f>IFERROR(IF(VLOOKUP(C16,'2015Wetlands'!A$2:I$46,4,FALSE)=0,"",VLOOKUP(C16,'2015Wetlands'!A$2:I$46,4,FALSE)),"")</f>
        <v/>
      </c>
      <c r="G16" s="3" t="str">
        <f>IFERROR(VLOOKUP(C16,'2015Wetlands'!A$2:H$46,8,FALSE),"")</f>
        <v/>
      </c>
      <c r="H16" s="21" t="str">
        <f>IFERROR(VLOOKUP(C16,'2015Wetlands'!A$2:H$46,7,FALSE),"")</f>
        <v/>
      </c>
      <c r="I16" s="20" t="str">
        <f>_xlfn.IFNA(IFERROR(VLOOKUP(Table3[[#This Row],[STATION]],'Class 1s'!B$5:G$62,6,FALSE),VLOOKUP(Table3[[#This Row],[Old Name]],'Class 1s'!B$5:G$62,6,FALSE)),"")</f>
        <v/>
      </c>
      <c r="J16" s="3" t="str">
        <f>IFERROR(Table3[[#This Row],[P80_29]]+Table3[[#This Row],[Datum Shift]],"")</f>
        <v/>
      </c>
      <c r="K16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6" s="3" t="str">
        <f>IFERROR(VLOOKUP(Table3[[#This Row],[STATION]],AllP20!B$2:C$94,2,FALSE),"")</f>
        <v/>
      </c>
      <c r="M16" s="3" t="str">
        <f>IFERROR(VLOOKUP(Table3[[#This Row],[STATION]],AllP20!B$2:U$94,20,FALSE),"")</f>
        <v/>
      </c>
      <c r="N16" s="3" t="str">
        <f>IFERROR(Table3[[#This Row],[RefElev88]]-Table3[[#This Row],[2017_P80_88]],"")</f>
        <v/>
      </c>
    </row>
    <row r="17" spans="2:14" x14ac:dyDescent="0.25">
      <c r="B17" s="9" t="s">
        <v>92</v>
      </c>
      <c r="C17" s="9" t="str">
        <f>_xlfn.IFNA(IF(VLOOKUP(Table3[[#This Row],[STATION]],NewP20s!A$5:Q$97,17,FALSE)=0,"",VLOOKUP(Table3[[#This Row],[STATION]],NewP20s!A$5:Q$97,17,FALSE)),"")</f>
        <v>Cypress Creek #199, W17</v>
      </c>
      <c r="D17" s="9" t="str">
        <f>IFERROR(IF(VLOOKUP(C17,'2015Wetlands'!A$2:B$46,2,FALSE)=0,"",VLOOKUP(C17,'2015Wetlands'!A$2:B$46,2,FALSE)),"")</f>
        <v>SW-LE</v>
      </c>
      <c r="E17" s="3" t="str">
        <f>IFERROR(IF(VLOOKUP(C17,'2015Wetlands'!A$2:I$46,3,FALSE)=0,"",VLOOKUP(C17,'2015Wetlands'!A$2:I$46,3,FALSE)),"")</f>
        <v/>
      </c>
      <c r="F17" s="3" t="str">
        <f>IFERROR(IF(VLOOKUP(C17,'2015Wetlands'!A$2:I$46,4,FALSE)=0,"",VLOOKUP(C17,'2015Wetlands'!A$2:I$46,4,FALSE)),"")</f>
        <v/>
      </c>
      <c r="G17" s="3">
        <f>IFERROR(VLOOKUP(C17,'2015Wetlands'!A$2:H$46,8,FALSE),"")</f>
        <v>64.95</v>
      </c>
      <c r="H17" s="9">
        <f>IFERROR(VLOOKUP(C17,'2015Wetlands'!A$2:H$46,7,FALSE),"")</f>
        <v>62.57</v>
      </c>
      <c r="I17" s="20">
        <f>_xlfn.IFNA(IFERROR(VLOOKUP(Table3[[#This Row],[STATION]],'Class 1s'!B$5:G$62,6,FALSE),VLOOKUP(Table3[[#This Row],[Old Name]],'Class 1s'!B$5:G$62,6,FALSE)),"")</f>
        <v>-0.88</v>
      </c>
      <c r="J17" s="3">
        <f>IFERROR(Table3[[#This Row],[P80_29]]+Table3[[#This Row],[Datum Shift]],"")</f>
        <v>61.69</v>
      </c>
      <c r="K17" s="3">
        <f>IFERROR(IFERROR(IFERROR(VLOOKUP(Table3[[#This Row],[STATION]],'Class 1s'!B$5:H$62,7,FALSE),VLOOKUP(Table3[[#This Row],[Old Name]],'Class 1s'!B$5:H$62,7,FALSE)),(Table3[[#This Row],[RefElev27]]+Table3[[#This Row],[Datum Shift]])),"")</f>
        <v>64.070000000000007</v>
      </c>
      <c r="L17" s="3">
        <f>IFERROR(VLOOKUP(Table3[[#This Row],[STATION]],AllP20!B$2:C$94,2,FALSE),"")</f>
        <v>61.72</v>
      </c>
      <c r="M17" s="3">
        <f>IFERROR(VLOOKUP(Table3[[#This Row],[STATION]],AllP20!B$2:U$94,20,FALSE),"")</f>
        <v>61.61</v>
      </c>
      <c r="N17" s="3">
        <f>IFERROR(Table3[[#This Row],[RefElev88]]-Table3[[#This Row],[2017_P80_88]],"")</f>
        <v>2.460000000000008</v>
      </c>
    </row>
    <row r="18" spans="2:14" x14ac:dyDescent="0.25">
      <c r="B18" s="9" t="s">
        <v>93</v>
      </c>
      <c r="C18" s="9" t="str">
        <f>_xlfn.IFNA(IF(VLOOKUP(Table3[[#This Row],[STATION]],NewP20s!A$5:Q$97,17,FALSE)=0,"",VLOOKUP(Table3[[#This Row],[STATION]],NewP20s!A$5:Q$97,17,FALSE)),"")</f>
        <v/>
      </c>
      <c r="D18" s="9" t="str">
        <f>IFERROR(IF(VLOOKUP(C18,'2015Wetlands'!A$2:B$46,2,FALSE)=0,"",VLOOKUP(C18,'2015Wetlands'!A$2:B$46,2,FALSE)),"")</f>
        <v/>
      </c>
      <c r="E18" s="3" t="str">
        <f>IFERROR(IF(VLOOKUP(C18,'2015Wetlands'!A$2:I$46,3,FALSE)=0,"",VLOOKUP(C18,'2015Wetlands'!A$2:I$46,3,FALSE)),"")</f>
        <v/>
      </c>
      <c r="F18" s="3" t="str">
        <f>IFERROR(IF(VLOOKUP(C18,'2015Wetlands'!A$2:I$46,4,FALSE)=0,"",VLOOKUP(C18,'2015Wetlands'!A$2:I$46,4,FALSE)),"")</f>
        <v/>
      </c>
      <c r="G18" s="3" t="str">
        <f>IFERROR(VLOOKUP(C18,'2015Wetlands'!A$2:H$46,8,FALSE),"")</f>
        <v/>
      </c>
      <c r="H18" s="9" t="str">
        <f>IFERROR(VLOOKUP(C18,'2015Wetlands'!A$2:H$46,7,FALSE),"")</f>
        <v/>
      </c>
      <c r="I18" s="20" t="str">
        <f>_xlfn.IFNA(IFERROR(VLOOKUP(Table3[[#This Row],[STATION]],'Class 1s'!B$5:G$62,6,FALSE),VLOOKUP(Table3[[#This Row],[Old Name]],'Class 1s'!B$5:G$62,6,FALSE)),"")</f>
        <v/>
      </c>
      <c r="J18" s="3" t="str">
        <f>IFERROR(Table3[[#This Row],[P80_29]]+Table3[[#This Row],[Datum Shift]],"")</f>
        <v/>
      </c>
      <c r="K18" s="3">
        <v>64.070000000000007</v>
      </c>
      <c r="L18" s="3">
        <f>IFERROR(VLOOKUP(Table3[[#This Row],[STATION]],AllP20!B$2:C$94,2,FALSE),"")</f>
        <v>59.998190000000001</v>
      </c>
      <c r="M18" s="3">
        <f>IFERROR(VLOOKUP(Table3[[#This Row],[STATION]],AllP20!B$2:U$94,20,FALSE),"")</f>
        <v>59.243859999999998</v>
      </c>
      <c r="N18" s="3">
        <f>IFERROR(Table3[[#This Row],[RefElev88]]-Table3[[#This Row],[2017_P80_88]],"")</f>
        <v>4.8261400000000094</v>
      </c>
    </row>
    <row r="19" spans="2:14" x14ac:dyDescent="0.25">
      <c r="B19" s="9" t="s">
        <v>94</v>
      </c>
      <c r="C19" s="9" t="str">
        <f>_xlfn.IFNA(IF(VLOOKUP(Table3[[#This Row],[STATION]],NewP20s!A$5:Q$97,17,FALSE)=0,"",VLOOKUP(Table3[[#This Row],[STATION]],NewP20s!A$5:Q$97,17,FALSE)),"")</f>
        <v/>
      </c>
      <c r="D19" s="9" t="str">
        <f>IFERROR(IF(VLOOKUP(C19,'2015Wetlands'!A$2:B$46,2,FALSE)=0,"",VLOOKUP(C19,'2015Wetlands'!A$2:B$46,2,FALSE)),"")</f>
        <v/>
      </c>
      <c r="E19" s="3" t="str">
        <f>IFERROR(IF(VLOOKUP(C19,'2015Wetlands'!A$2:I$46,3,FALSE)=0,"",VLOOKUP(C19,'2015Wetlands'!A$2:I$46,3,FALSE)),"")</f>
        <v/>
      </c>
      <c r="F19" s="3" t="str">
        <f>IFERROR(IF(VLOOKUP(C19,'2015Wetlands'!A$2:I$46,4,FALSE)=0,"",VLOOKUP(C19,'2015Wetlands'!A$2:I$46,4,FALSE)),"")</f>
        <v/>
      </c>
      <c r="G19" s="3" t="str">
        <f>IFERROR(VLOOKUP(C19,'2015Wetlands'!A$2:H$46,8,FALSE),"")</f>
        <v/>
      </c>
      <c r="H19" s="9" t="str">
        <f>IFERROR(VLOOKUP(C19,'2015Wetlands'!A$2:H$46,7,FALSE),"")</f>
        <v/>
      </c>
      <c r="I19" s="20" t="str">
        <f>_xlfn.IFNA(IFERROR(VLOOKUP(Table3[[#This Row],[STATION]],'Class 1s'!B$5:G$62,6,FALSE),VLOOKUP(Table3[[#This Row],[Old Name]],'Class 1s'!B$5:G$62,6,FALSE)),"")</f>
        <v/>
      </c>
      <c r="J19" s="3" t="str">
        <f>IFERROR(Table3[[#This Row],[P80_29]]+Table3[[#This Row],[Datum Shift]],"")</f>
        <v/>
      </c>
      <c r="K19" s="3">
        <v>64.070000000000007</v>
      </c>
      <c r="L19" s="3">
        <f>IFERROR(VLOOKUP(Table3[[#This Row],[STATION]],AllP20!B$2:C$94,2,FALSE),"")</f>
        <v>60.39714</v>
      </c>
      <c r="M19" s="3">
        <f>IFERROR(VLOOKUP(Table3[[#This Row],[STATION]],AllP20!B$2:U$94,20,FALSE),"")</f>
        <v>59.720289999999999</v>
      </c>
      <c r="N19" s="3">
        <f>IFERROR(Table3[[#This Row],[RefElev88]]-Table3[[#This Row],[2017_P80_88]],"")</f>
        <v>4.3497100000000088</v>
      </c>
    </row>
    <row r="20" spans="2:14" x14ac:dyDescent="0.25">
      <c r="C20" s="9" t="str">
        <f>_xlfn.IFNA(IF(VLOOKUP(Table3[[#This Row],[STATION]],NewP20s!A$5:Q$97,17,FALSE)=0,"",VLOOKUP(Table3[[#This Row],[STATION]],NewP20s!A$5:Q$97,17,FALSE)),"")</f>
        <v/>
      </c>
      <c r="D20" s="9" t="str">
        <f>IFERROR(IF(VLOOKUP(C20,'2015Wetlands'!A$2:B$46,2,FALSE)=0,"",VLOOKUP(C20,'2015Wetlands'!A$2:B$46,2,FALSE)),"")</f>
        <v/>
      </c>
      <c r="E20" s="3" t="str">
        <f>IFERROR(IF(VLOOKUP(C20,'2015Wetlands'!A$2:I$46,3,FALSE)=0,"",VLOOKUP(C20,'2015Wetlands'!A$2:I$46,3,FALSE)),"")</f>
        <v/>
      </c>
      <c r="F20" s="3" t="str">
        <f>IFERROR(IF(VLOOKUP(C20,'2015Wetlands'!A$2:I$46,4,FALSE)=0,"",VLOOKUP(C20,'2015Wetlands'!A$2:I$46,4,FALSE)),"")</f>
        <v/>
      </c>
      <c r="G20" s="3" t="str">
        <f>IFERROR(VLOOKUP(C20,'2015Wetlands'!A$2:H$46,8,FALSE),"")</f>
        <v/>
      </c>
      <c r="H20" s="21" t="str">
        <f>IFERROR(VLOOKUP(C20,'2015Wetlands'!A$2:H$46,7,FALSE),"")</f>
        <v/>
      </c>
      <c r="I20" s="20" t="str">
        <f>_xlfn.IFNA(IFERROR(VLOOKUP(Table3[[#This Row],[STATION]],'Class 1s'!B$5:G$62,6,FALSE),VLOOKUP(Table3[[#This Row],[Old Name]],'Class 1s'!B$5:G$62,6,FALSE)),"")</f>
        <v/>
      </c>
      <c r="J20" s="3" t="str">
        <f>IFERROR(Table3[[#This Row],[P80_29]]+Table3[[#This Row],[Datum Shift]],"")</f>
        <v/>
      </c>
      <c r="K20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20" s="3" t="str">
        <f>IFERROR(VLOOKUP(Table3[[#This Row],[STATION]],AllP20!B$2:C$94,2,FALSE),"")</f>
        <v/>
      </c>
      <c r="M20" s="3" t="str">
        <f>IFERROR(VLOOKUP(Table3[[#This Row],[STATION]],AllP20!B$2:U$94,20,FALSE),"")</f>
        <v/>
      </c>
      <c r="N20" s="3" t="str">
        <f>IFERROR(Table3[[#This Row],[RefElev88]]-Table3[[#This Row],[2017_P80_88]],"")</f>
        <v/>
      </c>
    </row>
    <row r="21" spans="2:14" x14ac:dyDescent="0.25">
      <c r="B21" s="9" t="s">
        <v>95</v>
      </c>
      <c r="C21" s="9" t="str">
        <f>_xlfn.IFNA(IF(VLOOKUP(Table3[[#This Row],[STATION]],NewP20s!A$5:Q$97,17,FALSE)=0,"",VLOOKUP(Table3[[#This Row],[STATION]],NewP20s!A$5:Q$97,17,FALSE)),"")</f>
        <v>Cypress Creek #211, W33</v>
      </c>
      <c r="D21" s="9" t="str">
        <f>IFERROR(IF(VLOOKUP(C21,'2015Wetlands'!A$2:B$46,2,FALSE)=0,"",VLOOKUP(C21,'2015Wetlands'!A$2:B$46,2,FALSE)),"")</f>
        <v>SW-LH</v>
      </c>
      <c r="E21" s="3" t="str">
        <f>IFERROR(IF(VLOOKUP(C21,'2015Wetlands'!A$2:I$46,3,FALSE)=0,"",VLOOKUP(C21,'2015Wetlands'!A$2:I$46,3,FALSE)),"")</f>
        <v/>
      </c>
      <c r="F21" s="3" t="str">
        <f>IFERROR(IF(VLOOKUP(C21,'2015Wetlands'!A$2:I$46,4,FALSE)=0,"",VLOOKUP(C21,'2015Wetlands'!A$2:I$46,4,FALSE)),"")</f>
        <v/>
      </c>
      <c r="G21" s="3">
        <f>IFERROR(VLOOKUP(C21,'2015Wetlands'!A$2:H$46,8,FALSE),"")</f>
        <v>70.790000000000006</v>
      </c>
      <c r="H21" s="9">
        <f>IFERROR(VLOOKUP(C21,'2015Wetlands'!A$2:H$46,7,FALSE),"")</f>
        <v>65.92</v>
      </c>
      <c r="I21" s="20">
        <f>_xlfn.IFNA(IFERROR(VLOOKUP(Table3[[#This Row],[STATION]],'Class 1s'!B$5:G$62,6,FALSE),VLOOKUP(Table3[[#This Row],[Old Name]],'Class 1s'!B$5:G$62,6,FALSE)),"")</f>
        <v>-0.82</v>
      </c>
      <c r="J21" s="3">
        <f>IFERROR(Table3[[#This Row],[P80_29]]+Table3[[#This Row],[Datum Shift]],"")</f>
        <v>65.100000000000009</v>
      </c>
      <c r="K21" s="3">
        <f>IFERROR(IFERROR(IFERROR(VLOOKUP(Table3[[#This Row],[STATION]],'Class 1s'!B$5:H$62,7,FALSE),VLOOKUP(Table3[[#This Row],[Old Name]],'Class 1s'!B$5:H$62,7,FALSE)),(Table3[[#This Row],[RefElev27]]+Table3[[#This Row],[Datum Shift]])),"")</f>
        <v>69.970000000000013</v>
      </c>
      <c r="L21" s="3">
        <f>IFERROR(VLOOKUP(Table3[[#This Row],[STATION]],AllP20!B$2:C$94,2,FALSE),"")</f>
        <v>65.022090000000006</v>
      </c>
      <c r="M21" s="3">
        <f>IFERROR(VLOOKUP(Table3[[#This Row],[STATION]],AllP20!B$2:U$94,20,FALSE),"")</f>
        <v>65.372140000000002</v>
      </c>
      <c r="N21" s="3">
        <f>IFERROR(Table3[[#This Row],[RefElev88]]-Table3[[#This Row],[2017_P80_88]],"")</f>
        <v>4.5978600000000114</v>
      </c>
    </row>
    <row r="22" spans="2:14" x14ac:dyDescent="0.25">
      <c r="B22" s="9" t="s">
        <v>89</v>
      </c>
      <c r="C22" s="9" t="str">
        <f>_xlfn.IFNA(IF(VLOOKUP(Table3[[#This Row],[STATION]],NewP20s!A$5:Q$97,17,FALSE)=0,"",VLOOKUP(Table3[[#This Row],[STATION]],NewP20s!A$5:Q$97,17,FALSE)),"")</f>
        <v/>
      </c>
      <c r="D22" s="9" t="str">
        <f>IFERROR(IF(VLOOKUP(C22,'2015Wetlands'!A$2:B$46,2,FALSE)=0,"",VLOOKUP(C22,'2015Wetlands'!A$2:B$46,2,FALSE)),"")</f>
        <v/>
      </c>
      <c r="E22" s="3" t="str">
        <f>IFERROR(IF(VLOOKUP(C22,'2015Wetlands'!A$2:I$46,3,FALSE)=0,"",VLOOKUP(C22,'2015Wetlands'!A$2:I$46,3,FALSE)),"")</f>
        <v/>
      </c>
      <c r="F22" s="3" t="str">
        <f>IFERROR(IF(VLOOKUP(C22,'2015Wetlands'!A$2:I$46,4,FALSE)=0,"",VLOOKUP(C22,'2015Wetlands'!A$2:I$46,4,FALSE)),"")</f>
        <v/>
      </c>
      <c r="G22" s="3" t="str">
        <f>IFERROR(VLOOKUP(C22,'2015Wetlands'!A$2:H$46,8,FALSE),"")</f>
        <v/>
      </c>
      <c r="H22" s="9" t="str">
        <f>IFERROR(VLOOKUP(C22,'2015Wetlands'!A$2:H$46,7,FALSE),"")</f>
        <v/>
      </c>
      <c r="I22" s="20" t="str">
        <f>_xlfn.IFNA(IFERROR(VLOOKUP(Table3[[#This Row],[STATION]],'Class 1s'!B$5:G$62,6,FALSE),VLOOKUP(Table3[[#This Row],[Old Name]],'Class 1s'!B$5:G$62,6,FALSE)),"")</f>
        <v/>
      </c>
      <c r="J22" s="3" t="str">
        <f>IFERROR(Table3[[#This Row],[P80_29]]+Table3[[#This Row],[Datum Shift]],"")</f>
        <v/>
      </c>
      <c r="K22" s="3">
        <v>69.970000000000013</v>
      </c>
      <c r="L22" s="3">
        <f>IFERROR(VLOOKUP(Table3[[#This Row],[STATION]],AllP20!B$2:C$94,2,FALSE),"")</f>
        <v>69.3</v>
      </c>
      <c r="M22" s="3">
        <f>IFERROR(VLOOKUP(Table3[[#This Row],[STATION]],AllP20!B$2:U$94,20,FALSE),"")</f>
        <v>69.34</v>
      </c>
      <c r="N22" s="3">
        <f>IFERROR(Table3[[#This Row],[RefElev88]]-Table3[[#This Row],[2017_P80_88]],"")</f>
        <v>0.63000000000000966</v>
      </c>
    </row>
    <row r="23" spans="2:14" x14ac:dyDescent="0.25">
      <c r="C23" s="9" t="str">
        <f>_xlfn.IFNA(IF(VLOOKUP(Table3[[#This Row],[STATION]],NewP20s!A$5:Q$97,17,FALSE)=0,"",VLOOKUP(Table3[[#This Row],[STATION]],NewP20s!A$5:Q$97,17,FALSE)),"")</f>
        <v/>
      </c>
      <c r="D23" s="9" t="str">
        <f>IFERROR(IF(VLOOKUP(C23,'2015Wetlands'!A$2:B$46,2,FALSE)=0,"",VLOOKUP(C23,'2015Wetlands'!A$2:B$46,2,FALSE)),"")</f>
        <v/>
      </c>
      <c r="E23" s="3" t="str">
        <f>IFERROR(IF(VLOOKUP(C23,'2015Wetlands'!A$2:I$46,3,FALSE)=0,"",VLOOKUP(C23,'2015Wetlands'!A$2:I$46,3,FALSE)),"")</f>
        <v/>
      </c>
      <c r="F23" s="3" t="str">
        <f>IFERROR(IF(VLOOKUP(C23,'2015Wetlands'!A$2:I$46,4,FALSE)=0,"",VLOOKUP(C23,'2015Wetlands'!A$2:I$46,4,FALSE)),"")</f>
        <v/>
      </c>
      <c r="G23" s="3" t="str">
        <f>IFERROR(VLOOKUP(C23,'2015Wetlands'!A$2:H$46,8,FALSE),"")</f>
        <v/>
      </c>
      <c r="H23" s="21" t="str">
        <f>IFERROR(VLOOKUP(C23,'2015Wetlands'!A$2:H$46,7,FALSE),"")</f>
        <v/>
      </c>
      <c r="I23" s="20" t="str">
        <f>_xlfn.IFNA(IFERROR(VLOOKUP(Table3[[#This Row],[STATION]],'Class 1s'!B$5:G$62,6,FALSE),VLOOKUP(Table3[[#This Row],[Old Name]],'Class 1s'!B$5:G$62,6,FALSE)),"")</f>
        <v/>
      </c>
      <c r="J23" s="3" t="str">
        <f>IFERROR(Table3[[#This Row],[P80_29]]+Table3[[#This Row],[Datum Shift]],"")</f>
        <v/>
      </c>
      <c r="K23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23" s="3" t="str">
        <f>IFERROR(VLOOKUP(Table3[[#This Row],[STATION]],AllP20!B$2:C$94,2,FALSE),"")</f>
        <v/>
      </c>
      <c r="M23" s="3" t="str">
        <f>IFERROR(VLOOKUP(Table3[[#This Row],[STATION]],AllP20!B$2:U$94,20,FALSE),"")</f>
        <v/>
      </c>
      <c r="N23" s="3" t="str">
        <f>IFERROR(Table3[[#This Row],[RefElev88]]-Table3[[#This Row],[2017_P80_88]],"")</f>
        <v/>
      </c>
    </row>
    <row r="24" spans="2:14" x14ac:dyDescent="0.25">
      <c r="B24" s="9" t="s">
        <v>96</v>
      </c>
      <c r="C24" s="9" t="str">
        <f>_xlfn.IFNA(IF(VLOOKUP(Table3[[#This Row],[STATION]],NewP20s!A$5:Q$97,17,FALSE)=0,"",VLOOKUP(Table3[[#This Row],[STATION]],NewP20s!A$5:Q$97,17,FALSE)),"")</f>
        <v>Church Lake</v>
      </c>
      <c r="D24" s="9" t="str">
        <f>IFERROR(IF(VLOOKUP(C24,'2015Wetlands'!A$2:B$46,2,FALSE)=0,"",VLOOKUP(C24,'2015Wetlands'!A$2:B$46,2,FALSE)),"")</f>
        <v>SJ-QA</v>
      </c>
      <c r="E24" s="3">
        <f>IFERROR(IF(VLOOKUP(C24,'2015Wetlands'!A$2:I$46,3,FALSE)=0,"",VLOOKUP(C24,'2015Wetlands'!A$2:I$46,3,FALSE)),"")</f>
        <v>386350.66666666669</v>
      </c>
      <c r="F24" s="3">
        <f>IFERROR(IF(VLOOKUP(C24,'2015Wetlands'!A$2:I$46,4,FALSE)=0,"",VLOOKUP(C24,'2015Wetlands'!A$2:I$46,4,FALSE)),"")</f>
        <v>1568920</v>
      </c>
      <c r="G24" s="3">
        <f>IFERROR(VLOOKUP(C24,'2015Wetlands'!A$2:H$46,8,FALSE),"")</f>
        <v>90.37</v>
      </c>
      <c r="H24" s="9">
        <f>IFERROR(VLOOKUP(C24,'2015Wetlands'!A$2:H$46,7,FALSE),"")</f>
        <v>82.66</v>
      </c>
      <c r="I24" s="20">
        <f>_xlfn.IFNA(IFERROR(VLOOKUP(Table3[[#This Row],[STATION]],'Class 1s'!B$5:G$62,6,FALSE),VLOOKUP(Table3[[#This Row],[Old Name]],'Class 1s'!B$5:G$62,6,FALSE)),"")</f>
        <v>-0.87926335523525867</v>
      </c>
      <c r="J24" s="3">
        <f>IFERROR(Table3[[#This Row],[P80_29]]+Table3[[#This Row],[Datum Shift]],"")</f>
        <v>81.780736644764744</v>
      </c>
      <c r="K24" s="3">
        <f>IFERROR(IFERROR(IFERROR(VLOOKUP(Table3[[#This Row],[STATION]],'Class 1s'!B$5:H$62,7,FALSE),VLOOKUP(Table3[[#This Row],[Old Name]],'Class 1s'!B$5:H$62,7,FALSE)),(Table3[[#This Row],[RefElev27]]+Table3[[#This Row],[Datum Shift]])),"")</f>
        <v>89.490736644764752</v>
      </c>
      <c r="L24" s="3">
        <f>IFERROR(VLOOKUP(Table3[[#This Row],[STATION]],AllP20!B$2:C$94,2,FALSE),"")</f>
        <v>81.811120000000003</v>
      </c>
      <c r="M24" s="3">
        <f>IFERROR(VLOOKUP(Table3[[#This Row],[STATION]],AllP20!B$2:U$94,20,FALSE),"")</f>
        <v>81.667150000000007</v>
      </c>
      <c r="N24" s="3">
        <f>IFERROR(Table3[[#This Row],[RefElev88]]-Table3[[#This Row],[2017_P80_88]],"")</f>
        <v>7.8235866447647453</v>
      </c>
    </row>
    <row r="25" spans="2:14" x14ac:dyDescent="0.25">
      <c r="B25" s="9" t="s">
        <v>97</v>
      </c>
      <c r="C25" s="9" t="str">
        <f>_xlfn.IFNA(IF(VLOOKUP(Table3[[#This Row],[STATION]],NewP20s!A$5:Q$97,17,FALSE)=0,"",VLOOKUP(Table3[[#This Row],[STATION]],NewP20s!A$5:Q$97,17,FALSE)),"")</f>
        <v>City of Cocoa, Well 9T</v>
      </c>
      <c r="D25" s="9" t="str">
        <f>IFERROR(IF(VLOOKUP(C25,'2015Wetlands'!A$2:B$46,2,FALSE)=0,"",VLOOKUP(C25,'2015Wetlands'!A$2:B$46,2,FALSE)),"")</f>
        <v>SJ-LL</v>
      </c>
      <c r="E25" s="3">
        <f>IFERROR(IF(VLOOKUP(C25,'2015Wetlands'!A$2:I$46,3,FALSE)=0,"",VLOOKUP(C25,'2015Wetlands'!A$2:I$46,3,FALSE)),"")</f>
        <v>639562</v>
      </c>
      <c r="F25" s="3">
        <f>IFERROR(IF(VLOOKUP(C25,'2015Wetlands'!A$2:I$46,4,FALSE)=0,"",VLOOKUP(C25,'2015Wetlands'!A$2:I$46,4,FALSE)),"")</f>
        <v>1475973.3333333333</v>
      </c>
      <c r="G25" s="3">
        <f>IFERROR(VLOOKUP(C25,'2015Wetlands'!A$2:H$46,8,FALSE),"")</f>
        <v>74.14</v>
      </c>
      <c r="H25" s="9">
        <f>IFERROR(VLOOKUP(C25,'2015Wetlands'!A$2:H$46,7,FALSE),"")</f>
        <v>71.38</v>
      </c>
      <c r="I25" s="20">
        <f>_xlfn.IFNA(IFERROR(VLOOKUP(Table3[[#This Row],[STATION]],'Class 1s'!B$5:G$62,6,FALSE),VLOOKUP(Table3[[#This Row],[Old Name]],'Class 1s'!B$5:G$62,6,FALSE)),"")</f>
        <v>-1.1384491760532061</v>
      </c>
      <c r="J25" s="3">
        <f>IFERROR(Table3[[#This Row],[P80_29]]+Table3[[#This Row],[Datum Shift]],"")</f>
        <v>70.241550823946795</v>
      </c>
      <c r="K25" s="3">
        <f>IFERROR(IFERROR(IFERROR(VLOOKUP(Table3[[#This Row],[STATION]],'Class 1s'!B$5:H$62,7,FALSE),VLOOKUP(Table3[[#This Row],[Old Name]],'Class 1s'!B$5:H$62,7,FALSE)),(Table3[[#This Row],[RefElev27]]+Table3[[#This Row],[Datum Shift]])),"")</f>
        <v>73.001550823946801</v>
      </c>
      <c r="L25" s="3">
        <f>IFERROR(VLOOKUP(Table3[[#This Row],[STATION]],AllP20!B$2:C$94,2,FALSE),"")</f>
        <v>71.560569999999998</v>
      </c>
      <c r="M25" s="3">
        <f>IFERROR(VLOOKUP(Table3[[#This Row],[STATION]],AllP20!B$2:U$94,20,FALSE),"")</f>
        <v>71.259559999999993</v>
      </c>
      <c r="N25" s="3">
        <f>IFERROR(Table3[[#This Row],[RefElev88]]-Table3[[#This Row],[2017_P80_88]],"")</f>
        <v>1.7419908239468072</v>
      </c>
    </row>
    <row r="26" spans="2:14" x14ac:dyDescent="0.25">
      <c r="B26" s="9" t="s">
        <v>98</v>
      </c>
      <c r="C26" s="9" t="str">
        <f>_xlfn.IFNA(IF(VLOOKUP(Table3[[#This Row],[STATION]],NewP20s!A$5:Q$97,17,FALSE)=0,"",VLOOKUP(Table3[[#This Row],[STATION]],NewP20s!A$5:Q$97,17,FALSE)),"")</f>
        <v>Crooked Lake</v>
      </c>
      <c r="D26" s="9" t="str">
        <f>IFERROR(IF(VLOOKUP(C26,'2015Wetlands'!A$2:B$46,2,FALSE)=0,"",VLOOKUP(C26,'2015Wetlands'!A$2:B$46,2,FALSE)),"")</f>
        <v>SW-QQ</v>
      </c>
      <c r="E26" s="3">
        <f>IFERROR(IF(VLOOKUP(C26,'2015Wetlands'!A$2:I$46,3,FALSE)=0,"",VLOOKUP(C26,'2015Wetlands'!A$2:I$46,3,FALSE)),"")</f>
        <v>471631.73221757321</v>
      </c>
      <c r="F26" s="3">
        <f>IFERROR(IF(VLOOKUP(C26,'2015Wetlands'!A$2:I$46,4,FALSE)=0,"",VLOOKUP(C26,'2015Wetlands'!A$2:I$46,4,FALSE)),"")</f>
        <v>1262274.1841004184</v>
      </c>
      <c r="G26" s="3">
        <f>IFERROR(VLOOKUP(C26,'2015Wetlands'!A$2:H$46,8,FALSE),"")</f>
        <v>121.29</v>
      </c>
      <c r="H26" s="9">
        <f>IFERROR(VLOOKUP(C26,'2015Wetlands'!A$2:H$46,7,FALSE),"")</f>
        <v>115.12</v>
      </c>
      <c r="I26" s="20">
        <f>_xlfn.IFNA(IFERROR(VLOOKUP(Table3[[#This Row],[STATION]],'Class 1s'!B$5:G$62,6,FALSE),VLOOKUP(Table3[[#This Row],[Old Name]],'Class 1s'!B$5:G$62,6,FALSE)),"")</f>
        <v>-1.03</v>
      </c>
      <c r="J26" s="3">
        <f>IFERROR(Table3[[#This Row],[P80_29]]+Table3[[#This Row],[Datum Shift]],"")</f>
        <v>114.09</v>
      </c>
      <c r="K26" s="3">
        <f>IFERROR(IFERROR(IFERROR(VLOOKUP(Table3[[#This Row],[STATION]],'Class 1s'!B$5:H$62,7,FALSE),VLOOKUP(Table3[[#This Row],[Old Name]],'Class 1s'!B$5:H$62,7,FALSE)),(Table3[[#This Row],[RefElev27]]+Table3[[#This Row],[Datum Shift]])),"")</f>
        <v>120.26</v>
      </c>
      <c r="L26" s="3">
        <f>IFERROR(VLOOKUP(Table3[[#This Row],[STATION]],AllP20!B$2:C$94,2,FALSE),"")</f>
        <v>114.14001</v>
      </c>
      <c r="M26" s="3">
        <f>IFERROR(VLOOKUP(Table3[[#This Row],[STATION]],AllP20!B$2:U$94,20,FALSE),"")</f>
        <v>114.15705</v>
      </c>
      <c r="N26" s="3">
        <f>IFERROR(Table3[[#This Row],[RefElev88]]-Table3[[#This Row],[2017_P80_88]],"")</f>
        <v>6.102950000000007</v>
      </c>
    </row>
    <row r="27" spans="2:14" x14ac:dyDescent="0.25">
      <c r="C27" s="9" t="str">
        <f>_xlfn.IFNA(IF(VLOOKUP(Table3[[#This Row],[STATION]],NewP20s!A$5:Q$97,17,FALSE)=0,"",VLOOKUP(Table3[[#This Row],[STATION]],NewP20s!A$5:Q$97,17,FALSE)),"")</f>
        <v/>
      </c>
      <c r="I27" s="20" t="str">
        <f>_xlfn.IFNA(IFERROR(VLOOKUP(Table3[[#This Row],[STATION]],'Class 1s'!B$5:G$62,6,FALSE),VLOOKUP(Table3[[#This Row],[Old Name]],'Class 1s'!B$5:G$62,6,FALSE)),"")</f>
        <v/>
      </c>
      <c r="K27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27" s="3" t="str">
        <f>IFERROR(VLOOKUP(Table3[[#This Row],[STATION]],AllP20!B$2:C$94,2,FALSE),"")</f>
        <v/>
      </c>
      <c r="M27" s="3" t="str">
        <f>IFERROR(VLOOKUP(Table3[[#This Row],[STATION]],AllP20!B$2:U$94,20,FALSE),"")</f>
        <v/>
      </c>
      <c r="N27" s="3" t="str">
        <f>IFERROR(Table3[[#This Row],[RefElev88]]-Table3[[#This Row],[2017_P80_88]],"")</f>
        <v/>
      </c>
    </row>
    <row r="28" spans="2:14" x14ac:dyDescent="0.25">
      <c r="B28" s="9" t="s">
        <v>100</v>
      </c>
      <c r="C28" s="9" t="str">
        <f>_xlfn.IFNA(IF(VLOOKUP(Table3[[#This Row],[STATION]],NewP20s!A$5:Q$97,17,FALSE)=0,"",VLOOKUP(Table3[[#This Row],[STATION]],NewP20s!A$5:Q$97,17,FALSE)),"")</f>
        <v>Gator Lake</v>
      </c>
      <c r="D28" s="9" t="str">
        <f>IFERROR(IF(VLOOKUP(C28,'2015Wetlands'!A$2:B$46,2,FALSE)=0,"",VLOOKUP(C28,'2015Wetlands'!A$2:B$46,2,FALSE)),"")</f>
        <v>SW-QD</v>
      </c>
      <c r="E28" s="3">
        <f>IFERROR(IF(VLOOKUP(C28,'2015Wetlands'!A$2:I$46,3,FALSE)=0,"",VLOOKUP(C28,'2015Wetlands'!A$2:I$46,3,FALSE)),"")</f>
        <v>434180.625</v>
      </c>
      <c r="F28" s="3">
        <f>IFERROR(IF(VLOOKUP(C28,'2015Wetlands'!A$2:I$46,4,FALSE)=0,"",VLOOKUP(C28,'2015Wetlands'!A$2:I$46,4,FALSE)),"")</f>
        <v>1275851.25</v>
      </c>
      <c r="G28" s="3">
        <f>IFERROR(VLOOKUP(C28,'2015Wetlands'!A$2:H$46,8,FALSE),"")</f>
        <v>131.80000000000001</v>
      </c>
      <c r="H28" s="9">
        <f>IFERROR(VLOOKUP(C28,'2015Wetlands'!A$2:H$46,7,FALSE),"")</f>
        <v>129.88999999999999</v>
      </c>
      <c r="I28" s="20">
        <f>_xlfn.IFNA(IFERROR(VLOOKUP(Table3[[#This Row],[STATION]],'Class 1s'!B$5:G$62,6,FALSE),VLOOKUP(Table3[[#This Row],[Old Name]],'Class 1s'!B$5:G$62,6,FALSE)),"")</f>
        <v>-0.57999999999999996</v>
      </c>
      <c r="J28" s="3">
        <f>IFERROR(Table3[[#This Row],[P80_29]]+Table3[[#This Row],[Datum Shift]],"")</f>
        <v>129.30999999999997</v>
      </c>
      <c r="K28" s="3">
        <f>IFERROR(IFERROR(IFERROR(VLOOKUP(Table3[[#This Row],[STATION]],'Class 1s'!B$5:H$62,7,FALSE),VLOOKUP(Table3[[#This Row],[Old Name]],'Class 1s'!B$5:H$62,7,FALSE)),(Table3[[#This Row],[RefElev27]]+Table3[[#This Row],[Datum Shift]])),"")</f>
        <v>131.22</v>
      </c>
      <c r="L28" s="3">
        <f>IFERROR(VLOOKUP(Table3[[#This Row],[STATION]],AllP20!B$2:C$94,2,FALSE),"")</f>
        <v>129.18045000000001</v>
      </c>
      <c r="M28" s="3">
        <f>IFERROR(VLOOKUP(Table3[[#This Row],[STATION]],AllP20!B$2:U$94,20,FALSE),"")</f>
        <v>129.55309</v>
      </c>
      <c r="N28" s="3">
        <f>IFERROR(Table3[[#This Row],[RefElev88]]-Table3[[#This Row],[2017_P80_88]],"")</f>
        <v>1.6669100000000014</v>
      </c>
    </row>
    <row r="29" spans="2:14" x14ac:dyDescent="0.25">
      <c r="C29" s="9" t="str">
        <f>_xlfn.IFNA(IF(VLOOKUP(Table3[[#This Row],[STATION]],NewP20s!A$5:Q$97,17,FALSE)=0,"",VLOOKUP(Table3[[#This Row],[STATION]],NewP20s!A$5:Q$97,17,FALSE)),"")</f>
        <v/>
      </c>
      <c r="D29" s="9" t="str">
        <f>IFERROR(IF(VLOOKUP(C29,'2015Wetlands'!A$2:B$46,2,FALSE)=0,"",VLOOKUP(C29,'2015Wetlands'!A$2:B$46,2,FALSE)),"")</f>
        <v/>
      </c>
      <c r="E29" s="3" t="str">
        <f>IFERROR(IF(VLOOKUP(C29,'2015Wetlands'!A$2:I$46,3,FALSE)=0,"",VLOOKUP(C29,'2015Wetlands'!A$2:I$46,3,FALSE)),"")</f>
        <v/>
      </c>
      <c r="F29" s="3" t="str">
        <f>IFERROR(IF(VLOOKUP(C29,'2015Wetlands'!A$2:I$46,4,FALSE)=0,"",VLOOKUP(C29,'2015Wetlands'!A$2:I$46,4,FALSE)),"")</f>
        <v/>
      </c>
      <c r="G29" s="3" t="str">
        <f>IFERROR(VLOOKUP(C29,'2015Wetlands'!A$2:H$46,8,FALSE),"")</f>
        <v/>
      </c>
      <c r="H29" s="21" t="str">
        <f>IFERROR(VLOOKUP(C29,'2015Wetlands'!A$2:H$46,7,FALSE),"")</f>
        <v/>
      </c>
      <c r="I29" s="20" t="str">
        <f>_xlfn.IFNA(IFERROR(VLOOKUP(Table3[[#This Row],[STATION]],'Class 1s'!B$5:G$62,6,FALSE),VLOOKUP(Table3[[#This Row],[Old Name]],'Class 1s'!B$5:G$62,6,FALSE)),"")</f>
        <v/>
      </c>
      <c r="J29" s="3" t="str">
        <f>IFERROR(Table3[[#This Row],[P80_29]]+Table3[[#This Row],[Datum Shift]],"")</f>
        <v/>
      </c>
      <c r="K29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29" s="3" t="str">
        <f>IFERROR(VLOOKUP(Table3[[#This Row],[STATION]],AllP20!B$2:C$94,2,FALSE),"")</f>
        <v/>
      </c>
      <c r="M29" s="3" t="str">
        <f>IFERROR(VLOOKUP(Table3[[#This Row],[STATION]],AllP20!B$2:U$94,20,FALSE),"")</f>
        <v/>
      </c>
      <c r="N29" s="3" t="str">
        <f>IFERROR(Table3[[#This Row],[RefElev88]]-Table3[[#This Row],[2017_P80_88]],"")</f>
        <v/>
      </c>
    </row>
    <row r="30" spans="2:14" x14ac:dyDescent="0.25">
      <c r="B30" s="9" t="s">
        <v>101</v>
      </c>
      <c r="C30" s="9" t="str">
        <f>_xlfn.IFNA(IF(VLOOKUP(Table3[[#This Row],[STATION]],NewP20s!A$5:Q$97,17,FALSE)=0,"",VLOOKUP(Table3[[#This Row],[STATION]],NewP20s!A$5:Q$97,17,FALSE)),"")</f>
        <v/>
      </c>
      <c r="D30" s="9" t="str">
        <f>IFERROR(IF(VLOOKUP(C30,'2015Wetlands'!A$2:B$46,2,FALSE)=0,"",VLOOKUP(C30,'2015Wetlands'!A$2:B$46,2,FALSE)),"")</f>
        <v/>
      </c>
      <c r="E30" s="3" t="str">
        <f>IFERROR(IF(VLOOKUP(C30,'2015Wetlands'!A$2:I$46,3,FALSE)=0,"",VLOOKUP(C30,'2015Wetlands'!A$2:I$46,3,FALSE)),"")</f>
        <v/>
      </c>
      <c r="F30" s="3" t="str">
        <f>IFERROR(IF(VLOOKUP(C30,'2015Wetlands'!A$2:I$46,4,FALSE)=0,"",VLOOKUP(C30,'2015Wetlands'!A$2:I$46,4,FALSE)),"")</f>
        <v/>
      </c>
      <c r="G30" s="3" t="str">
        <f>IFERROR(VLOOKUP(C30,'2015Wetlands'!A$2:H$46,8,FALSE),"")</f>
        <v/>
      </c>
      <c r="H30" s="9" t="str">
        <f>IFERROR(VLOOKUP(C30,'2015Wetlands'!A$2:H$46,7,FALSE),"")</f>
        <v/>
      </c>
      <c r="I30" s="20" t="str">
        <f>_xlfn.IFNA(IFERROR(VLOOKUP(Table3[[#This Row],[STATION]],'Class 1s'!B$5:G$62,6,FALSE),VLOOKUP(Table3[[#This Row],[Old Name]],'Class 1s'!B$5:G$62,6,FALSE)),"")</f>
        <v/>
      </c>
      <c r="J30" s="3" t="str">
        <f>IFERROR(Table3[[#This Row],[P80_29]]+Table3[[#This Row],[Datum Shift]],"")</f>
        <v/>
      </c>
      <c r="K30" s="3">
        <v>99.809999999999988</v>
      </c>
      <c r="L30" s="3">
        <f>IFERROR(VLOOKUP(Table3[[#This Row],[STATION]],AllP20!B$2:C$94,2,FALSE),"")</f>
        <v>98.58</v>
      </c>
      <c r="M30" s="3">
        <f>IFERROR(VLOOKUP(Table3[[#This Row],[STATION]],AllP20!B$2:U$94,20,FALSE),"")</f>
        <v>98.58</v>
      </c>
      <c r="N30" s="3">
        <f>IFERROR(Table3[[#This Row],[RefElev88]]-Table3[[#This Row],[2017_P80_88]],"")</f>
        <v>1.2299999999999898</v>
      </c>
    </row>
    <row r="31" spans="2:14" x14ac:dyDescent="0.25">
      <c r="B31" s="24" t="s">
        <v>102</v>
      </c>
      <c r="C31" s="9" t="str">
        <f>_xlfn.IFNA(IF(VLOOKUP(Table3[[#This Row],[STATION]],NewP20s!A$5:Q$97,17,FALSE)=0,"",VLOOKUP(Table3[[#This Row],[STATION]],NewP20s!A$5:Q$97,17,FALSE)),"")</f>
        <v/>
      </c>
      <c r="D31" s="9" t="str">
        <f>IFERROR(IF(VLOOKUP(C31,'2015Wetlands'!A$2:B$46,2,FALSE)=0,"",VLOOKUP(C31,'2015Wetlands'!A$2:B$46,2,FALSE)),"")</f>
        <v/>
      </c>
      <c r="E31" s="3" t="str">
        <f>IFERROR(IF(VLOOKUP(C31,'2015Wetlands'!A$2:I$46,3,FALSE)=0,"",VLOOKUP(C31,'2015Wetlands'!A$2:I$46,3,FALSE)),"")</f>
        <v/>
      </c>
      <c r="F31" s="3" t="str">
        <f>IFERROR(IF(VLOOKUP(C31,'2015Wetlands'!A$2:I$46,4,FALSE)=0,"",VLOOKUP(C31,'2015Wetlands'!A$2:I$46,4,FALSE)),"")</f>
        <v/>
      </c>
      <c r="G31" s="3" t="str">
        <f>IFERROR(VLOOKUP(C31,'2015Wetlands'!A$2:H$46,8,FALSE),"")</f>
        <v/>
      </c>
      <c r="H31" s="9" t="str">
        <f>IFERROR(VLOOKUP(C31,'2015Wetlands'!A$2:H$46,7,FALSE),"")</f>
        <v/>
      </c>
      <c r="I31" s="20" t="str">
        <f>_xlfn.IFNA(IFERROR(VLOOKUP(Table3[[#This Row],[STATION]],'Class 1s'!B$5:G$62,6,FALSE),VLOOKUP(Table3[[#This Row],[Old Name]],'Class 1s'!B$5:G$62,6,FALSE)),"")</f>
        <v/>
      </c>
      <c r="J31" s="3">
        <v>97.570421684657546</v>
      </c>
      <c r="K31" s="3">
        <v>99.809999999999988</v>
      </c>
      <c r="L31" s="3">
        <f>IFERROR(VLOOKUP(Table3[[#This Row],[STATION]],AllP20!B$2:C$94,2,FALSE),"")</f>
        <v>97.370469999999997</v>
      </c>
      <c r="M31" s="3">
        <f>IFERROR(VLOOKUP(Table3[[#This Row],[STATION]],AllP20!B$2:U$94,20,FALSE),"")</f>
        <v>97.57978</v>
      </c>
      <c r="N31" s="3">
        <f>IFERROR(Table3[[#This Row],[RefElev88]]-Table3[[#This Row],[2017_P80_88]],"")</f>
        <v>2.2302199999999885</v>
      </c>
    </row>
    <row r="32" spans="2:14" x14ac:dyDescent="0.25">
      <c r="B32" s="9" t="s">
        <v>103</v>
      </c>
      <c r="C32" s="9" t="str">
        <f>_xlfn.IFNA(IF(VLOOKUP(Table3[[#This Row],[STATION]],NewP20s!A$5:Q$97,17,FALSE)=0,"",VLOOKUP(Table3[[#This Row],[STATION]],NewP20s!A$5:Q$97,17,FALSE)),"")</f>
        <v>Green Swamp #1, #298</v>
      </c>
      <c r="D32" s="9" t="str">
        <f>IFERROR(IF(VLOOKUP(C32,'2015Wetlands'!A$2:B$46,2,FALSE)=0,"",VLOOKUP(C32,'2015Wetlands'!A$2:B$46,2,FALSE)),"")</f>
        <v>SW-LM</v>
      </c>
      <c r="E32" s="3">
        <f>IFERROR(IF(VLOOKUP(C32,'2015Wetlands'!A$2:I$46,3,FALSE)=0,"",VLOOKUP(C32,'2015Wetlands'!A$2:I$46,3,FALSE)),"")</f>
        <v>351964.5</v>
      </c>
      <c r="F32" s="3">
        <f>IFERROR(IF(VLOOKUP(C32,'2015Wetlands'!A$2:I$46,4,FALSE)=0,"",VLOOKUP(C32,'2015Wetlands'!A$2:I$46,4,FALSE)),"")</f>
        <v>1465140</v>
      </c>
      <c r="G32" s="3">
        <f>IFERROR(VLOOKUP(C32,'2015Wetlands'!A$2:H$46,8,FALSE),"")</f>
        <v>100.6</v>
      </c>
      <c r="H32" s="9">
        <f>IFERROR(VLOOKUP(C32,'2015Wetlands'!A$2:H$46,7,FALSE),"")</f>
        <v>98.43</v>
      </c>
      <c r="I32" s="20">
        <f>_xlfn.IFNA(IFERROR(VLOOKUP(Table3[[#This Row],[STATION]],'Class 1s'!B$5:G$62,6,FALSE),VLOOKUP(Table3[[#This Row],[Old Name]],'Class 1s'!B$5:G$62,6,FALSE)),"")</f>
        <v>-0.79</v>
      </c>
      <c r="J32" s="3">
        <v>97.570421684657546</v>
      </c>
      <c r="K32" s="3">
        <f>IFERROR(IFERROR(IFERROR(VLOOKUP(Table3[[#This Row],[STATION]],'Class 1s'!B$5:H$62,7,FALSE),VLOOKUP(Table3[[#This Row],[Old Name]],'Class 1s'!B$5:H$62,7,FALSE)),(Table3[[#This Row],[RefElev27]]+Table3[[#This Row],[Datum Shift]])),"")</f>
        <v>99.809999999999988</v>
      </c>
      <c r="L32" s="3">
        <f>IFERROR(VLOOKUP(Table3[[#This Row],[STATION]],AllP20!B$2:C$94,2,FALSE),"")</f>
        <v>97.47</v>
      </c>
      <c r="M32" s="3">
        <f>IFERROR(VLOOKUP(Table3[[#This Row],[STATION]],AllP20!B$2:U$94,20,FALSE),"")</f>
        <v>97.69</v>
      </c>
      <c r="N32" s="3">
        <f>IFERROR(Table3[[#This Row],[RefElev88]]-Table3[[#This Row],[2017_P80_88]],"")</f>
        <v>2.1199999999999903</v>
      </c>
    </row>
    <row r="33" spans="2:14" x14ac:dyDescent="0.25">
      <c r="C33" s="9" t="str">
        <f>_xlfn.IFNA(IF(VLOOKUP(Table3[[#This Row],[STATION]],NewP20s!A$5:Q$97,17,FALSE)=0,"",VLOOKUP(Table3[[#This Row],[STATION]],NewP20s!A$5:Q$97,17,FALSE)),"")</f>
        <v/>
      </c>
      <c r="D33" s="9" t="str">
        <f>IFERROR(IF(VLOOKUP(C33,'2015Wetlands'!A$2:B$46,2,FALSE)=0,"",VLOOKUP(C33,'2015Wetlands'!A$2:B$46,2,FALSE)),"")</f>
        <v/>
      </c>
      <c r="E33" s="3" t="str">
        <f>IFERROR(IF(VLOOKUP(C33,'2015Wetlands'!A$2:I$46,3,FALSE)=0,"",VLOOKUP(C33,'2015Wetlands'!A$2:I$46,3,FALSE)),"")</f>
        <v/>
      </c>
      <c r="F33" s="3" t="str">
        <f>IFERROR(IF(VLOOKUP(C33,'2015Wetlands'!A$2:I$46,4,FALSE)=0,"",VLOOKUP(C33,'2015Wetlands'!A$2:I$46,4,FALSE)),"")</f>
        <v/>
      </c>
      <c r="G33" s="3" t="str">
        <f>IFERROR(VLOOKUP(C33,'2015Wetlands'!A$2:H$46,8,FALSE),"")</f>
        <v/>
      </c>
      <c r="H33" s="21" t="str">
        <f>IFERROR(VLOOKUP(C33,'2015Wetlands'!A$2:H$46,7,FALSE),"")</f>
        <v/>
      </c>
      <c r="I33" s="20" t="str">
        <f>_xlfn.IFNA(IFERROR(VLOOKUP(Table3[[#This Row],[STATION]],'Class 1s'!B$5:G$62,6,FALSE),VLOOKUP(Table3[[#This Row],[Old Name]],'Class 1s'!B$5:G$62,6,FALSE)),"")</f>
        <v/>
      </c>
      <c r="J33" s="3" t="str">
        <f>IFERROR(Table3[[#This Row],[P80_29]]+Table3[[#This Row],[Datum Shift]],"")</f>
        <v/>
      </c>
      <c r="K33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33" s="3" t="str">
        <f>IFERROR(VLOOKUP(Table3[[#This Row],[STATION]],AllP20!B$2:C$94,2,FALSE),"")</f>
        <v/>
      </c>
      <c r="M33" s="3" t="str">
        <f>IFERROR(VLOOKUP(Table3[[#This Row],[STATION]],AllP20!B$2:U$94,20,FALSE),"")</f>
        <v/>
      </c>
      <c r="N33" s="3" t="str">
        <f>IFERROR(Table3[[#This Row],[RefElev88]]-Table3[[#This Row],[2017_P80_88]],"")</f>
        <v/>
      </c>
    </row>
    <row r="34" spans="2:14" x14ac:dyDescent="0.25">
      <c r="B34" s="9" t="s">
        <v>104</v>
      </c>
      <c r="C34" s="9" t="str">
        <f>_xlfn.IFNA(IF(VLOOKUP(Table3[[#This Row],[STATION]],NewP20s!A$5:Q$97,17,FALSE)=0,"",VLOOKUP(Table3[[#This Row],[STATION]],NewP20s!A$5:Q$97,17,FALSE)),"")</f>
        <v/>
      </c>
      <c r="D34" s="9" t="str">
        <f>IFERROR(IF(VLOOKUP(C34,'2015Wetlands'!A$2:B$46,2,FALSE)=0,"",VLOOKUP(C34,'2015Wetlands'!A$2:B$46,2,FALSE)),"")</f>
        <v/>
      </c>
      <c r="E34" s="3" t="str">
        <f>IFERROR(IF(VLOOKUP(C34,'2015Wetlands'!A$2:I$46,3,FALSE)=0,"",VLOOKUP(C34,'2015Wetlands'!A$2:I$46,3,FALSE)),"")</f>
        <v/>
      </c>
      <c r="F34" s="3" t="str">
        <f>IFERROR(IF(VLOOKUP(C34,'2015Wetlands'!A$2:I$46,4,FALSE)=0,"",VLOOKUP(C34,'2015Wetlands'!A$2:I$46,4,FALSE)),"")</f>
        <v/>
      </c>
      <c r="G34" s="3" t="str">
        <f>IFERROR(VLOOKUP(C34,'2015Wetlands'!A$2:H$46,8,FALSE),"")</f>
        <v/>
      </c>
      <c r="H34" s="9" t="str">
        <f>IFERROR(VLOOKUP(C34,'2015Wetlands'!A$2:H$46,7,FALSE),"")</f>
        <v/>
      </c>
      <c r="I34" s="20" t="str">
        <f>_xlfn.IFNA(IFERROR(VLOOKUP(Table3[[#This Row],[STATION]],'Class 1s'!B$5:G$62,6,FALSE),VLOOKUP(Table3[[#This Row],[Old Name]],'Class 1s'!B$5:G$62,6,FALSE)),"")</f>
        <v/>
      </c>
      <c r="J34" s="3" t="str">
        <f>IFERROR(Table3[[#This Row],[P80_29]]+Table3[[#This Row],[Datum Shift]],"")</f>
        <v/>
      </c>
      <c r="K34" s="3">
        <v>102.01</v>
      </c>
      <c r="L34" s="3">
        <f>IFERROR(VLOOKUP(Table3[[#This Row],[STATION]],AllP20!B$2:C$94,2,FALSE),"")</f>
        <v>100.73</v>
      </c>
      <c r="M34" s="3">
        <f>IFERROR(VLOOKUP(Table3[[#This Row],[STATION]],AllP20!B$2:U$94,20,FALSE),"")</f>
        <v>100.73</v>
      </c>
      <c r="N34" s="3">
        <f>IFERROR(Table3[[#This Row],[RefElev88]]-Table3[[#This Row],[2017_P80_88]],"")</f>
        <v>1.2800000000000011</v>
      </c>
    </row>
    <row r="35" spans="2:14" x14ac:dyDescent="0.25">
      <c r="B35" s="9" t="s">
        <v>105</v>
      </c>
      <c r="C35" s="9" t="s">
        <v>250</v>
      </c>
      <c r="D35" s="9" t="str">
        <f>IFERROR(IF(VLOOKUP(C35,'2015Wetlands'!A$2:B$46,2,FALSE)=0,"",VLOOKUP(C35,'2015Wetlands'!A$2:B$46,2,FALSE)),"")</f>
        <v/>
      </c>
      <c r="E35" s="3" t="str">
        <f>IFERROR(IF(VLOOKUP(C35,'2015Wetlands'!A$2:I$46,3,FALSE)=0,"",VLOOKUP(C35,'2015Wetlands'!A$2:I$46,3,FALSE)),"")</f>
        <v/>
      </c>
      <c r="F35" s="3" t="str">
        <f>IFERROR(IF(VLOOKUP(C35,'2015Wetlands'!A$2:I$46,4,FALSE)=0,"",VLOOKUP(C35,'2015Wetlands'!A$2:I$46,4,FALSE)),"")</f>
        <v/>
      </c>
      <c r="G35" s="3" t="str">
        <f>IFERROR(VLOOKUP(C35,'2015Wetlands'!A$2:H$46,8,FALSE),"")</f>
        <v/>
      </c>
      <c r="H35" s="9" t="str">
        <f>IFERROR(VLOOKUP(C35,'2015Wetlands'!A$2:H$46,7,FALSE),"")</f>
        <v/>
      </c>
      <c r="I35" s="20">
        <f>_xlfn.IFNA(IFERROR(VLOOKUP(Table3[[#This Row],[STATION]],'Class 1s'!B$5:G$62,6,FALSE),VLOOKUP(Table3[[#This Row],[Old Name]],'Class 1s'!B$5:G$62,6,FALSE)),"")</f>
        <v>-0.85957831534246598</v>
      </c>
      <c r="J35" s="3" t="str">
        <f>IFERROR(Table3[[#This Row],[P80_29]]+Table3[[#This Row],[Datum Shift]],"")</f>
        <v/>
      </c>
      <c r="K35" s="3">
        <f>IFERROR(IFERROR(IFERROR(VLOOKUP(Table3[[#This Row],[STATION]],'Class 1s'!B$5:H$62,7,FALSE),VLOOKUP(Table3[[#This Row],[Old Name]],'Class 1s'!B$5:H$62,7,FALSE)),(Table3[[#This Row],[RefElev27]]+Table3[[#This Row],[Datum Shift]])),"")</f>
        <v>102.01</v>
      </c>
      <c r="L35" s="3">
        <f>IFERROR(VLOOKUP(Table3[[#This Row],[STATION]],AllP20!B$2:C$94,2,FALSE),"")</f>
        <v>98.577029999999993</v>
      </c>
      <c r="M35" s="3">
        <f>IFERROR(VLOOKUP(Table3[[#This Row],[STATION]],AllP20!B$2:U$94,20,FALSE),"")</f>
        <v>98.924999999999997</v>
      </c>
      <c r="N35" s="3">
        <f>IFERROR(Table3[[#This Row],[RefElev88]]-Table3[[#This Row],[2017_P80_88]],"")</f>
        <v>3.085000000000008</v>
      </c>
    </row>
    <row r="36" spans="2:14" x14ac:dyDescent="0.25">
      <c r="B36" s="9" t="s">
        <v>106</v>
      </c>
      <c r="C36" s="9" t="str">
        <f>_xlfn.IFNA(IF(VLOOKUP(Table3[[#This Row],[STATION]],NewP20s!A$5:Q$97,17,FALSE)=0,"",VLOOKUP(Table3[[#This Row],[STATION]],NewP20s!A$5:Q$97,17,FALSE)),"")</f>
        <v/>
      </c>
      <c r="D36" s="9" t="str">
        <f>IFERROR(IF(VLOOKUP(C36,'2015Wetlands'!A$2:B$46,2,FALSE)=0,"",VLOOKUP(C36,'2015Wetlands'!A$2:B$46,2,FALSE)),"")</f>
        <v/>
      </c>
      <c r="E36" s="3" t="str">
        <f>IFERROR(IF(VLOOKUP(C36,'2015Wetlands'!A$2:I$46,3,FALSE)=0,"",VLOOKUP(C36,'2015Wetlands'!A$2:I$46,3,FALSE)),"")</f>
        <v/>
      </c>
      <c r="F36" s="3" t="str">
        <f>IFERROR(IF(VLOOKUP(C36,'2015Wetlands'!A$2:I$46,4,FALSE)=0,"",VLOOKUP(C36,'2015Wetlands'!A$2:I$46,4,FALSE)),"")</f>
        <v/>
      </c>
      <c r="G36" s="3" t="str">
        <f>IFERROR(VLOOKUP(C36,'2015Wetlands'!A$2:H$46,8,FALSE),"")</f>
        <v/>
      </c>
      <c r="H36" s="9" t="str">
        <f>IFERROR(VLOOKUP(C36,'2015Wetlands'!A$2:H$46,7,FALSE),"")</f>
        <v/>
      </c>
      <c r="I36" s="20" t="str">
        <f>_xlfn.IFNA(IFERROR(VLOOKUP(Table3[[#This Row],[STATION]],'Class 1s'!B$5:G$62,6,FALSE),VLOOKUP(Table3[[#This Row],[Old Name]],'Class 1s'!B$5:G$62,6,FALSE)),"")</f>
        <v/>
      </c>
      <c r="J36" s="3" t="str">
        <f>IFERROR(Table3[[#This Row],[P80_29]]+Table3[[#This Row],[Datum Shift]],"")</f>
        <v/>
      </c>
      <c r="K36" s="3">
        <v>102.01</v>
      </c>
      <c r="L36" s="3">
        <f>IFERROR(VLOOKUP(Table3[[#This Row],[STATION]],AllP20!B$2:C$94,2,FALSE),"")</f>
        <v>98.52</v>
      </c>
      <c r="M36" s="3">
        <f>IFERROR(VLOOKUP(Table3[[#This Row],[STATION]],AllP20!B$2:U$94,20,FALSE),"")</f>
        <v>99.23</v>
      </c>
      <c r="N36" s="3">
        <f>IFERROR(Table3[[#This Row],[RefElev88]]-Table3[[#This Row],[2017_P80_88]],"")</f>
        <v>2.7800000000000011</v>
      </c>
    </row>
    <row r="37" spans="2:14" x14ac:dyDescent="0.25">
      <c r="C37" s="9" t="str">
        <f>_xlfn.IFNA(IF(VLOOKUP(Table3[[#This Row],[STATION]],NewP20s!A$5:Q$97,17,FALSE)=0,"",VLOOKUP(Table3[[#This Row],[STATION]],NewP20s!A$5:Q$97,17,FALSE)),"")</f>
        <v/>
      </c>
      <c r="D37" s="9" t="str">
        <f>IFERROR(IF(VLOOKUP(C37,'2015Wetlands'!A$2:B$46,2,FALSE)=0,"",VLOOKUP(C37,'2015Wetlands'!A$2:B$46,2,FALSE)),"")</f>
        <v/>
      </c>
      <c r="E37" s="3" t="str">
        <f>IFERROR(IF(VLOOKUP(C37,'2015Wetlands'!A$2:I$46,3,FALSE)=0,"",VLOOKUP(C37,'2015Wetlands'!A$2:I$46,3,FALSE)),"")</f>
        <v/>
      </c>
      <c r="F37" s="3" t="str">
        <f>IFERROR(IF(VLOOKUP(C37,'2015Wetlands'!A$2:I$46,4,FALSE)=0,"",VLOOKUP(C37,'2015Wetlands'!A$2:I$46,4,FALSE)),"")</f>
        <v/>
      </c>
      <c r="G37" s="3" t="str">
        <f>IFERROR(VLOOKUP(C37,'2015Wetlands'!A$2:H$46,8,FALSE),"")</f>
        <v/>
      </c>
      <c r="H37" s="21" t="str">
        <f>IFERROR(VLOOKUP(C37,'2015Wetlands'!A$2:H$46,7,FALSE),"")</f>
        <v/>
      </c>
      <c r="I37" s="20" t="str">
        <f>_xlfn.IFNA(IFERROR(VLOOKUP(Table3[[#This Row],[STATION]],'Class 1s'!B$5:G$62,6,FALSE),VLOOKUP(Table3[[#This Row],[Old Name]],'Class 1s'!B$5:G$62,6,FALSE)),"")</f>
        <v/>
      </c>
      <c r="J37" s="3" t="str">
        <f>IFERROR(Table3[[#This Row],[P80_29]]+Table3[[#This Row],[Datum Shift]],"")</f>
        <v/>
      </c>
      <c r="K37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37" s="3" t="str">
        <f>IFERROR(VLOOKUP(Table3[[#This Row],[STATION]],AllP20!B$2:C$94,2,FALSE),"")</f>
        <v/>
      </c>
      <c r="M37" s="3" t="str">
        <f>IFERROR(VLOOKUP(Table3[[#This Row],[STATION]],AllP20!B$2:U$94,20,FALSE),"")</f>
        <v/>
      </c>
      <c r="N37" s="3" t="str">
        <f>IFERROR(Table3[[#This Row],[RefElev88]]-Table3[[#This Row],[2017_P80_88]],"")</f>
        <v/>
      </c>
    </row>
    <row r="38" spans="2:14" x14ac:dyDescent="0.25">
      <c r="B38" s="9" t="s">
        <v>107</v>
      </c>
      <c r="C38" s="9" t="str">
        <f>_xlfn.IFNA(IF(VLOOKUP(Table3[[#This Row],[STATION]],NewP20s!A$5:Q$97,17,FALSE)=0,"",VLOOKUP(Table3[[#This Row],[STATION]],NewP20s!A$5:Q$97,17,FALSE)),"")</f>
        <v/>
      </c>
      <c r="D38" s="9" t="str">
        <f>IFERROR(IF(VLOOKUP(C38,'2015Wetlands'!A$2:B$46,2,FALSE)=0,"",VLOOKUP(C38,'2015Wetlands'!A$2:B$46,2,FALSE)),"")</f>
        <v/>
      </c>
      <c r="E38" s="3" t="str">
        <f>IFERROR(IF(VLOOKUP(C38,'2015Wetlands'!A$2:I$46,3,FALSE)=0,"",VLOOKUP(C38,'2015Wetlands'!A$2:I$46,3,FALSE)),"")</f>
        <v/>
      </c>
      <c r="F38" s="3" t="str">
        <f>IFERROR(IF(VLOOKUP(C38,'2015Wetlands'!A$2:I$46,4,FALSE)=0,"",VLOOKUP(C38,'2015Wetlands'!A$2:I$46,4,FALSE)),"")</f>
        <v/>
      </c>
      <c r="G38" s="3" t="str">
        <f>IFERROR(VLOOKUP(C38,'2015Wetlands'!A$2:H$46,8,FALSE),"")</f>
        <v/>
      </c>
      <c r="H38" s="9" t="str">
        <f>IFERROR(VLOOKUP(C38,'2015Wetlands'!A$2:H$46,7,FALSE),"")</f>
        <v/>
      </c>
      <c r="I38" s="20" t="str">
        <f>_xlfn.IFNA(IFERROR(VLOOKUP(Table3[[#This Row],[STATION]],'Class 1s'!B$5:G$62,6,FALSE),VLOOKUP(Table3[[#This Row],[Old Name]],'Class 1s'!B$5:G$62,6,FALSE)),"")</f>
        <v/>
      </c>
      <c r="J38" s="3">
        <v>93.210421684657533</v>
      </c>
      <c r="K38" s="3">
        <v>97.25</v>
      </c>
      <c r="L38" s="3">
        <f>IFERROR(VLOOKUP(Table3[[#This Row],[STATION]],AllP20!B$2:C$94,2,FALSE),"")</f>
        <v>95.68</v>
      </c>
      <c r="M38" s="3">
        <f>IFERROR(VLOOKUP(Table3[[#This Row],[STATION]],AllP20!B$2:U$94,20,FALSE),"")</f>
        <v>95.68</v>
      </c>
      <c r="N38" s="3">
        <f>IFERROR(Table3[[#This Row],[RefElev88]]-Table3[[#This Row],[2017_P80_88]],"")</f>
        <v>1.5699999999999932</v>
      </c>
    </row>
    <row r="39" spans="2:14" x14ac:dyDescent="0.25">
      <c r="B39" s="9" t="s">
        <v>108</v>
      </c>
      <c r="C39" s="9" t="str">
        <f>_xlfn.IFNA(IF(VLOOKUP(Table3[[#This Row],[STATION]],NewP20s!A$5:Q$97,17,FALSE)=0,"",VLOOKUP(Table3[[#This Row],[STATION]],NewP20s!A$5:Q$97,17,FALSE)),"")</f>
        <v/>
      </c>
      <c r="D39" s="9" t="str">
        <f>IFERROR(IF(VLOOKUP(C39,'2015Wetlands'!A$2:B$46,2,FALSE)=0,"",VLOOKUP(C39,'2015Wetlands'!A$2:B$46,2,FALSE)),"")</f>
        <v/>
      </c>
      <c r="E39" s="3" t="str">
        <f>IFERROR(IF(VLOOKUP(C39,'2015Wetlands'!A$2:I$46,3,FALSE)=0,"",VLOOKUP(C39,'2015Wetlands'!A$2:I$46,3,FALSE)),"")</f>
        <v/>
      </c>
      <c r="F39" s="3" t="str">
        <f>IFERROR(IF(VLOOKUP(C39,'2015Wetlands'!A$2:I$46,4,FALSE)=0,"",VLOOKUP(C39,'2015Wetlands'!A$2:I$46,4,FALSE)),"")</f>
        <v/>
      </c>
      <c r="G39" s="3" t="str">
        <f>IFERROR(VLOOKUP(C39,'2015Wetlands'!A$2:H$46,8,FALSE),"")</f>
        <v/>
      </c>
      <c r="H39" s="9" t="str">
        <f>IFERROR(VLOOKUP(C39,'2015Wetlands'!A$2:H$46,7,FALSE),"")</f>
        <v/>
      </c>
      <c r="I39" s="20" t="str">
        <f>_xlfn.IFNA(IFERROR(VLOOKUP(Table3[[#This Row],[STATION]],'Class 1s'!B$5:G$62,6,FALSE),VLOOKUP(Table3[[#This Row],[Old Name]],'Class 1s'!B$5:G$62,6,FALSE)),"")</f>
        <v/>
      </c>
      <c r="J39" s="3">
        <v>93.210421684657533</v>
      </c>
      <c r="K39" s="3">
        <v>97.25</v>
      </c>
      <c r="L39" s="3">
        <f>IFERROR(VLOOKUP(Table3[[#This Row],[STATION]],AllP20!B$2:C$94,2,FALSE),"")</f>
        <v>93.152889999999999</v>
      </c>
      <c r="M39" s="3">
        <f>IFERROR(VLOOKUP(Table3[[#This Row],[STATION]],AllP20!B$2:U$94,20,FALSE),"")</f>
        <v>94.261449999999996</v>
      </c>
      <c r="N39" s="3">
        <f>IFERROR(Table3[[#This Row],[RefElev88]]-Table3[[#This Row],[2017_P80_88]],"")</f>
        <v>2.9885500000000036</v>
      </c>
    </row>
    <row r="40" spans="2:14" x14ac:dyDescent="0.25">
      <c r="B40" s="9" t="s">
        <v>109</v>
      </c>
      <c r="C40" s="9" t="str">
        <f>_xlfn.IFNA(IF(VLOOKUP(Table3[[#This Row],[STATION]],NewP20s!A$5:Q$97,17,FALSE)=0,"",VLOOKUP(Table3[[#This Row],[STATION]],NewP20s!A$5:Q$97,17,FALSE)),"")</f>
        <v>Green Swamp #6, #303</v>
      </c>
      <c r="D40" s="9" t="str">
        <f>IFERROR(IF(VLOOKUP(C40,'2015Wetlands'!A$2:B$46,2,FALSE)=0,"",VLOOKUP(C40,'2015Wetlands'!A$2:B$46,2,FALSE)),"")</f>
        <v>SW-LJ</v>
      </c>
      <c r="E40" s="3">
        <f>IFERROR(IF(VLOOKUP(C40,'2015Wetlands'!A$2:I$46,3,FALSE)=0,"",VLOOKUP(C40,'2015Wetlands'!A$2:I$46,3,FALSE)),"")</f>
        <v>343837</v>
      </c>
      <c r="F40" s="3">
        <f>IFERROR(IF(VLOOKUP(C40,'2015Wetlands'!A$2:I$46,4,FALSE)=0,"",VLOOKUP(C40,'2015Wetlands'!A$2:I$46,4,FALSE)),"")</f>
        <v>1477640</v>
      </c>
      <c r="G40" s="3">
        <f>IFERROR(VLOOKUP(C40,'2015Wetlands'!A$2:H$46,8,FALSE),"")</f>
        <v>98.1</v>
      </c>
      <c r="H40" s="9">
        <f>IFERROR(VLOOKUP(C40,'2015Wetlands'!A$2:H$46,7,FALSE),"")</f>
        <v>94.07</v>
      </c>
      <c r="I40" s="20">
        <f>_xlfn.IFNA(IFERROR(VLOOKUP(Table3[[#This Row],[STATION]],'Class 1s'!B$5:G$62,6,FALSE),VLOOKUP(Table3[[#This Row],[Old Name]],'Class 1s'!B$5:G$62,6,FALSE)),"")</f>
        <v>-0.85</v>
      </c>
      <c r="J40" s="3">
        <f>IFERROR(Table3[[#This Row],[P80_29]]+Table3[[#This Row],[Datum Shift]],"")</f>
        <v>93.22</v>
      </c>
      <c r="K40" s="3">
        <f>IFERROR(IFERROR(IFERROR(VLOOKUP(Table3[[#This Row],[STATION]],'Class 1s'!B$5:H$62,7,FALSE),VLOOKUP(Table3[[#This Row],[Old Name]],'Class 1s'!B$5:H$62,7,FALSE)),(Table3[[#This Row],[RefElev27]]+Table3[[#This Row],[Datum Shift]])),"")</f>
        <v>97.25</v>
      </c>
      <c r="L40" s="3">
        <f>IFERROR(VLOOKUP(Table3[[#This Row],[STATION]],AllP20!B$2:C$94,2,FALSE),"")</f>
        <v>92.81</v>
      </c>
      <c r="M40" s="3">
        <f>IFERROR(VLOOKUP(Table3[[#This Row],[STATION]],AllP20!B$2:U$94,20,FALSE),"")</f>
        <v>94.054000000000002</v>
      </c>
      <c r="N40" s="3">
        <f>IFERROR(Table3[[#This Row],[RefElev88]]-Table3[[#This Row],[2017_P80_88]],"")</f>
        <v>3.195999999999998</v>
      </c>
    </row>
    <row r="41" spans="2:14" x14ac:dyDescent="0.25">
      <c r="C41" s="9" t="str">
        <f>_xlfn.IFNA(IF(VLOOKUP(Table3[[#This Row],[STATION]],NewP20s!A$5:Q$97,17,FALSE)=0,"",VLOOKUP(Table3[[#This Row],[STATION]],NewP20s!A$5:Q$97,17,FALSE)),"")</f>
        <v/>
      </c>
      <c r="D41" s="9" t="str">
        <f>IFERROR(IF(VLOOKUP(C41,'2015Wetlands'!A$2:B$46,2,FALSE)=0,"",VLOOKUP(C41,'2015Wetlands'!A$2:B$46,2,FALSE)),"")</f>
        <v/>
      </c>
      <c r="E41" s="3" t="str">
        <f>IFERROR(IF(VLOOKUP(C41,'2015Wetlands'!A$2:I$46,3,FALSE)=0,"",VLOOKUP(C41,'2015Wetlands'!A$2:I$46,3,FALSE)),"")</f>
        <v/>
      </c>
      <c r="F41" s="3" t="str">
        <f>IFERROR(IF(VLOOKUP(C41,'2015Wetlands'!A$2:I$46,4,FALSE)=0,"",VLOOKUP(C41,'2015Wetlands'!A$2:I$46,4,FALSE)),"")</f>
        <v/>
      </c>
      <c r="G41" s="3" t="str">
        <f>IFERROR(VLOOKUP(C41,'2015Wetlands'!A$2:H$46,8,FALSE),"")</f>
        <v/>
      </c>
      <c r="H41" s="21" t="str">
        <f>IFERROR(VLOOKUP(C41,'2015Wetlands'!A$2:H$46,7,FALSE),"")</f>
        <v/>
      </c>
      <c r="I41" s="20" t="str">
        <f>_xlfn.IFNA(IFERROR(VLOOKUP(Table3[[#This Row],[STATION]],'Class 1s'!B$5:G$62,6,FALSE),VLOOKUP(Table3[[#This Row],[Old Name]],'Class 1s'!B$5:G$62,6,FALSE)),"")</f>
        <v/>
      </c>
      <c r="J41" s="3" t="str">
        <f>IFERROR(Table3[[#This Row],[P80_29]]+Table3[[#This Row],[Datum Shift]],"")</f>
        <v/>
      </c>
      <c r="K41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41" s="3" t="str">
        <f>IFERROR(VLOOKUP(Table3[[#This Row],[STATION]],AllP20!B$2:C$94,2,FALSE),"")</f>
        <v/>
      </c>
      <c r="M41" s="3" t="str">
        <f>IFERROR(VLOOKUP(Table3[[#This Row],[STATION]],AllP20!B$2:U$94,20,FALSE),"")</f>
        <v/>
      </c>
      <c r="N41" s="3" t="str">
        <f>IFERROR(Table3[[#This Row],[RefElev88]]-Table3[[#This Row],[2017_P80_88]],"")</f>
        <v/>
      </c>
    </row>
    <row r="42" spans="2:14" x14ac:dyDescent="0.25">
      <c r="B42" s="9" t="s">
        <v>110</v>
      </c>
      <c r="C42" s="9" t="str">
        <f>_xlfn.IFNA(IF(VLOOKUP(Table3[[#This Row],[STATION]],NewP20s!A$5:Q$97,17,FALSE)=0,"",VLOOKUP(Table3[[#This Row],[STATION]],NewP20s!A$5:Q$97,17,FALSE)),"")</f>
        <v/>
      </c>
      <c r="D42" s="9" t="str">
        <f>IFERROR(IF(VLOOKUP(C42,'2015Wetlands'!A$2:B$46,2,FALSE)=0,"",VLOOKUP(C42,'2015Wetlands'!A$2:B$46,2,FALSE)),"")</f>
        <v/>
      </c>
      <c r="E42" s="3" t="str">
        <f>IFERROR(IF(VLOOKUP(C42,'2015Wetlands'!A$2:I$46,3,FALSE)=0,"",VLOOKUP(C42,'2015Wetlands'!A$2:I$46,3,FALSE)),"")</f>
        <v/>
      </c>
      <c r="F42" s="3" t="str">
        <f>IFERROR(IF(VLOOKUP(C42,'2015Wetlands'!A$2:I$46,4,FALSE)=0,"",VLOOKUP(C42,'2015Wetlands'!A$2:I$46,4,FALSE)),"")</f>
        <v/>
      </c>
      <c r="G42" s="3" t="str">
        <f>IFERROR(VLOOKUP(C42,'2015Wetlands'!A$2:H$46,8,FALSE),"")</f>
        <v/>
      </c>
      <c r="H42" s="9" t="str">
        <f>IFERROR(VLOOKUP(C42,'2015Wetlands'!A$2:H$46,7,FALSE),"")</f>
        <v/>
      </c>
      <c r="I42" s="20">
        <f>_xlfn.IFNA(IFERROR(VLOOKUP(Table3[[#This Row],[STATION]],'Class 1s'!B$5:G$62,6,FALSE),VLOOKUP(Table3[[#This Row],[Old Name]],'Class 1s'!B$5:G$62,6,FALSE)),"")</f>
        <v>-0.85301663537820183</v>
      </c>
      <c r="J42" s="3">
        <v>102.3369833646218</v>
      </c>
      <c r="K42" s="3" t="str">
        <f>IFERROR(IFERROR(IFERROR(VLOOKUP(Table3[[#This Row],[STATION]],'Class 1s'!B$5:H$62,7,FALSE),VLOOKUP(Table3[[#This Row],[Old Name]],'Class 1s'!B$5:H$62,7,FALSE)),(Table3[[#This Row],[RefElev27]]+Table3[[#This Row],[Datum Shift]])),"")</f>
        <v>TBD</v>
      </c>
      <c r="L42" s="3">
        <f>IFERROR(VLOOKUP(Table3[[#This Row],[STATION]],AllP20!B$2:C$94,2,FALSE),"")</f>
        <v>104.17</v>
      </c>
      <c r="M42" s="3">
        <f>IFERROR(VLOOKUP(Table3[[#This Row],[STATION]],AllP20!B$2:U$94,20,FALSE),"")</f>
        <v>104.17</v>
      </c>
      <c r="N42" s="3" t="str">
        <f>IFERROR(Table3[[#This Row],[RefElev88]]-Table3[[#This Row],[2017_P80_88]],"")</f>
        <v/>
      </c>
    </row>
    <row r="43" spans="2:14" x14ac:dyDescent="0.25">
      <c r="B43" s="9" t="s">
        <v>111</v>
      </c>
      <c r="C43" s="9" t="str">
        <f>_xlfn.IFNA(IF(VLOOKUP(Table3[[#This Row],[STATION]],NewP20s!A$5:Q$97,17,FALSE)=0,"",VLOOKUP(Table3[[#This Row],[STATION]],NewP20s!A$5:Q$97,17,FALSE)),"")</f>
        <v>Green Swamp 7</v>
      </c>
      <c r="D43" s="9" t="str">
        <f>IFERROR(IF(VLOOKUP(C43,'2015Wetlands'!A$2:B$46,2,FALSE)=0,"",VLOOKUP(C43,'2015Wetlands'!A$2:B$46,2,FALSE)),"")</f>
        <v>SW-AA</v>
      </c>
      <c r="E43" s="3">
        <f>IFERROR(IF(VLOOKUP(C43,'2015Wetlands'!A$2:I$46,3,FALSE)=0,"",VLOOKUP(C43,'2015Wetlands'!A$2:I$46,3,FALSE)),"")</f>
        <v>362593</v>
      </c>
      <c r="F43" s="3">
        <f>IFERROR(IF(VLOOKUP(C43,'2015Wetlands'!A$2:I$46,4,FALSE)=0,"",VLOOKUP(C43,'2015Wetlands'!A$2:I$46,4,FALSE)),"")</f>
        <v>1447630</v>
      </c>
      <c r="G43" s="3">
        <f>IFERROR(VLOOKUP(C43,'2015Wetlands'!A$2:H$46,8,FALSE),"")</f>
        <v>106.37</v>
      </c>
      <c r="H43" s="9">
        <f>IFERROR(VLOOKUP(C43,'2015Wetlands'!A$2:H$46,7,FALSE),"")</f>
        <v>103.19</v>
      </c>
      <c r="I43" s="20">
        <f>_xlfn.IFNA(IFERROR(VLOOKUP(Table3[[#This Row],[STATION]],'Class 1s'!B$5:G$62,6,FALSE),VLOOKUP(Table3[[#This Row],[Old Name]],'Class 1s'!B$5:G$62,6,FALSE)),"")</f>
        <v>-0.85301663537820183</v>
      </c>
      <c r="J43" s="3">
        <f>IFERROR(Table3[[#This Row],[P80_29]]+Table3[[#This Row],[Datum Shift]],"")</f>
        <v>102.3369833646218</v>
      </c>
      <c r="K43" s="3" t="str">
        <f>IFERROR(IFERROR(IFERROR(VLOOKUP(Table3[[#This Row],[STATION]],'Class 1s'!B$5:H$62,7,FALSE),VLOOKUP(Table3[[#This Row],[Old Name]],'Class 1s'!B$5:H$62,7,FALSE)),(Table3[[#This Row],[RefElev27]]+Table3[[#This Row],[Datum Shift]])),"")</f>
        <v>TBD</v>
      </c>
      <c r="L43" s="3">
        <f>IFERROR(VLOOKUP(Table3[[#This Row],[STATION]],AllP20!B$2:C$94,2,FALSE),"")</f>
        <v>102.59884</v>
      </c>
      <c r="M43" s="3">
        <f>IFERROR(VLOOKUP(Table3[[#This Row],[STATION]],AllP20!B$2:U$94,20,FALSE),"")</f>
        <v>103.57353000000001</v>
      </c>
      <c r="N43" s="3" t="str">
        <f>IFERROR(Table3[[#This Row],[RefElev88]]-Table3[[#This Row],[2017_P80_88]],"")</f>
        <v/>
      </c>
    </row>
    <row r="44" spans="2:14" x14ac:dyDescent="0.25">
      <c r="B44" s="24" t="s">
        <v>119</v>
      </c>
      <c r="C44" s="9" t="str">
        <f>_xlfn.IFNA(IF(VLOOKUP(Table3[[#This Row],[STATION]],NewP20s!A$5:Q$97,17,FALSE)=0,"",VLOOKUP(Table3[[#This Row],[STATION]],NewP20s!A$5:Q$97,17,FALSE)),"")</f>
        <v/>
      </c>
      <c r="D44" s="9" t="str">
        <f>IFERROR(IF(VLOOKUP(C44,'2015Wetlands'!A$2:B$46,2,FALSE)=0,"",VLOOKUP(C44,'2015Wetlands'!A$2:B$46,2,FALSE)),"")</f>
        <v/>
      </c>
      <c r="E44" s="3" t="str">
        <f>IFERROR(IF(VLOOKUP(C44,'2015Wetlands'!A$2:I$46,3,FALSE)=0,"",VLOOKUP(C44,'2015Wetlands'!A$2:I$46,3,FALSE)),"")</f>
        <v/>
      </c>
      <c r="F44" s="3" t="str">
        <f>IFERROR(IF(VLOOKUP(C44,'2015Wetlands'!A$2:I$46,4,FALSE)=0,"",VLOOKUP(C44,'2015Wetlands'!A$2:I$46,4,FALSE)),"")</f>
        <v/>
      </c>
      <c r="G44" s="3" t="str">
        <f>IFERROR(VLOOKUP(C44,'2015Wetlands'!A$2:H$46,8,FALSE),"")</f>
        <v/>
      </c>
      <c r="H44" s="9" t="str">
        <f>IFERROR(VLOOKUP(C44,'2015Wetlands'!A$2:H$46,7,FALSE),"")</f>
        <v/>
      </c>
      <c r="I44" s="20" t="str">
        <f>_xlfn.IFNA(IFERROR(VLOOKUP(Table3[[#This Row],[STATION]],'Class 1s'!B$5:G$62,6,FALSE),VLOOKUP(Table3[[#This Row],[Old Name]],'Class 1s'!B$5:G$62,6,FALSE)),"")</f>
        <v/>
      </c>
      <c r="J44" s="3">
        <v>102.3369833646218</v>
      </c>
      <c r="K44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44" s="3">
        <f>IFERROR(VLOOKUP(Table3[[#This Row],[STATION]],AllP20!B$2:C$94,2,FALSE),"")</f>
        <v>102.5</v>
      </c>
      <c r="M44" s="3">
        <f>IFERROR(VLOOKUP(Table3[[#This Row],[STATION]],AllP20!B$2:U$94,20,FALSE),"")</f>
        <v>102.59</v>
      </c>
      <c r="N44" s="3" t="str">
        <f>IFERROR(Table3[[#This Row],[RefElev88]]-Table3[[#This Row],[2017_P80_88]],"")</f>
        <v/>
      </c>
    </row>
    <row r="45" spans="2:14" x14ac:dyDescent="0.25">
      <c r="B45" s="9" t="s">
        <v>120</v>
      </c>
      <c r="C45" s="9" t="str">
        <f>_xlfn.IFNA(IF(VLOOKUP(Table3[[#This Row],[STATION]],NewP20s!A$5:Q$97,17,FALSE)=0,"",VLOOKUP(Table3[[#This Row],[STATION]],NewP20s!A$5:Q$97,17,FALSE)),"")</f>
        <v/>
      </c>
      <c r="D45" s="9" t="str">
        <f>IFERROR(IF(VLOOKUP(C45,'2015Wetlands'!A$2:B$46,2,FALSE)=0,"",VLOOKUP(C45,'2015Wetlands'!A$2:B$46,2,FALSE)),"")</f>
        <v/>
      </c>
      <c r="E45" s="3" t="str">
        <f>IFERROR(IF(VLOOKUP(C45,'2015Wetlands'!A$2:I$46,3,FALSE)=0,"",VLOOKUP(C45,'2015Wetlands'!A$2:I$46,3,FALSE)),"")</f>
        <v/>
      </c>
      <c r="F45" s="3" t="str">
        <f>IFERROR(IF(VLOOKUP(C45,'2015Wetlands'!A$2:I$46,4,FALSE)=0,"",VLOOKUP(C45,'2015Wetlands'!A$2:I$46,4,FALSE)),"")</f>
        <v/>
      </c>
      <c r="G45" s="3" t="str">
        <f>IFERROR(VLOOKUP(C45,'2015Wetlands'!A$2:H$46,8,FALSE),"")</f>
        <v/>
      </c>
      <c r="H45" s="9" t="str">
        <f>IFERROR(VLOOKUP(C45,'2015Wetlands'!A$2:H$46,7,FALSE),"")</f>
        <v/>
      </c>
      <c r="I45" s="20" t="str">
        <f>_xlfn.IFNA(IFERROR(VLOOKUP(Table3[[#This Row],[STATION]],'Class 1s'!B$5:G$62,6,FALSE),VLOOKUP(Table3[[#This Row],[Old Name]],'Class 1s'!B$5:G$62,6,FALSE)),"")</f>
        <v/>
      </c>
      <c r="J45" s="3">
        <v>102.3369833646218</v>
      </c>
      <c r="K45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45" s="3" t="str">
        <f>IFERROR(VLOOKUP(Table3[[#This Row],[STATION]],AllP20!B$2:C$94,2,FALSE),"")</f>
        <v>NA</v>
      </c>
      <c r="M45" s="3">
        <f>IFERROR(VLOOKUP(Table3[[#This Row],[STATION]],AllP20!B$2:U$94,20,FALSE),"")</f>
        <v>103.40600000000001</v>
      </c>
      <c r="N45" s="3" t="str">
        <f>IFERROR(Table3[[#This Row],[RefElev88]]-Table3[[#This Row],[2017_P80_88]],"")</f>
        <v/>
      </c>
    </row>
    <row r="46" spans="2:14" x14ac:dyDescent="0.25">
      <c r="C46" s="9" t="str">
        <f>_xlfn.IFNA(IF(VLOOKUP(Table3[[#This Row],[STATION]],NewP20s!A$5:Q$97,17,FALSE)=0,"",VLOOKUP(Table3[[#This Row],[STATION]],NewP20s!A$5:Q$97,17,FALSE)),"")</f>
        <v/>
      </c>
      <c r="D46" s="9" t="str">
        <f>IFERROR(IF(VLOOKUP(C46,'2015Wetlands'!A$2:B$46,2,FALSE)=0,"",VLOOKUP(C46,'2015Wetlands'!A$2:B$46,2,FALSE)),"")</f>
        <v/>
      </c>
      <c r="E46" s="3" t="str">
        <f>IFERROR(IF(VLOOKUP(C46,'2015Wetlands'!A$2:I$46,3,FALSE)=0,"",VLOOKUP(C46,'2015Wetlands'!A$2:I$46,3,FALSE)),"")</f>
        <v/>
      </c>
      <c r="F46" s="3" t="str">
        <f>IFERROR(IF(VLOOKUP(C46,'2015Wetlands'!A$2:I$46,4,FALSE)=0,"",VLOOKUP(C46,'2015Wetlands'!A$2:I$46,4,FALSE)),"")</f>
        <v/>
      </c>
      <c r="G46" s="3" t="str">
        <f>IFERROR(VLOOKUP(C46,'2015Wetlands'!A$2:H$46,8,FALSE),"")</f>
        <v/>
      </c>
      <c r="H46" s="21" t="str">
        <f>IFERROR(VLOOKUP(C46,'2015Wetlands'!A$2:H$46,7,FALSE),"")</f>
        <v/>
      </c>
      <c r="I46" s="20" t="str">
        <f>_xlfn.IFNA(IFERROR(VLOOKUP(Table3[[#This Row],[STATION]],'Class 1s'!B$5:G$62,6,FALSE),VLOOKUP(Table3[[#This Row],[Old Name]],'Class 1s'!B$5:G$62,6,FALSE)),"")</f>
        <v/>
      </c>
      <c r="J46" s="3" t="str">
        <f>IFERROR(Table3[[#This Row],[P80_29]]+Table3[[#This Row],[Datum Shift]],"")</f>
        <v/>
      </c>
      <c r="K46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46" s="3" t="str">
        <f>IFERROR(VLOOKUP(Table3[[#This Row],[STATION]],AllP20!B$2:C$94,2,FALSE),"")</f>
        <v/>
      </c>
      <c r="M46" s="3" t="str">
        <f>IFERROR(VLOOKUP(Table3[[#This Row],[STATION]],AllP20!B$2:U$94,20,FALSE),"")</f>
        <v/>
      </c>
      <c r="N46" s="3" t="str">
        <f>IFERROR(Table3[[#This Row],[RefElev88]]-Table3[[#This Row],[2017_P80_88]],"")</f>
        <v/>
      </c>
    </row>
    <row r="47" spans="2:14" x14ac:dyDescent="0.25">
      <c r="B47" s="9" t="s">
        <v>112</v>
      </c>
      <c r="C47" s="9" t="str">
        <f>_xlfn.IFNA(IF(VLOOKUP(Table3[[#This Row],[STATION]],NewP20s!A$5:Q$97,17,FALSE)=0,"",VLOOKUP(Table3[[#This Row],[STATION]],NewP20s!A$5:Q$97,17,FALSE)),"")</f>
        <v/>
      </c>
      <c r="D47" s="9" t="str">
        <f>IFERROR(IF(VLOOKUP(C47,'2015Wetlands'!A$2:B$46,2,FALSE)=0,"",VLOOKUP(C47,'2015Wetlands'!A$2:B$46,2,FALSE)),"")</f>
        <v/>
      </c>
      <c r="E47" s="3" t="str">
        <f>IFERROR(IF(VLOOKUP(C47,'2015Wetlands'!A$2:I$46,3,FALSE)=0,"",VLOOKUP(C47,'2015Wetlands'!A$2:I$46,3,FALSE)),"")</f>
        <v/>
      </c>
      <c r="F47" s="3" t="str">
        <f>IFERROR(IF(VLOOKUP(C47,'2015Wetlands'!A$2:I$46,4,FALSE)=0,"",VLOOKUP(C47,'2015Wetlands'!A$2:I$46,4,FALSE)),"")</f>
        <v/>
      </c>
      <c r="G47" s="3" t="str">
        <f>IFERROR(VLOOKUP(C47,'2015Wetlands'!A$2:H$46,8,FALSE),"")</f>
        <v/>
      </c>
      <c r="H47" s="9" t="str">
        <f>IFERROR(VLOOKUP(C47,'2015Wetlands'!A$2:H$46,7,FALSE),"")</f>
        <v/>
      </c>
      <c r="I47" s="20">
        <f>_xlfn.IFNA(IFERROR(VLOOKUP(Table3[[#This Row],[STATION]],'Class 1s'!B$5:G$62,6,FALSE),VLOOKUP(Table3[[#This Row],[Old Name]],'Class 1s'!B$5:G$62,6,FALSE)),"")</f>
        <v>-0.85957831534246598</v>
      </c>
      <c r="J47" s="3" t="str">
        <f>IFERROR(Table3[[#This Row],[P80_29]]+Table3[[#This Row],[Datum Shift]],"")</f>
        <v/>
      </c>
      <c r="K47" s="3">
        <f>IFERROR(IFERROR(IFERROR(VLOOKUP(Table3[[#This Row],[STATION]],'Class 1s'!B$5:H$62,7,FALSE),VLOOKUP(Table3[[#This Row],[Old Name]],'Class 1s'!B$5:H$62,7,FALSE)),(Table3[[#This Row],[RefElev27]]+Table3[[#This Row],[Datum Shift]])),"")</f>
        <v>100.83</v>
      </c>
      <c r="L47" s="3">
        <f>IFERROR(VLOOKUP(Table3[[#This Row],[STATION]],AllP20!B$2:C$94,2,FALSE),"")</f>
        <v>98.44</v>
      </c>
      <c r="M47" s="3">
        <f>IFERROR(VLOOKUP(Table3[[#This Row],[STATION]],AllP20!B$2:U$94,20,FALSE),"")</f>
        <v>98.44</v>
      </c>
      <c r="N47" s="3">
        <f>IFERROR(Table3[[#This Row],[RefElev88]]-Table3[[#This Row],[2017_P80_88]],"")</f>
        <v>2.3900000000000006</v>
      </c>
    </row>
    <row r="48" spans="2:14" x14ac:dyDescent="0.25">
      <c r="B48" s="9" t="s">
        <v>113</v>
      </c>
      <c r="C48" s="9" t="str">
        <f>_xlfn.IFNA(IF(VLOOKUP(Table3[[#This Row],[STATION]],NewP20s!A$5:Q$97,17,FALSE)=0,"",VLOOKUP(Table3[[#This Row],[STATION]],NewP20s!A$5:Q$97,17,FALSE)),"")</f>
        <v/>
      </c>
      <c r="D48" s="9" t="str">
        <f>IFERROR(IF(VLOOKUP(C48,'2015Wetlands'!A$2:B$46,2,FALSE)=0,"",VLOOKUP(C48,'2015Wetlands'!A$2:B$46,2,FALSE)),"")</f>
        <v/>
      </c>
      <c r="E48" s="3" t="str">
        <f>IFERROR(IF(VLOOKUP(C48,'2015Wetlands'!A$2:I$46,3,FALSE)=0,"",VLOOKUP(C48,'2015Wetlands'!A$2:I$46,3,FALSE)),"")</f>
        <v/>
      </c>
      <c r="F48" s="3" t="str">
        <f>IFERROR(IF(VLOOKUP(C48,'2015Wetlands'!A$2:I$46,4,FALSE)=0,"",VLOOKUP(C48,'2015Wetlands'!A$2:I$46,4,FALSE)),"")</f>
        <v/>
      </c>
      <c r="G48" s="3" t="str">
        <f>IFERROR(VLOOKUP(C48,'2015Wetlands'!A$2:H$46,8,FALSE),"")</f>
        <v/>
      </c>
      <c r="H48" s="9" t="str">
        <f>IFERROR(VLOOKUP(C48,'2015Wetlands'!A$2:H$46,7,FALSE),"")</f>
        <v/>
      </c>
      <c r="I48" s="20" t="str">
        <f>_xlfn.IFNA(IFERROR(VLOOKUP(Table3[[#This Row],[STATION]],'Class 1s'!B$5:G$62,6,FALSE),VLOOKUP(Table3[[#This Row],[Old Name]],'Class 1s'!B$5:G$62,6,FALSE)),"")</f>
        <v/>
      </c>
      <c r="J48" s="3" t="str">
        <f>IFERROR(Table3[[#This Row],[P80_29]]+Table3[[#This Row],[Datum Shift]],"")</f>
        <v/>
      </c>
      <c r="K48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48" s="3">
        <f>IFERROR(VLOOKUP(Table3[[#This Row],[STATION]],AllP20!B$2:C$94,2,FALSE),"")</f>
        <v>96.172389999999993</v>
      </c>
      <c r="M48" s="3">
        <f>IFERROR(VLOOKUP(Table3[[#This Row],[STATION]],AllP20!B$2:U$94,20,FALSE),"")</f>
        <v>97.645520000000005</v>
      </c>
      <c r="N48" s="3" t="str">
        <f>IFERROR(Table3[[#This Row],[RefElev88]]-Table3[[#This Row],[2017_P80_88]],"")</f>
        <v/>
      </c>
    </row>
    <row r="49" spans="2:14" x14ac:dyDescent="0.25">
      <c r="B49" s="9" t="s">
        <v>114</v>
      </c>
      <c r="C49" s="9" t="str">
        <f>_xlfn.IFNA(IF(VLOOKUP(Table3[[#This Row],[STATION]],NewP20s!A$5:Q$97,17,FALSE)=0,"",VLOOKUP(Table3[[#This Row],[STATION]],NewP20s!A$5:Q$97,17,FALSE)),"")</f>
        <v/>
      </c>
      <c r="D49" s="9" t="str">
        <f>IFERROR(IF(VLOOKUP(C49,'2015Wetlands'!A$2:B$46,2,FALSE)=0,"",VLOOKUP(C49,'2015Wetlands'!A$2:B$46,2,FALSE)),"")</f>
        <v/>
      </c>
      <c r="E49" s="3" t="str">
        <f>IFERROR(IF(VLOOKUP(C49,'2015Wetlands'!A$2:I$46,3,FALSE)=0,"",VLOOKUP(C49,'2015Wetlands'!A$2:I$46,3,FALSE)),"")</f>
        <v/>
      </c>
      <c r="F49" s="3" t="str">
        <f>IFERROR(IF(VLOOKUP(C49,'2015Wetlands'!A$2:I$46,4,FALSE)=0,"",VLOOKUP(C49,'2015Wetlands'!A$2:I$46,4,FALSE)),"")</f>
        <v/>
      </c>
      <c r="G49" s="3" t="str">
        <f>IFERROR(VLOOKUP(C49,'2015Wetlands'!A$2:H$46,8,FALSE),"")</f>
        <v/>
      </c>
      <c r="H49" s="9" t="str">
        <f>IFERROR(VLOOKUP(C49,'2015Wetlands'!A$2:H$46,7,FALSE),"")</f>
        <v/>
      </c>
      <c r="I49" s="20" t="str">
        <f>_xlfn.IFNA(IFERROR(VLOOKUP(Table3[[#This Row],[STATION]],'Class 1s'!B$5:G$62,6,FALSE),VLOOKUP(Table3[[#This Row],[Old Name]],'Class 1s'!B$5:G$62,6,FALSE)),"")</f>
        <v/>
      </c>
      <c r="J49" s="3" t="str">
        <f>IFERROR(Table3[[#This Row],[P80_29]]+Table3[[#This Row],[Datum Shift]],"")</f>
        <v/>
      </c>
      <c r="K49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49" s="3">
        <f>IFERROR(VLOOKUP(Table3[[#This Row],[STATION]],AllP20!B$2:C$94,2,FALSE),"")</f>
        <v>96.6</v>
      </c>
      <c r="M49" s="3">
        <f>IFERROR(VLOOKUP(Table3[[#This Row],[STATION]],AllP20!B$2:U$94,20,FALSE),"")</f>
        <v>97.623999999999995</v>
      </c>
      <c r="N49" s="3" t="str">
        <f>IFERROR(Table3[[#This Row],[RefElev88]]-Table3[[#This Row],[2017_P80_88]],"")</f>
        <v/>
      </c>
    </row>
    <row r="50" spans="2:14" x14ac:dyDescent="0.25">
      <c r="C50" s="9" t="str">
        <f>_xlfn.IFNA(IF(VLOOKUP(Table3[[#This Row],[STATION]],NewP20s!A$5:Q$97,17,FALSE)=0,"",VLOOKUP(Table3[[#This Row],[STATION]],NewP20s!A$5:Q$97,17,FALSE)),"")</f>
        <v/>
      </c>
      <c r="D50" s="9" t="str">
        <f>IFERROR(IF(VLOOKUP(C50,'2015Wetlands'!A$2:B$46,2,FALSE)=0,"",VLOOKUP(C50,'2015Wetlands'!A$2:B$46,2,FALSE)),"")</f>
        <v/>
      </c>
      <c r="E50" s="3" t="str">
        <f>IFERROR(IF(VLOOKUP(C50,'2015Wetlands'!A$2:I$46,3,FALSE)=0,"",VLOOKUP(C50,'2015Wetlands'!A$2:I$46,3,FALSE)),"")</f>
        <v/>
      </c>
      <c r="F50" s="3" t="str">
        <f>IFERROR(IF(VLOOKUP(C50,'2015Wetlands'!A$2:I$46,4,FALSE)=0,"",VLOOKUP(C50,'2015Wetlands'!A$2:I$46,4,FALSE)),"")</f>
        <v/>
      </c>
      <c r="G50" s="3" t="str">
        <f>IFERROR(VLOOKUP(C50,'2015Wetlands'!A$2:H$46,8,FALSE),"")</f>
        <v/>
      </c>
      <c r="H50" s="21" t="str">
        <f>IFERROR(VLOOKUP(C50,'2015Wetlands'!A$2:H$46,7,FALSE),"")</f>
        <v/>
      </c>
      <c r="I50" s="20" t="str">
        <f>_xlfn.IFNA(IFERROR(VLOOKUP(Table3[[#This Row],[STATION]],'Class 1s'!B$5:G$62,6,FALSE),VLOOKUP(Table3[[#This Row],[Old Name]],'Class 1s'!B$5:G$62,6,FALSE)),"")</f>
        <v/>
      </c>
      <c r="J50" s="3" t="str">
        <f>IFERROR(Table3[[#This Row],[P80_29]]+Table3[[#This Row],[Datum Shift]],"")</f>
        <v/>
      </c>
      <c r="K50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50" s="3" t="str">
        <f>IFERROR(VLOOKUP(Table3[[#This Row],[STATION]],AllP20!B$2:C$94,2,FALSE),"")</f>
        <v/>
      </c>
      <c r="M50" s="3" t="str">
        <f>IFERROR(VLOOKUP(Table3[[#This Row],[STATION]],AllP20!B$2:U$94,20,FALSE),"")</f>
        <v/>
      </c>
      <c r="N50" s="3" t="str">
        <f>IFERROR(Table3[[#This Row],[RefElev88]]-Table3[[#This Row],[2017_P80_88]],"")</f>
        <v/>
      </c>
    </row>
    <row r="51" spans="2:14" x14ac:dyDescent="0.25">
      <c r="B51" s="9" t="s">
        <v>115</v>
      </c>
      <c r="C51" s="9" t="str">
        <f>_xlfn.IFNA(IF(VLOOKUP(Table3[[#This Row],[STATION]],NewP20s!A$5:Q$97,17,FALSE)=0,"",VLOOKUP(Table3[[#This Row],[STATION]],NewP20s!A$5:Q$97,17,FALSE)),"")</f>
        <v/>
      </c>
      <c r="D51" s="9" t="str">
        <f>IFERROR(IF(VLOOKUP(C51,'2015Wetlands'!A$2:B$46,2,FALSE)=0,"",VLOOKUP(C51,'2015Wetlands'!A$2:B$46,2,FALSE)),"")</f>
        <v/>
      </c>
      <c r="E51" s="3" t="str">
        <f>IFERROR(IF(VLOOKUP(C51,'2015Wetlands'!A$2:I$46,3,FALSE)=0,"",VLOOKUP(C51,'2015Wetlands'!A$2:I$46,3,FALSE)),"")</f>
        <v/>
      </c>
      <c r="F51" s="3" t="str">
        <f>IFERROR(IF(VLOOKUP(C51,'2015Wetlands'!A$2:I$46,4,FALSE)=0,"",VLOOKUP(C51,'2015Wetlands'!A$2:I$46,4,FALSE)),"")</f>
        <v/>
      </c>
      <c r="G51" s="3" t="str">
        <f>IFERROR(VLOOKUP(C51,'2015Wetlands'!A$2:H$46,8,FALSE),"")</f>
        <v/>
      </c>
      <c r="H51" s="9" t="str">
        <f>IFERROR(VLOOKUP(C51,'2015Wetlands'!A$2:H$46,7,FALSE),"")</f>
        <v/>
      </c>
      <c r="I51" s="20" t="str">
        <f>_xlfn.IFNA(IFERROR(VLOOKUP(Table3[[#This Row],[STATION]],'Class 1s'!B$5:G$62,6,FALSE),VLOOKUP(Table3[[#This Row],[Old Name]],'Class 1s'!B$5:G$62,6,FALSE)),"")</f>
        <v/>
      </c>
      <c r="J51" s="3" t="str">
        <f>IFERROR(Table3[[#This Row],[P80_29]]+Table3[[#This Row],[Datum Shift]],"")</f>
        <v/>
      </c>
      <c r="K51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51" s="3">
        <f>IFERROR(VLOOKUP(Table3[[#This Row],[STATION]],AllP20!B$2:C$94,2,FALSE),"")</f>
        <v>87.828050000000005</v>
      </c>
      <c r="M51" s="3">
        <f>IFERROR(VLOOKUP(Table3[[#This Row],[STATION]],AllP20!B$2:U$94,20,FALSE),"")</f>
        <v>89.317430000000002</v>
      </c>
      <c r="N51" s="3" t="str">
        <f>IFERROR(Table3[[#This Row],[RefElev88]]-Table3[[#This Row],[2017_P80_88]],"")</f>
        <v/>
      </c>
    </row>
    <row r="52" spans="2:14" x14ac:dyDescent="0.25">
      <c r="C52" s="9" t="str">
        <f>_xlfn.IFNA(IF(VLOOKUP(Table3[[#This Row],[STATION]],NewP20s!A$5:Q$97,17,FALSE)=0,"",VLOOKUP(Table3[[#This Row],[STATION]],NewP20s!A$5:Q$97,17,FALSE)),"")</f>
        <v/>
      </c>
      <c r="D52" s="9" t="str">
        <f>IFERROR(IF(VLOOKUP(C52,'2015Wetlands'!A$2:B$46,2,FALSE)=0,"",VLOOKUP(C52,'2015Wetlands'!A$2:B$46,2,FALSE)),"")</f>
        <v/>
      </c>
      <c r="E52" s="3" t="str">
        <f>IFERROR(IF(VLOOKUP(C52,'2015Wetlands'!A$2:I$46,3,FALSE)=0,"",VLOOKUP(C52,'2015Wetlands'!A$2:I$46,3,FALSE)),"")</f>
        <v/>
      </c>
      <c r="F52" s="3" t="str">
        <f>IFERROR(IF(VLOOKUP(C52,'2015Wetlands'!A$2:I$46,4,FALSE)=0,"",VLOOKUP(C52,'2015Wetlands'!A$2:I$46,4,FALSE)),"")</f>
        <v/>
      </c>
      <c r="G52" s="3" t="str">
        <f>IFERROR(VLOOKUP(C52,'2015Wetlands'!A$2:H$46,8,FALSE),"")</f>
        <v/>
      </c>
      <c r="H52" s="21" t="str">
        <f>IFERROR(VLOOKUP(C52,'2015Wetlands'!A$2:H$46,7,FALSE),"")</f>
        <v/>
      </c>
      <c r="I52" s="20" t="str">
        <f>_xlfn.IFNA(IFERROR(VLOOKUP(Table3[[#This Row],[STATION]],'Class 1s'!B$5:G$62,6,FALSE),VLOOKUP(Table3[[#This Row],[Old Name]],'Class 1s'!B$5:G$62,6,FALSE)),"")</f>
        <v/>
      </c>
      <c r="J52" s="3" t="str">
        <f>IFERROR(Table3[[#This Row],[P80_29]]+Table3[[#This Row],[Datum Shift]],"")</f>
        <v/>
      </c>
      <c r="K52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52" s="3" t="str">
        <f>IFERROR(VLOOKUP(Table3[[#This Row],[STATION]],AllP20!B$2:C$94,2,FALSE),"")</f>
        <v/>
      </c>
      <c r="M52" s="3" t="str">
        <f>IFERROR(VLOOKUP(Table3[[#This Row],[STATION]],AllP20!B$2:U$94,20,FALSE),"")</f>
        <v/>
      </c>
      <c r="N52" s="3" t="str">
        <f>IFERROR(Table3[[#This Row],[RefElev88]]-Table3[[#This Row],[2017_P80_88]],"")</f>
        <v/>
      </c>
    </row>
    <row r="53" spans="2:14" x14ac:dyDescent="0.25">
      <c r="B53" s="9" t="s">
        <v>116</v>
      </c>
      <c r="C53" s="9" t="str">
        <f>_xlfn.IFNA(IF(VLOOKUP(Table3[[#This Row],[STATION]],NewP20s!A$5:Q$97,17,FALSE)=0,"",VLOOKUP(Table3[[#This Row],[STATION]],NewP20s!A$5:Q$97,17,FALSE)),"")</f>
        <v/>
      </c>
      <c r="D53" s="9" t="str">
        <f>IFERROR(IF(VLOOKUP(C53,'2015Wetlands'!A$2:B$46,2,FALSE)=0,"",VLOOKUP(C53,'2015Wetlands'!A$2:B$46,2,FALSE)),"")</f>
        <v/>
      </c>
      <c r="E53" s="3" t="str">
        <f>IFERROR(IF(VLOOKUP(C53,'2015Wetlands'!A$2:I$46,3,FALSE)=0,"",VLOOKUP(C53,'2015Wetlands'!A$2:I$46,3,FALSE)),"")</f>
        <v/>
      </c>
      <c r="F53" s="3" t="str">
        <f>IFERROR(IF(VLOOKUP(C53,'2015Wetlands'!A$2:I$46,4,FALSE)=0,"",VLOOKUP(C53,'2015Wetlands'!A$2:I$46,4,FALSE)),"")</f>
        <v/>
      </c>
      <c r="G53" s="3" t="str">
        <f>IFERROR(VLOOKUP(C53,'2015Wetlands'!A$2:H$46,8,FALSE),"")</f>
        <v/>
      </c>
      <c r="H53" s="9" t="str">
        <f>IFERROR(VLOOKUP(C53,'2015Wetlands'!A$2:H$46,7,FALSE),"")</f>
        <v/>
      </c>
      <c r="I53" s="20" t="str">
        <f>_xlfn.IFNA(IFERROR(VLOOKUP(Table3[[#This Row],[STATION]],'Class 1s'!B$5:G$62,6,FALSE),VLOOKUP(Table3[[#This Row],[Old Name]],'Class 1s'!B$5:G$62,6,FALSE)),"")</f>
        <v/>
      </c>
      <c r="J53" s="3" t="str">
        <f>IFERROR(Table3[[#This Row],[P80_29]]+Table3[[#This Row],[Datum Shift]],"")</f>
        <v/>
      </c>
      <c r="K53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53" s="3">
        <f>IFERROR(VLOOKUP(Table3[[#This Row],[STATION]],AllP20!B$2:C$94,2,FALSE),"")</f>
        <v>91.529240000000001</v>
      </c>
      <c r="M53" s="3">
        <f>IFERROR(VLOOKUP(Table3[[#This Row],[STATION]],AllP20!B$2:U$94,20,FALSE),"")</f>
        <v>91.641990000000007</v>
      </c>
      <c r="N53" s="3" t="str">
        <f>IFERROR(Table3[[#This Row],[RefElev88]]-Table3[[#This Row],[2017_P80_88]],"")</f>
        <v/>
      </c>
    </row>
    <row r="54" spans="2:14" x14ac:dyDescent="0.25">
      <c r="B54" s="9" t="s">
        <v>117</v>
      </c>
      <c r="C54" s="9" t="str">
        <f>_xlfn.IFNA(IF(VLOOKUP(Table3[[#This Row],[STATION]],NewP20s!A$5:Q$97,17,FALSE)=0,"",VLOOKUP(Table3[[#This Row],[STATION]],NewP20s!A$5:Q$97,17,FALSE)),"")</f>
        <v/>
      </c>
      <c r="D54" s="9" t="str">
        <f>IFERROR(IF(VLOOKUP(C54,'2015Wetlands'!A$2:B$46,2,FALSE)=0,"",VLOOKUP(C54,'2015Wetlands'!A$2:B$46,2,FALSE)),"")</f>
        <v/>
      </c>
      <c r="E54" s="3" t="str">
        <f>IFERROR(IF(VLOOKUP(C54,'2015Wetlands'!A$2:I$46,3,FALSE)=0,"",VLOOKUP(C54,'2015Wetlands'!A$2:I$46,3,FALSE)),"")</f>
        <v/>
      </c>
      <c r="F54" s="3" t="str">
        <f>IFERROR(IF(VLOOKUP(C54,'2015Wetlands'!A$2:I$46,4,FALSE)=0,"",VLOOKUP(C54,'2015Wetlands'!A$2:I$46,4,FALSE)),"")</f>
        <v/>
      </c>
      <c r="G54" s="3" t="str">
        <f>IFERROR(VLOOKUP(C54,'2015Wetlands'!A$2:H$46,8,FALSE),"")</f>
        <v/>
      </c>
      <c r="H54" s="9" t="str">
        <f>IFERROR(VLOOKUP(C54,'2015Wetlands'!A$2:H$46,7,FALSE),"")</f>
        <v/>
      </c>
      <c r="I54" s="20" t="str">
        <f>_xlfn.IFNA(IFERROR(VLOOKUP(Table3[[#This Row],[STATION]],'Class 1s'!B$5:G$62,6,FALSE),VLOOKUP(Table3[[#This Row],[Old Name]],'Class 1s'!B$5:G$62,6,FALSE)),"")</f>
        <v/>
      </c>
      <c r="J54" s="3" t="str">
        <f>IFERROR(Table3[[#This Row],[P80_29]]+Table3[[#This Row],[Datum Shift]],"")</f>
        <v/>
      </c>
      <c r="K54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54" s="3">
        <f>IFERROR(VLOOKUP(Table3[[#This Row],[STATION]],AllP20!B$2:C$94,2,FALSE),"")</f>
        <v>89.547560000000004</v>
      </c>
      <c r="M54" s="3">
        <f>IFERROR(VLOOKUP(Table3[[#This Row],[STATION]],AllP20!B$2:U$94,20,FALSE),"")</f>
        <v>90.155950000000004</v>
      </c>
      <c r="N54" s="3" t="str">
        <f>IFERROR(Table3[[#This Row],[RefElev88]]-Table3[[#This Row],[2017_P80_88]],"")</f>
        <v/>
      </c>
    </row>
    <row r="55" spans="2:14" x14ac:dyDescent="0.25">
      <c r="B55" s="9" t="s">
        <v>118</v>
      </c>
      <c r="C55" s="9" t="str">
        <f>_xlfn.IFNA(IF(VLOOKUP(Table3[[#This Row],[STATION]],NewP20s!A$5:Q$97,17,FALSE)=0,"",VLOOKUP(Table3[[#This Row],[STATION]],NewP20s!A$5:Q$97,17,FALSE)),"")</f>
        <v>Green Swamp Marsh #304</v>
      </c>
      <c r="D55" s="9" t="str">
        <f>IFERROR(IF(VLOOKUP(C55,'2015Wetlands'!A$2:B$46,2,FALSE)=0,"",VLOOKUP(C55,'2015Wetlands'!A$2:B$46,2,FALSE)),"")</f>
        <v>SW-LI</v>
      </c>
      <c r="E55" s="3" t="str">
        <f>IFERROR(IF(VLOOKUP(C55,'2015Wetlands'!A$2:I$46,3,FALSE)=0,"",VLOOKUP(C55,'2015Wetlands'!A$2:I$46,3,FALSE)),"")</f>
        <v/>
      </c>
      <c r="F55" s="3" t="str">
        <f>IFERROR(IF(VLOOKUP(C55,'2015Wetlands'!A$2:I$46,4,FALSE)=0,"",VLOOKUP(C55,'2015Wetlands'!A$2:I$46,4,FALSE)),"")</f>
        <v/>
      </c>
      <c r="G55" s="3">
        <f>IFERROR(VLOOKUP(C55,'2015Wetlands'!A$2:H$46,8,FALSE),"")</f>
        <v>93.9</v>
      </c>
      <c r="H55" s="9">
        <f>IFERROR(VLOOKUP(C55,'2015Wetlands'!A$2:H$46,7,FALSE),"")</f>
        <v>92.64</v>
      </c>
      <c r="I55" s="20">
        <f>_xlfn.IFNA(IFERROR(VLOOKUP(Table3[[#This Row],[STATION]],'Class 1s'!B$5:G$62,6,FALSE),VLOOKUP(Table3[[#This Row],[Old Name]],'Class 1s'!B$5:G$62,6,FALSE)),"")</f>
        <v>-1.02</v>
      </c>
      <c r="J55" s="3">
        <f>IFERROR(Table3[[#This Row],[P80_29]]+Table3[[#This Row],[Datum Shift]],"")</f>
        <v>91.62</v>
      </c>
      <c r="K55" s="3">
        <f>IFERROR(IFERROR(IFERROR(VLOOKUP(Table3[[#This Row],[STATION]],'Class 1s'!B$5:H$62,7,FALSE),VLOOKUP(Table3[[#This Row],[Old Name]],'Class 1s'!B$5:H$62,7,FALSE)),(Table3[[#This Row],[RefElev27]]+Table3[[#This Row],[Datum Shift]])),"")</f>
        <v>92.88000000000001</v>
      </c>
      <c r="L55" s="3">
        <f>IFERROR(VLOOKUP(Table3[[#This Row],[STATION]],AllP20!B$2:C$94,2,FALSE),"")</f>
        <v>91.73</v>
      </c>
      <c r="M55" s="3">
        <f>IFERROR(VLOOKUP(Table3[[#This Row],[STATION]],AllP20!B$2:U$94,20,FALSE),"")</f>
        <v>91.75</v>
      </c>
      <c r="N55" s="3">
        <f>IFERROR(Table3[[#This Row],[RefElev88]]-Table3[[#This Row],[2017_P80_88]],"")</f>
        <v>1.1300000000000097</v>
      </c>
    </row>
    <row r="56" spans="2:14" x14ac:dyDescent="0.25">
      <c r="C56" s="9" t="str">
        <f>_xlfn.IFNA(IF(VLOOKUP(Table3[[#This Row],[STATION]],NewP20s!A$5:Q$97,17,FALSE)=0,"",VLOOKUP(Table3[[#This Row],[STATION]],NewP20s!A$5:Q$97,17,FALSE)),"")</f>
        <v/>
      </c>
      <c r="I56" s="20" t="str">
        <f>_xlfn.IFNA(IFERROR(VLOOKUP(Table3[[#This Row],[STATION]],'Class 1s'!B$5:G$62,6,FALSE),VLOOKUP(Table3[[#This Row],[Old Name]],'Class 1s'!B$5:G$62,6,FALSE)),"")</f>
        <v/>
      </c>
      <c r="K56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56" s="3" t="str">
        <f>IFERROR(VLOOKUP(Table3[[#This Row],[STATION]],AllP20!B$2:C$94,2,FALSE),"")</f>
        <v/>
      </c>
      <c r="M56" s="3" t="str">
        <f>IFERROR(VLOOKUP(Table3[[#This Row],[STATION]],AllP20!B$2:U$94,20,FALSE),"")</f>
        <v/>
      </c>
      <c r="N56" s="3" t="str">
        <f>IFERROR(Table3[[#This Row],[RefElev88]]-Table3[[#This Row],[2017_P80_88]],"")</f>
        <v/>
      </c>
    </row>
    <row r="57" spans="2:14" x14ac:dyDescent="0.25">
      <c r="C57" s="9" t="str">
        <f>_xlfn.IFNA(IF(VLOOKUP(Table3[[#This Row],[STATION]],NewP20s!A$5:Q$97,17,FALSE)=0,"",VLOOKUP(Table3[[#This Row],[STATION]],NewP20s!A$5:Q$97,17,FALSE)),"")</f>
        <v/>
      </c>
      <c r="I57" s="20" t="str">
        <f>_xlfn.IFNA(IFERROR(VLOOKUP(Table3[[#This Row],[STATION]],'Class 1s'!B$5:G$62,6,FALSE),VLOOKUP(Table3[[#This Row],[Old Name]],'Class 1s'!B$5:G$62,6,FALSE)),"")</f>
        <v/>
      </c>
      <c r="K57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57" s="3" t="str">
        <f>IFERROR(VLOOKUP(Table3[[#This Row],[STATION]],AllP20!B$2:C$94,2,FALSE),"")</f>
        <v/>
      </c>
      <c r="M57" s="3" t="str">
        <f>IFERROR(VLOOKUP(Table3[[#This Row],[STATION]],AllP20!B$2:U$94,20,FALSE),"")</f>
        <v/>
      </c>
      <c r="N57" s="3" t="str">
        <f>IFERROR(Table3[[#This Row],[RefElev88]]-Table3[[#This Row],[2017_P80_88]],"")</f>
        <v/>
      </c>
    </row>
    <row r="58" spans="2:14" x14ac:dyDescent="0.25">
      <c r="B58" s="9" t="s">
        <v>122</v>
      </c>
      <c r="C58" s="9" t="str">
        <f>_xlfn.IFNA(IF(VLOOKUP(Table3[[#This Row],[STATION]],NewP20s!A$5:Q$97,17,FALSE)=0,"",VLOOKUP(Table3[[#This Row],[STATION]],NewP20s!A$5:Q$97,17,FALSE)),"")</f>
        <v>Hopkins Prairie</v>
      </c>
      <c r="D58" s="9" t="str">
        <f>IFERROR(IF(VLOOKUP(C58,'2015Wetlands'!A$2:B$46,2,FALSE)=0,"",VLOOKUP(C58,'2015Wetlands'!A$2:B$46,2,FALSE)),"")</f>
        <v>SJ-LD</v>
      </c>
      <c r="E58" s="3" t="str">
        <f>IFERROR(IF(VLOOKUP(C58,'2015Wetlands'!A$2:I$46,3,FALSE)=0,"",VLOOKUP(C58,'2015Wetlands'!A$2:I$46,3,FALSE)),"")</f>
        <v/>
      </c>
      <c r="F58" s="3" t="str">
        <f>IFERROR(IF(VLOOKUP(C58,'2015Wetlands'!A$2:I$46,4,FALSE)=0,"",VLOOKUP(C58,'2015Wetlands'!A$2:I$46,4,FALSE)),"")</f>
        <v/>
      </c>
      <c r="G58" s="3">
        <f>IFERROR(VLOOKUP(C58,'2015Wetlands'!A$2:H$46,8,FALSE),"")</f>
        <v>27.5</v>
      </c>
      <c r="H58" s="9">
        <f>IFERROR(VLOOKUP(C58,'2015Wetlands'!A$2:H$46,7,FALSE),"")</f>
        <v>23.71</v>
      </c>
      <c r="I58" s="20">
        <f>_xlfn.IFNA(IFERROR(VLOOKUP(Table3[[#This Row],[STATION]],'Class 1s'!B$5:G$62,6,FALSE),VLOOKUP(Table3[[#This Row],[Old Name]],'Class 1s'!B$5:G$62,6,FALSE)),"")</f>
        <v>-1.0072158700972795</v>
      </c>
      <c r="J58" s="3">
        <f>IFERROR(Table3[[#This Row],[P80_29]]+Table3[[#This Row],[Datum Shift]],"")</f>
        <v>22.702784129902721</v>
      </c>
      <c r="K58" s="3">
        <f>IFERROR(IFERROR(IFERROR(VLOOKUP(Table3[[#This Row],[STATION]],'Class 1s'!B$5:H$62,7,FALSE),VLOOKUP(Table3[[#This Row],[Old Name]],'Class 1s'!B$5:H$62,7,FALSE)),(Table3[[#This Row],[RefElev27]]+Table3[[#This Row],[Datum Shift]])),"")</f>
        <v>26.49278412990272</v>
      </c>
      <c r="L58" s="3">
        <f>IFERROR(VLOOKUP(Table3[[#This Row],[STATION]],AllP20!B$2:C$94,2,FALSE),"")</f>
        <v>22.20392</v>
      </c>
      <c r="M58" s="3">
        <f>IFERROR(VLOOKUP(Table3[[#This Row],[STATION]],AllP20!B$2:U$94,20,FALSE),"")</f>
        <v>20.446249999999999</v>
      </c>
      <c r="N58" s="3">
        <f>IFERROR(Table3[[#This Row],[RefElev88]]-Table3[[#This Row],[2017_P80_88]],"")</f>
        <v>6.0465341299027209</v>
      </c>
    </row>
    <row r="59" spans="2:14" x14ac:dyDescent="0.25">
      <c r="B59" s="9" t="s">
        <v>123</v>
      </c>
      <c r="C59" s="9" t="str">
        <f>_xlfn.IFNA(IF(VLOOKUP(Table3[[#This Row],[STATION]],NewP20s!A$5:Q$97,17,FALSE)=0,"",VLOOKUP(Table3[[#This Row],[STATION]],NewP20s!A$5:Q$97,17,FALSE)),"")</f>
        <v>Island Lake - 2774</v>
      </c>
      <c r="D59" s="9" t="str">
        <f>IFERROR(IF(VLOOKUP(C59,'2015Wetlands'!A$2:B$46,2,FALSE)=0,"",VLOOKUP(C59,'2015Wetlands'!A$2:B$46,2,FALSE)),"")</f>
        <v>SJ-LH</v>
      </c>
      <c r="E59" s="3">
        <f>IFERROR(IF(VLOOKUP(C59,'2015Wetlands'!A$2:I$46,3,FALSE)=0,"",VLOOKUP(C59,'2015Wetlands'!A$2:I$46,3,FALSE)),"")</f>
        <v>539672.30769230775</v>
      </c>
      <c r="F59" s="3">
        <f>IFERROR(IF(VLOOKUP(C59,'2015Wetlands'!A$2:I$46,4,FALSE)=0,"",VLOOKUP(C59,'2015Wetlands'!A$2:I$46,4,FALSE)),"")</f>
        <v>1584603.076923077</v>
      </c>
      <c r="G59" s="3">
        <f>IFERROR(VLOOKUP(C59,'2015Wetlands'!A$2:H$46,8,FALSE),"")</f>
        <v>87.49</v>
      </c>
      <c r="H59" s="9">
        <f>IFERROR(VLOOKUP(C59,'2015Wetlands'!A$2:H$46,7,FALSE),"")</f>
        <v>81.86</v>
      </c>
      <c r="I59" s="20" t="str">
        <f>_xlfn.IFNA(IFERROR(VLOOKUP(Table3[[#This Row],[STATION]],'Class 1s'!B$5:G$62,6,FALSE),VLOOKUP(Table3[[#This Row],[Old Name]],'Class 1s'!B$5:G$62,6,FALSE)),"")</f>
        <v/>
      </c>
      <c r="J59" s="3" t="str">
        <f>IFERROR(Table3[[#This Row],[P80_29]]+Table3[[#This Row],[Datum Shift]],"")</f>
        <v/>
      </c>
      <c r="K59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59" s="3">
        <f>IFERROR(VLOOKUP(Table3[[#This Row],[STATION]],AllP20!B$2:C$94,2,FALSE),"")</f>
        <v>80.78</v>
      </c>
      <c r="M59" s="3">
        <f>IFERROR(VLOOKUP(Table3[[#This Row],[STATION]],AllP20!B$2:U$94,20,FALSE),"")</f>
        <v>81.180000000000007</v>
      </c>
      <c r="N59" s="3" t="str">
        <f>IFERROR(Table3[[#This Row],[RefElev88]]-Table3[[#This Row],[2017_P80_88]],"")</f>
        <v/>
      </c>
    </row>
    <row r="60" spans="2:14" x14ac:dyDescent="0.25">
      <c r="B60" s="9" t="s">
        <v>124</v>
      </c>
      <c r="C60" s="9" t="str">
        <f>_xlfn.IFNA(IF(VLOOKUP(Table3[[#This Row],[STATION]],NewP20s!A$5:Q$97,17,FALSE)=0,"",VLOOKUP(Table3[[#This Row],[STATION]],NewP20s!A$5:Q$97,17,FALSE)),"")</f>
        <v>Johns Lake</v>
      </c>
      <c r="D60" s="9" t="str">
        <f>IFERROR(IF(VLOOKUP(C60,'2015Wetlands'!A$2:B$46,2,FALSE)=0,"",VLOOKUP(C60,'2015Wetlands'!A$2:B$46,2,FALSE)),"")</f>
        <v>SJ-QB</v>
      </c>
      <c r="E60" s="3">
        <f>IFERROR(IF(VLOOKUP(C60,'2015Wetlands'!A$2:I$46,3,FALSE)=0,"",VLOOKUP(C60,'2015Wetlands'!A$2:I$46,3,FALSE)),"")</f>
        <v>446904.2</v>
      </c>
      <c r="F60" s="3">
        <f>IFERROR(IF(VLOOKUP(C60,'2015Wetlands'!A$2:I$46,4,FALSE)=0,"",VLOOKUP(C60,'2015Wetlands'!A$2:I$46,4,FALSE)),"")</f>
        <v>1526560.5217391304</v>
      </c>
      <c r="G60" s="3">
        <f>IFERROR(VLOOKUP(C60,'2015Wetlands'!A$2:H$46,8,FALSE),"")</f>
        <v>97.42</v>
      </c>
      <c r="H60" s="9">
        <f>IFERROR(VLOOKUP(C60,'2015Wetlands'!A$2:H$46,7,FALSE),"")</f>
        <v>93.39</v>
      </c>
      <c r="I60" s="20">
        <f>_xlfn.IFNA(IFERROR(VLOOKUP(Table3[[#This Row],[STATION]],'Class 1s'!B$5:G$62,6,FALSE),VLOOKUP(Table3[[#This Row],[Old Name]],'Class 1s'!B$5:G$62,6,FALSE)),"")</f>
        <v>-0.87926335523525867</v>
      </c>
      <c r="J60" s="3">
        <f>IFERROR(Table3[[#This Row],[P80_29]]+Table3[[#This Row],[Datum Shift]],"")</f>
        <v>92.510736644764748</v>
      </c>
      <c r="K60" s="3">
        <f>IFERROR(IFERROR(IFERROR(VLOOKUP(Table3[[#This Row],[STATION]],'Class 1s'!B$5:H$62,7,FALSE),VLOOKUP(Table3[[#This Row],[Old Name]],'Class 1s'!B$5:H$62,7,FALSE)),(Table3[[#This Row],[RefElev27]]+Table3[[#This Row],[Datum Shift]])),"")</f>
        <v>96.540736644764749</v>
      </c>
      <c r="L60" s="3">
        <f>IFERROR(VLOOKUP(Table3[[#This Row],[STATION]],AllP20!B$2:C$94,2,FALSE),"")</f>
        <v>92.27</v>
      </c>
      <c r="M60" s="3">
        <f>IFERROR(VLOOKUP(Table3[[#This Row],[STATION]],AllP20!B$2:U$94,20,FALSE),"")</f>
        <v>92.697040000000001</v>
      </c>
      <c r="N60" s="3">
        <f>IFERROR(Table3[[#This Row],[RefElev88]]-Table3[[#This Row],[2017_P80_88]],"")</f>
        <v>3.8436966447647478</v>
      </c>
    </row>
    <row r="61" spans="2:14" x14ac:dyDescent="0.25">
      <c r="B61" s="9" t="s">
        <v>125</v>
      </c>
      <c r="C61" s="9" t="str">
        <f>_xlfn.IFNA(IF(VLOOKUP(Table3[[#This Row],[STATION]],NewP20s!A$5:Q$97,17,FALSE)=0,"",VLOOKUP(Table3[[#This Row],[STATION]],NewP20s!A$5:Q$97,17,FALSE)),"")</f>
        <v>Lake Annie (Highlands)</v>
      </c>
      <c r="D61" s="9" t="str">
        <f>IFERROR(IF(VLOOKUP(C61,'2015Wetlands'!A$2:B$46,2,FALSE)=0,"",VLOOKUP(C61,'2015Wetlands'!A$2:B$46,2,FALSE)),"")</f>
        <v/>
      </c>
      <c r="E61" s="3" t="str">
        <f>IFERROR(IF(VLOOKUP(C61,'2015Wetlands'!A$2:I$46,3,FALSE)=0,"",VLOOKUP(C61,'2015Wetlands'!A$2:I$46,3,FALSE)),"")</f>
        <v/>
      </c>
      <c r="F61" s="3" t="str">
        <f>IFERROR(IF(VLOOKUP(C61,'2015Wetlands'!A$2:I$46,4,FALSE)=0,"",VLOOKUP(C61,'2015Wetlands'!A$2:I$46,4,FALSE)),"")</f>
        <v/>
      </c>
      <c r="G61" s="3">
        <f>IFERROR(VLOOKUP(C61,'2015Wetlands'!A$2:H$46,8,FALSE),"")</f>
        <v>111.49</v>
      </c>
      <c r="H61" s="9">
        <f>IFERROR(VLOOKUP(C61,'2015Wetlands'!A$2:H$46,7,FALSE),"")</f>
        <v>109.95</v>
      </c>
      <c r="I61" s="20" t="str">
        <f>_xlfn.IFNA(IFERROR(VLOOKUP(Table3[[#This Row],[STATION]],'Class 1s'!B$5:G$62,6,FALSE),VLOOKUP(Table3[[#This Row],[Old Name]],'Class 1s'!B$5:G$62,6,FALSE)),"")</f>
        <v/>
      </c>
      <c r="J61" s="3" t="str">
        <f>IFERROR(Table3[[#This Row],[P80_29]]+Table3[[#This Row],[Datum Shift]],"")</f>
        <v/>
      </c>
      <c r="K61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61" s="3">
        <f>IFERROR(VLOOKUP(Table3[[#This Row],[STATION]],AllP20!B$2:C$94,2,FALSE),"")</f>
        <v>108.76515999999999</v>
      </c>
      <c r="M61" s="3">
        <f>IFERROR(VLOOKUP(Table3[[#This Row],[STATION]],AllP20!B$2:U$94,20,FALSE),"")</f>
        <v>108.81355000000001</v>
      </c>
      <c r="N61" s="3" t="str">
        <f>IFERROR(Table3[[#This Row],[RefElev88]]-Table3[[#This Row],[2017_P80_88]],"")</f>
        <v/>
      </c>
    </row>
    <row r="62" spans="2:14" x14ac:dyDescent="0.25">
      <c r="B62" s="9" t="s">
        <v>126</v>
      </c>
      <c r="C62" s="9" t="str">
        <f>_xlfn.IFNA(IF(VLOOKUP(Table3[[#This Row],[STATION]],NewP20s!A$5:Q$97,17,FALSE)=0,"",VLOOKUP(Table3[[#This Row],[STATION]],NewP20s!A$5:Q$97,17,FALSE)),"")</f>
        <v/>
      </c>
      <c r="D62" s="9" t="str">
        <f>IFERROR(IF(VLOOKUP(C62,'2015Wetlands'!A$2:B$46,2,FALSE)=0,"",VLOOKUP(C62,'2015Wetlands'!A$2:B$46,2,FALSE)),"")</f>
        <v/>
      </c>
      <c r="E62" s="3" t="str">
        <f>IFERROR(IF(VLOOKUP(C62,'2015Wetlands'!A$2:I$46,3,FALSE)=0,"",VLOOKUP(C62,'2015Wetlands'!A$2:I$46,3,FALSE)),"")</f>
        <v/>
      </c>
      <c r="F62" s="3" t="str">
        <f>IFERROR(IF(VLOOKUP(C62,'2015Wetlands'!A$2:I$46,4,FALSE)=0,"",VLOOKUP(C62,'2015Wetlands'!A$2:I$46,4,FALSE)),"")</f>
        <v/>
      </c>
      <c r="G62" s="3" t="str">
        <f>IFERROR(VLOOKUP(C62,'2015Wetlands'!A$2:H$46,8,FALSE),"")</f>
        <v/>
      </c>
      <c r="H62" s="9" t="str">
        <f>IFERROR(VLOOKUP(C62,'2015Wetlands'!A$2:H$46,7,FALSE),"")</f>
        <v/>
      </c>
      <c r="I62" s="20" t="str">
        <f>_xlfn.IFNA(IFERROR(VLOOKUP(Table3[[#This Row],[STATION]],'Class 1s'!B$5:G$62,6,FALSE),VLOOKUP(Table3[[#This Row],[Old Name]],'Class 1s'!B$5:G$62,6,FALSE)),"")</f>
        <v/>
      </c>
      <c r="J62" s="3" t="str">
        <f>IFERROR(Table3[[#This Row],[P80_29]]+Table3[[#This Row],[Datum Shift]],"")</f>
        <v/>
      </c>
      <c r="K62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62" s="3">
        <f>IFERROR(VLOOKUP(Table3[[#This Row],[STATION]],AllP20!B$2:C$94,2,FALSE),"")</f>
        <v>128.22728000000001</v>
      </c>
      <c r="M62" s="3">
        <f>IFERROR(VLOOKUP(Table3[[#This Row],[STATION]],AllP20!B$2:U$94,20,FALSE),"")</f>
        <v>128.02195</v>
      </c>
      <c r="N62" s="3" t="str">
        <f>IFERROR(Table3[[#This Row],[RefElev88]]-Table3[[#This Row],[2017_P80_88]],"")</f>
        <v/>
      </c>
    </row>
    <row r="63" spans="2:14" x14ac:dyDescent="0.25">
      <c r="B63" s="9" t="s">
        <v>127</v>
      </c>
      <c r="C63" s="9" t="str">
        <f>_xlfn.IFNA(IF(VLOOKUP(Table3[[#This Row],[STATION]],NewP20s!A$5:Q$97,17,FALSE)=0,"",VLOOKUP(Table3[[#This Row],[STATION]],NewP20s!A$5:Q$97,17,FALSE)),"")</f>
        <v>Lake Garfield</v>
      </c>
      <c r="D63" s="9" t="str">
        <f>IFERROR(IF(VLOOKUP(C63,'2015Wetlands'!A$2:B$46,2,FALSE)=0,"",VLOOKUP(C63,'2015Wetlands'!A$2:B$46,2,FALSE)),"")</f>
        <v>SW-JJ</v>
      </c>
      <c r="E63" s="3">
        <f>IFERROR(IF(VLOOKUP(C63,'2015Wetlands'!A$2:I$46,3,FALSE)=0,"",VLOOKUP(C63,'2015Wetlands'!A$2:I$46,3,FALSE)),"")</f>
        <v>419568.358974359</v>
      </c>
      <c r="F63" s="3">
        <f>IFERROR(IF(VLOOKUP(C63,'2015Wetlands'!A$2:I$46,4,FALSE)=0,"",VLOOKUP(C63,'2015Wetlands'!A$2:I$46,4,FALSE)),"")</f>
        <v>1297227.435897436</v>
      </c>
      <c r="G63" s="3">
        <f>IFERROR(VLOOKUP(C63,'2015Wetlands'!A$2:H$46,8,FALSE),"")</f>
        <v>105.53</v>
      </c>
      <c r="H63" s="9">
        <f>IFERROR(VLOOKUP(C63,'2015Wetlands'!A$2:H$46,7,FALSE),"")</f>
        <v>101.39</v>
      </c>
      <c r="I63" s="20">
        <f>_xlfn.IFNA(IFERROR(VLOOKUP(Table3[[#This Row],[STATION]],'Class 1s'!B$5:G$62,6,FALSE),VLOOKUP(Table3[[#This Row],[Old Name]],'Class 1s'!B$5:G$62,6,FALSE)),"")</f>
        <v>-0.9</v>
      </c>
      <c r="J63" s="3">
        <f>IFERROR(Table3[[#This Row],[P80_29]]+Table3[[#This Row],[Datum Shift]],"")</f>
        <v>100.49</v>
      </c>
      <c r="K63" s="3">
        <f>IFERROR(IFERROR(IFERROR(VLOOKUP(Table3[[#This Row],[STATION]],'Class 1s'!B$5:H$62,7,FALSE),VLOOKUP(Table3[[#This Row],[Old Name]],'Class 1s'!B$5:H$62,7,FALSE)),(Table3[[#This Row],[RefElev27]]+Table3[[#This Row],[Datum Shift]])),"")</f>
        <v>104.63</v>
      </c>
      <c r="L63" s="3">
        <f>IFERROR(VLOOKUP(Table3[[#This Row],[STATION]],AllP20!B$2:C$94,2,FALSE),"")</f>
        <v>100.44453</v>
      </c>
      <c r="M63" s="3">
        <f>IFERROR(VLOOKUP(Table3[[#This Row],[STATION]],AllP20!B$2:U$94,20,FALSE),"")</f>
        <v>100.61537</v>
      </c>
      <c r="N63" s="3">
        <f>IFERROR(Table3[[#This Row],[RefElev88]]-Table3[[#This Row],[2017_P80_88]],"")</f>
        <v>4.0146299999999968</v>
      </c>
    </row>
    <row r="64" spans="2:14" x14ac:dyDescent="0.25">
      <c r="B64" s="9" t="s">
        <v>128</v>
      </c>
      <c r="C64" s="9" t="str">
        <f>_xlfn.IFNA(IF(VLOOKUP(Table3[[#This Row],[STATION]],NewP20s!A$5:Q$97,17,FALSE)=0,"",VLOOKUP(Table3[[#This Row],[STATION]],NewP20s!A$5:Q$97,17,FALSE)),"")</f>
        <v>Lake Streety</v>
      </c>
      <c r="D64" s="9" t="str">
        <f>IFERROR(IF(VLOOKUP(C64,'2015Wetlands'!A$2:B$46,2,FALSE)=0,"",VLOOKUP(C64,'2015Wetlands'!A$2:B$46,2,FALSE)),"")</f>
        <v>SW-QJ</v>
      </c>
      <c r="E64" s="3">
        <f>IFERROR(IF(VLOOKUP(C64,'2015Wetlands'!A$2:I$46,3,FALSE)=0,"",VLOOKUP(C64,'2015Wetlands'!A$2:I$46,3,FALSE)),"")</f>
        <v>471233.4117647059</v>
      </c>
      <c r="F64" s="3">
        <f>IFERROR(IF(VLOOKUP(C64,'2015Wetlands'!A$2:I$46,4,FALSE)=0,"",VLOOKUP(C64,'2015Wetlands'!A$2:I$46,4,FALSE)),"")</f>
        <v>1217035.294117647</v>
      </c>
      <c r="G64" s="3">
        <f>IFERROR(VLOOKUP(C64,'2015Wetlands'!A$2:H$46,8,FALSE),"")</f>
        <v>105.95</v>
      </c>
      <c r="H64" s="9">
        <f>IFERROR(VLOOKUP(C64,'2015Wetlands'!A$2:H$46,7,FALSE),"")</f>
        <v>103.21</v>
      </c>
      <c r="I64" s="20">
        <f>_xlfn.IFNA(IFERROR(VLOOKUP(Table3[[#This Row],[STATION]],'Class 1s'!B$5:G$62,6,FALSE),VLOOKUP(Table3[[#This Row],[Old Name]],'Class 1s'!B$5:G$62,6,FALSE)),"")</f>
        <v>-0.89</v>
      </c>
      <c r="J64" s="3">
        <f>IFERROR(Table3[[#This Row],[P80_29]]+Table3[[#This Row],[Datum Shift]],"")</f>
        <v>102.32</v>
      </c>
      <c r="K64" s="3">
        <f>IFERROR(IFERROR(IFERROR(VLOOKUP(Table3[[#This Row],[STATION]],'Class 1s'!B$5:H$62,7,FALSE),VLOOKUP(Table3[[#This Row],[Old Name]],'Class 1s'!B$5:H$62,7,FALSE)),(Table3[[#This Row],[RefElev27]]+Table3[[#This Row],[Datum Shift]])),"")</f>
        <v>105.06</v>
      </c>
      <c r="L64" s="3">
        <f>IFERROR(VLOOKUP(Table3[[#This Row],[STATION]],AllP20!B$2:C$94,2,FALSE),"")</f>
        <v>102.3472</v>
      </c>
      <c r="M64" s="3">
        <f>IFERROR(VLOOKUP(Table3[[#This Row],[STATION]],AllP20!B$2:U$94,20,FALSE),"")</f>
        <v>102.59772</v>
      </c>
      <c r="N64" s="3">
        <f>IFERROR(Table3[[#This Row],[RefElev88]]-Table3[[#This Row],[2017_P80_88]],"")</f>
        <v>2.4622800000000069</v>
      </c>
    </row>
    <row r="65" spans="2:14" x14ac:dyDescent="0.25">
      <c r="B65" s="9" t="s">
        <v>129</v>
      </c>
      <c r="C65" s="9" t="str">
        <f>_xlfn.IFNA(IF(VLOOKUP(Table3[[#This Row],[STATION]],NewP20s!A$5:Q$97,17,FALSE)=0,"",VLOOKUP(Table3[[#This Row],[STATION]],NewP20s!A$5:Q$97,17,FALSE)),"")</f>
        <v>Lake Walker</v>
      </c>
      <c r="D65" s="9" t="str">
        <f>IFERROR(IF(VLOOKUP(C65,'2015Wetlands'!A$2:B$46,2,FALSE)=0,"",VLOOKUP(C65,'2015Wetlands'!A$2:B$46,2,FALSE)),"")</f>
        <v>SW-QL</v>
      </c>
      <c r="E65" s="3">
        <f>IFERROR(IF(VLOOKUP(C65,'2015Wetlands'!A$2:I$46,3,FALSE)=0,"",VLOOKUP(C65,'2015Wetlands'!A$2:I$46,3,FALSE)),"")</f>
        <v>424365</v>
      </c>
      <c r="F65" s="3">
        <f>IFERROR(IF(VLOOKUP(C65,'2015Wetlands'!A$2:I$46,4,FALSE)=0,"",VLOOKUP(C65,'2015Wetlands'!A$2:I$46,4,FALSE)),"")</f>
        <v>1280320</v>
      </c>
      <c r="G65" s="3">
        <f>IFERROR(VLOOKUP(C65,'2015Wetlands'!A$2:H$46,8,FALSE),"")</f>
        <v>150.28</v>
      </c>
      <c r="H65" s="9">
        <f>IFERROR(VLOOKUP(C65,'2015Wetlands'!A$2:H$46,7,FALSE),"")</f>
        <v>137.36000000000001</v>
      </c>
      <c r="I65" s="20">
        <f>_xlfn.IFNA(IFERROR(VLOOKUP(Table3[[#This Row],[STATION]],'Class 1s'!B$5:G$62,6,FALSE),VLOOKUP(Table3[[#This Row],[Old Name]],'Class 1s'!B$5:G$62,6,FALSE)),"")</f>
        <v>-1.1100000000000001</v>
      </c>
      <c r="J65" s="3">
        <f>IFERROR(Table3[[#This Row],[P80_29]]+Table3[[#This Row],[Datum Shift]],"")</f>
        <v>136.25</v>
      </c>
      <c r="K65" s="3">
        <f>IFERROR(IFERROR(IFERROR(VLOOKUP(Table3[[#This Row],[STATION]],'Class 1s'!B$5:H$62,7,FALSE),VLOOKUP(Table3[[#This Row],[Old Name]],'Class 1s'!B$5:H$62,7,FALSE)),(Table3[[#This Row],[RefElev27]]+Table3[[#This Row],[Datum Shift]])),"")</f>
        <v>149.16999999999999</v>
      </c>
      <c r="L65" s="3">
        <f>IFERROR(VLOOKUP(Table3[[#This Row],[STATION]],AllP20!B$2:C$94,2,FALSE),"")</f>
        <v>136.24368999999999</v>
      </c>
      <c r="M65" s="3">
        <f>IFERROR(VLOOKUP(Table3[[#This Row],[STATION]],AllP20!B$2:U$94,20,FALSE),"")</f>
        <v>137.20694</v>
      </c>
      <c r="N65" s="3">
        <f>IFERROR(Table3[[#This Row],[RefElev88]]-Table3[[#This Row],[2017_P80_88]],"")</f>
        <v>11.963059999999984</v>
      </c>
    </row>
    <row r="66" spans="2:14" x14ac:dyDescent="0.25">
      <c r="B66" s="9" t="s">
        <v>130</v>
      </c>
      <c r="C66" s="9" t="str">
        <f>_xlfn.IFNA(IF(VLOOKUP(Table3[[#This Row],[STATION]],NewP20s!A$5:Q$97,17,FALSE)=0,"",VLOOKUP(Table3[[#This Row],[STATION]],NewP20s!A$5:Q$97,17,FALSE)),"")</f>
        <v>Lake Apshawa</v>
      </c>
      <c r="D66" s="9" t="str">
        <f>IFERROR(IF(VLOOKUP(C66,'2015Wetlands'!A$2:B$46,2,FALSE)=0,"",VLOOKUP(C66,'2015Wetlands'!A$2:B$46,2,FALSE)),"")</f>
        <v>SJ-LF</v>
      </c>
      <c r="E66" s="3">
        <f>IFERROR(IF(VLOOKUP(C66,'2015Wetlands'!A$2:I$46,3,FALSE)=0,"",VLOOKUP(C66,'2015Wetlands'!A$2:I$46,3,FALSE)),"")</f>
        <v>407608</v>
      </c>
      <c r="F66" s="3">
        <f>IFERROR(IF(VLOOKUP(C66,'2015Wetlands'!A$2:I$46,4,FALSE)=0,"",VLOOKUP(C66,'2015Wetlands'!A$2:I$46,4,FALSE)),"")</f>
        <v>1552040</v>
      </c>
      <c r="G66" s="3">
        <f>IFERROR(VLOOKUP(C66,'2015Wetlands'!A$2:H$46,8,FALSE),"")</f>
        <v>87.65</v>
      </c>
      <c r="H66" s="9">
        <f>IFERROR(VLOOKUP(C66,'2015Wetlands'!A$2:H$46,7,FALSE),"")</f>
        <v>81.13</v>
      </c>
      <c r="I66" s="20">
        <f>_xlfn.IFNA(IFERROR(VLOOKUP(Table3[[#This Row],[STATION]],'Class 1s'!B$5:G$62,6,FALSE),VLOOKUP(Table3[[#This Row],[Old Name]],'Class 1s'!B$5:G$62,6,FALSE)),"")</f>
        <v>-0.88582503519952294</v>
      </c>
      <c r="J66" s="3">
        <f>IFERROR(Table3[[#This Row],[P80_29]]+Table3[[#This Row],[Datum Shift]],"")</f>
        <v>80.244174964800479</v>
      </c>
      <c r="K66" s="3">
        <f>IFERROR(IFERROR(IFERROR(VLOOKUP(Table3[[#This Row],[STATION]],'Class 1s'!B$5:H$62,7,FALSE),VLOOKUP(Table3[[#This Row],[Old Name]],'Class 1s'!B$5:H$62,7,FALSE)),(Table3[[#This Row],[RefElev27]]+Table3[[#This Row],[Datum Shift]])),"")</f>
        <v>86.764174964800489</v>
      </c>
      <c r="L66" s="3">
        <f>IFERROR(VLOOKUP(Table3[[#This Row],[STATION]],AllP20!B$2:C$94,2,FALSE),"")</f>
        <v>80.195390000000003</v>
      </c>
      <c r="M66" s="3">
        <f>IFERROR(VLOOKUP(Table3[[#This Row],[STATION]],AllP20!B$2:U$94,20,FALSE),"")</f>
        <v>79.83</v>
      </c>
      <c r="N66" s="3">
        <f>IFERROR(Table3[[#This Row],[RefElev88]]-Table3[[#This Row],[2017_P80_88]],"")</f>
        <v>6.9341749648004907</v>
      </c>
    </row>
    <row r="67" spans="2:14" x14ac:dyDescent="0.25">
      <c r="B67" s="9" t="s">
        <v>44</v>
      </c>
      <c r="C67" s="9" t="str">
        <f>_xlfn.IFNA(IF(VLOOKUP(Table3[[#This Row],[STATION]],NewP20s!A$5:Q$97,17,FALSE)=0,"",VLOOKUP(Table3[[#This Row],[STATION]],NewP20s!A$5:Q$97,17,FALSE)),"")</f>
        <v>Lake Apthorpe</v>
      </c>
      <c r="D67" s="9" t="str">
        <f>IFERROR(IF(VLOOKUP(C67,'2015Wetlands'!A$2:B$46,2,FALSE)=0,"",VLOOKUP(C67,'2015Wetlands'!A$2:B$46,2,FALSE)),"")</f>
        <v/>
      </c>
      <c r="E67" s="3" t="str">
        <f>IFERROR(IF(VLOOKUP(C67,'2015Wetlands'!A$2:I$46,3,FALSE)=0,"",VLOOKUP(C67,'2015Wetlands'!A$2:I$46,3,FALSE)),"")</f>
        <v/>
      </c>
      <c r="F67" s="3" t="str">
        <f>IFERROR(IF(VLOOKUP(C67,'2015Wetlands'!A$2:I$46,4,FALSE)=0,"",VLOOKUP(C67,'2015Wetlands'!A$2:I$46,4,FALSE)),"")</f>
        <v/>
      </c>
      <c r="G67" s="3">
        <f>IFERROR(VLOOKUP(C67,'2015Wetlands'!A$2:H$46,8,FALSE),"")</f>
        <v>71.28</v>
      </c>
      <c r="H67" s="9">
        <f>IFERROR(VLOOKUP(C67,'2015Wetlands'!A$2:H$46,7,FALSE),"")</f>
        <v>68.930000000000007</v>
      </c>
      <c r="I67" s="20">
        <f>_xlfn.IFNA(IFERROR(VLOOKUP(Table3[[#This Row],[STATION]],'Class 1s'!B$5:G$62,6,FALSE),VLOOKUP(Table3[[#This Row],[Old Name]],'Class 1s'!B$5:G$62,6,FALSE)),"")</f>
        <v>-1.18</v>
      </c>
      <c r="J67" s="3">
        <f>IFERROR(Table3[[#This Row],[P80_29]]+Table3[[#This Row],[Datum Shift]],"")</f>
        <v>67.75</v>
      </c>
      <c r="K67" s="3">
        <f>IFERROR(IFERROR(IFERROR(VLOOKUP(Table3[[#This Row],[STATION]],'Class 1s'!B$5:H$62,7,FALSE),VLOOKUP(Table3[[#This Row],[Old Name]],'Class 1s'!B$5:H$62,7,FALSE)),(Table3[[#This Row],[RefElev27]]+Table3[[#This Row],[Datum Shift]])),"")</f>
        <v>70.099999999999994</v>
      </c>
      <c r="L67" s="3">
        <f>IFERROR(VLOOKUP(Table3[[#This Row],[STATION]],AllP20!B$2:C$94,2,FALSE),"")</f>
        <v>67.782219999999995</v>
      </c>
      <c r="M67" s="3">
        <f>IFERROR(VLOOKUP(Table3[[#This Row],[STATION]],AllP20!B$2:U$94,20,FALSE),"")</f>
        <v>67.871660000000006</v>
      </c>
      <c r="N67" s="3">
        <f>IFERROR(Table3[[#This Row],[RefElev88]]-Table3[[#This Row],[2017_P80_88]],"")</f>
        <v>2.2283399999999887</v>
      </c>
    </row>
    <row r="68" spans="2:14" x14ac:dyDescent="0.25">
      <c r="B68" s="9" t="s">
        <v>131</v>
      </c>
      <c r="C68" s="9" t="str">
        <f>_xlfn.IFNA(IF(VLOOKUP(Table3[[#This Row],[STATION]],NewP20s!A$5:Q$97,17,FALSE)=0,"",VLOOKUP(Table3[[#This Row],[STATION]],NewP20s!A$5:Q$97,17,FALSE)),"")</f>
        <v>Lake Avalon</v>
      </c>
      <c r="D68" s="9" t="str">
        <f>IFERROR(IF(VLOOKUP(C68,'2015Wetlands'!A$2:B$46,2,FALSE)=0,"",VLOOKUP(C68,'2015Wetlands'!A$2:B$46,2,FALSE)),"")</f>
        <v>SJ-LE</v>
      </c>
      <c r="E68" s="3">
        <f>IFERROR(IF(VLOOKUP(C68,'2015Wetlands'!A$2:I$46,3,FALSE)=0,"",VLOOKUP(C68,'2015Wetlands'!A$2:I$46,3,FALSE)),"")</f>
        <v>450685.4</v>
      </c>
      <c r="F68" s="3">
        <f>IFERROR(IF(VLOOKUP(C68,'2015Wetlands'!A$2:I$46,4,FALSE)=0,"",VLOOKUP(C68,'2015Wetlands'!A$2:I$46,4,FALSE)),"")</f>
        <v>1518900</v>
      </c>
      <c r="G68" s="3">
        <f>IFERROR(VLOOKUP(C68,'2015Wetlands'!A$2:H$46,8,FALSE),"")</f>
        <v>96.68</v>
      </c>
      <c r="H68" s="9">
        <f>IFERROR(VLOOKUP(C68,'2015Wetlands'!A$2:H$46,7,FALSE),"")</f>
        <v>86.3</v>
      </c>
      <c r="I68" s="20">
        <f>_xlfn.IFNA(IFERROR(VLOOKUP(Table3[[#This Row],[STATION]],'Class 1s'!B$5:G$62,6,FALSE),VLOOKUP(Table3[[#This Row],[Old Name]],'Class 1s'!B$5:G$62,6,FALSE)),"")</f>
        <v>-0.87598246636490029</v>
      </c>
      <c r="J68" s="3">
        <f>IFERROR(Table3[[#This Row],[P80_29]]+Table3[[#This Row],[Datum Shift]],"")</f>
        <v>85.424017533635094</v>
      </c>
      <c r="K68" s="3">
        <f>IFERROR(IFERROR(IFERROR(VLOOKUP(Table3[[#This Row],[STATION]],'Class 1s'!B$5:H$62,7,FALSE),VLOOKUP(Table3[[#This Row],[Old Name]],'Class 1s'!B$5:H$62,7,FALSE)),(Table3[[#This Row],[RefElev27]]+Table3[[#This Row],[Datum Shift]])),"")</f>
        <v>95.804017533635104</v>
      </c>
      <c r="L68" s="3">
        <f>IFERROR(VLOOKUP(Table3[[#This Row],[STATION]],AllP20!B$2:C$94,2,FALSE),"")</f>
        <v>85.051789999999997</v>
      </c>
      <c r="M68" s="3">
        <f>IFERROR(VLOOKUP(Table3[[#This Row],[STATION]],AllP20!B$2:U$94,20,FALSE),"")</f>
        <v>85.23</v>
      </c>
      <c r="N68" s="3">
        <f>IFERROR(Table3[[#This Row],[RefElev88]]-Table3[[#This Row],[2017_P80_88]],"")</f>
        <v>10.5740175336351</v>
      </c>
    </row>
    <row r="69" spans="2:14" x14ac:dyDescent="0.25">
      <c r="B69" s="9" t="s">
        <v>132</v>
      </c>
      <c r="C69" s="9" t="str">
        <f>_xlfn.IFNA(IF(VLOOKUP(Table3[[#This Row],[STATION]],NewP20s!A$5:Q$97,17,FALSE)=0,"",VLOOKUP(Table3[[#This Row],[STATION]],NewP20s!A$5:Q$97,17,FALSE)),"")</f>
        <v>Lake Gem</v>
      </c>
      <c r="D69" s="9" t="str">
        <f>IFERROR(IF(VLOOKUP(C69,'2015Wetlands'!A$2:B$46,2,FALSE)=0,"",VLOOKUP(C69,'2015Wetlands'!A$2:B$46,2,FALSE)),"")</f>
        <v>SJ-AJ</v>
      </c>
      <c r="E69" s="3">
        <f>IFERROR(IF(VLOOKUP(C69,'2015Wetlands'!A$2:I$46,3,FALSE)=0,"",VLOOKUP(C69,'2015Wetlands'!A$2:I$46,3,FALSE)),"")</f>
        <v>590170</v>
      </c>
      <c r="F69" s="3">
        <f>IFERROR(IF(VLOOKUP(C69,'2015Wetlands'!A$2:I$46,4,FALSE)=0,"",VLOOKUP(C69,'2015Wetlands'!A$2:I$46,4,FALSE)),"")</f>
        <v>1567670</v>
      </c>
      <c r="G69" s="3">
        <f>IFERROR(VLOOKUP(C69,'2015Wetlands'!A$2:H$46,8,FALSE),"")</f>
        <v>53.39</v>
      </c>
      <c r="H69" s="9">
        <f>IFERROR(VLOOKUP(C69,'2015Wetlands'!A$2:H$46,7,FALSE),"")</f>
        <v>48.74</v>
      </c>
      <c r="I69" s="20">
        <f>_xlfn.IFNA(IFERROR(VLOOKUP(Table3[[#This Row],[STATION]],'Class 1s'!B$5:G$62,6,FALSE),VLOOKUP(Table3[[#This Row],[Old Name]],'Class 1s'!B$5:G$62,6,FALSE)),"")</f>
        <v>-1.0662707942227523</v>
      </c>
      <c r="J69" s="3">
        <f>IFERROR(Table3[[#This Row],[P80_29]]+Table3[[#This Row],[Datum Shift]],"")</f>
        <v>47.673729205777249</v>
      </c>
      <c r="K69" s="3">
        <f>IFERROR(IFERROR(IFERROR(VLOOKUP(Table3[[#This Row],[STATION]],'Class 1s'!B$5:H$62,7,FALSE),VLOOKUP(Table3[[#This Row],[Old Name]],'Class 1s'!B$5:H$62,7,FALSE)),(Table3[[#This Row],[RefElev27]]+Table3[[#This Row],[Datum Shift]])),"")</f>
        <v>52.323729205777248</v>
      </c>
      <c r="L69" s="3">
        <f>IFERROR(VLOOKUP(Table3[[#This Row],[STATION]],AllP20!B$2:C$94,2,FALSE),"")</f>
        <v>47.643430000000002</v>
      </c>
      <c r="M69" s="3">
        <f>IFERROR(VLOOKUP(Table3[[#This Row],[STATION]],AllP20!B$2:U$94,20,FALSE),"")</f>
        <v>46.967329999999997</v>
      </c>
      <c r="N69" s="3">
        <f>IFERROR(Table3[[#This Row],[RefElev88]]-Table3[[#This Row],[2017_P80_88]],"")</f>
        <v>5.3563992057772509</v>
      </c>
    </row>
    <row r="70" spans="2:14" x14ac:dyDescent="0.25">
      <c r="B70" s="9" t="s">
        <v>40</v>
      </c>
      <c r="C70" s="9" t="str">
        <f>_xlfn.IFNA(IF(VLOOKUP(Table3[[#This Row],[STATION]],NewP20s!A$5:Q$97,17,FALSE)=0,"",VLOOKUP(Table3[[#This Row],[STATION]],NewP20s!A$5:Q$97,17,FALSE)),"")</f>
        <v>Lake Leonore (Patrick)</v>
      </c>
      <c r="D70" s="9" t="str">
        <f>IFERROR(IF(VLOOKUP(C70,'2015Wetlands'!A$2:B$46,2,FALSE)=0,"",VLOOKUP(C70,'2015Wetlands'!A$2:B$46,2,FALSE)),"")</f>
        <v/>
      </c>
      <c r="E70" s="3" t="str">
        <f>IFERROR(IF(VLOOKUP(C70,'2015Wetlands'!A$2:I$46,3,FALSE)=0,"",VLOOKUP(C70,'2015Wetlands'!A$2:I$46,3,FALSE)),"")</f>
        <v/>
      </c>
      <c r="F70" s="3" t="str">
        <f>IFERROR(IF(VLOOKUP(C70,'2015Wetlands'!A$2:I$46,4,FALSE)=0,"",VLOOKUP(C70,'2015Wetlands'!A$2:I$46,4,FALSE)),"")</f>
        <v/>
      </c>
      <c r="G70" s="3">
        <f>IFERROR(VLOOKUP(C70,'2015Wetlands'!A$2:H$46,8,FALSE),"")</f>
        <v>86.23</v>
      </c>
      <c r="H70" s="9">
        <f>IFERROR(VLOOKUP(C70,'2015Wetlands'!A$2:H$46,7,FALSE),"")</f>
        <v>85.08</v>
      </c>
      <c r="I70" s="20" t="str">
        <f>_xlfn.IFNA(IFERROR(VLOOKUP(Table3[[#This Row],[STATION]],'Class 1s'!B$5:G$62,6,FALSE),VLOOKUP(Table3[[#This Row],[Old Name]],'Class 1s'!B$5:G$62,6,FALSE)),"")</f>
        <v/>
      </c>
      <c r="J70" s="3" t="str">
        <f>IFERROR(Table3[[#This Row],[P80_29]]+Table3[[#This Row],[Datum Shift]],"")</f>
        <v/>
      </c>
      <c r="K70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70" s="3">
        <f>IFERROR(VLOOKUP(Table3[[#This Row],[STATION]],AllP20!B$2:C$94,2,FALSE),"")</f>
        <v>84.063850000000002</v>
      </c>
      <c r="M70" s="3">
        <f>IFERROR(VLOOKUP(Table3[[#This Row],[STATION]],AllP20!B$2:U$94,20,FALSE),"")</f>
        <v>84.196129999999997</v>
      </c>
      <c r="N70" s="3" t="str">
        <f>IFERROR(Table3[[#This Row],[RefElev88]]-Table3[[#This Row],[2017_P80_88]],"")</f>
        <v/>
      </c>
    </row>
    <row r="71" spans="2:14" x14ac:dyDescent="0.25">
      <c r="B71" s="9" t="s">
        <v>133</v>
      </c>
      <c r="C71" s="9" t="str">
        <f>_xlfn.IFNA(IF(VLOOKUP(Table3[[#This Row],[STATION]],NewP20s!A$5:Q$97,17,FALSE)=0,"",VLOOKUP(Table3[[#This Row],[STATION]],NewP20s!A$5:Q$97,17,FALSE)),"")</f>
        <v>Lake Louisa</v>
      </c>
      <c r="D71" s="9" t="str">
        <f>IFERROR(IF(VLOOKUP(C71,'2015Wetlands'!A$2:B$46,2,FALSE)=0,"",VLOOKUP(C71,'2015Wetlands'!A$2:B$46,2,FALSE)),"")</f>
        <v>SJ-LJ</v>
      </c>
      <c r="E71" s="3">
        <f>IFERROR(IF(VLOOKUP(C71,'2015Wetlands'!A$2:I$46,3,FALSE)=0,"",VLOOKUP(C71,'2015Wetlands'!A$2:I$46,3,FALSE)),"")</f>
        <v>414318.47413793101</v>
      </c>
      <c r="F71" s="3">
        <f>IFERROR(IF(VLOOKUP(C71,'2015Wetlands'!A$2:I$46,4,FALSE)=0,"",VLOOKUP(C71,'2015Wetlands'!A$2:I$46,4,FALSE)),"")</f>
        <v>1517421.8965517241</v>
      </c>
      <c r="G71" s="3">
        <f>IFERROR(VLOOKUP(C71,'2015Wetlands'!A$2:H$46,8,FALSE),"")</f>
        <v>97.29</v>
      </c>
      <c r="H71" s="9">
        <f>IFERROR(VLOOKUP(C71,'2015Wetlands'!A$2:H$46,7,FALSE),"")</f>
        <v>92.41</v>
      </c>
      <c r="I71" s="20">
        <f>_xlfn.IFNA(IFERROR(VLOOKUP(Table3[[#This Row],[STATION]],'Class 1s'!B$5:G$62,6,FALSE),VLOOKUP(Table3[[#This Row],[Old Name]],'Class 1s'!B$5:G$62,6,FALSE)),"")</f>
        <v>-0.87598246636490029</v>
      </c>
      <c r="J71" s="3">
        <f>IFERROR(Table3[[#This Row],[P80_29]]+Table3[[#This Row],[Datum Shift]],"")</f>
        <v>91.534017533635094</v>
      </c>
      <c r="K71" s="3">
        <f>IFERROR(IFERROR(IFERROR(VLOOKUP(Table3[[#This Row],[STATION]],'Class 1s'!B$5:H$62,7,FALSE),VLOOKUP(Table3[[#This Row],[Old Name]],'Class 1s'!B$5:H$62,7,FALSE)),(Table3[[#This Row],[RefElev27]]+Table3[[#This Row],[Datum Shift]])),"")</f>
        <v>96.414017533635104</v>
      </c>
      <c r="L71" s="3">
        <f>IFERROR(VLOOKUP(Table3[[#This Row],[STATION]],AllP20!B$2:C$94,2,FALSE),"")</f>
        <v>91.481039999999993</v>
      </c>
      <c r="M71" s="3">
        <f>IFERROR(VLOOKUP(Table3[[#This Row],[STATION]],AllP20!B$2:U$94,20,FALSE),"")</f>
        <v>91.476979999999998</v>
      </c>
      <c r="N71" s="3">
        <f>IFERROR(Table3[[#This Row],[RefElev88]]-Table3[[#This Row],[2017_P80_88]],"")</f>
        <v>4.937037533635106</v>
      </c>
    </row>
    <row r="72" spans="2:14" x14ac:dyDescent="0.25">
      <c r="B72" s="9" t="s">
        <v>56</v>
      </c>
      <c r="C72" s="9" t="str">
        <f>_xlfn.IFNA(IF(VLOOKUP(Table3[[#This Row],[STATION]],NewP20s!A$5:Q$97,17,FALSE)=0,"",VLOOKUP(Table3[[#This Row],[STATION]],NewP20s!A$5:Q$97,17,FALSE)),"")</f>
        <v>Lake Placid</v>
      </c>
      <c r="D72" s="9" t="str">
        <f>IFERROR(IF(VLOOKUP(C72,'2015Wetlands'!A$2:B$46,2,FALSE)=0,"",VLOOKUP(C72,'2015Wetlands'!A$2:B$46,2,FALSE)),"")</f>
        <v/>
      </c>
      <c r="E72" s="3" t="str">
        <f>IFERROR(IF(VLOOKUP(C72,'2015Wetlands'!A$2:I$46,3,FALSE)=0,"",VLOOKUP(C72,'2015Wetlands'!A$2:I$46,3,FALSE)),"")</f>
        <v/>
      </c>
      <c r="F72" s="3" t="str">
        <f>IFERROR(IF(VLOOKUP(C72,'2015Wetlands'!A$2:I$46,4,FALSE)=0,"",VLOOKUP(C72,'2015Wetlands'!A$2:I$46,4,FALSE)),"")</f>
        <v/>
      </c>
      <c r="G72" s="3">
        <f>IFERROR(VLOOKUP(C72,'2015Wetlands'!A$2:H$46,8,FALSE),"")</f>
        <v>94.91</v>
      </c>
      <c r="H72" s="9">
        <f>IFERROR(VLOOKUP(C72,'2015Wetlands'!A$2:H$46,7,FALSE),"")</f>
        <v>89.44</v>
      </c>
      <c r="I72" s="20">
        <f>_xlfn.IFNA(IFERROR(VLOOKUP(Table3[[#This Row],[STATION]],'Class 1s'!B$5:G$62,6,FALSE),VLOOKUP(Table3[[#This Row],[Old Name]],'Class 1s'!B$5:G$62,6,FALSE)),"")</f>
        <v>-1.1200000000000001</v>
      </c>
      <c r="J72" s="3">
        <f>IFERROR(Table3[[#This Row],[P80_29]]+Table3[[#This Row],[Datum Shift]],"")</f>
        <v>88.32</v>
      </c>
      <c r="K72" s="3">
        <f>IFERROR(IFERROR(IFERROR(VLOOKUP(Table3[[#This Row],[STATION]],'Class 1s'!B$5:H$62,7,FALSE),VLOOKUP(Table3[[#This Row],[Old Name]],'Class 1s'!B$5:H$62,7,FALSE)),(Table3[[#This Row],[RefElev27]]+Table3[[#This Row],[Datum Shift]])),"")</f>
        <v>93.789999999999992</v>
      </c>
      <c r="L72" s="3">
        <f>IFERROR(VLOOKUP(Table3[[#This Row],[STATION]],AllP20!B$2:C$94,2,FALSE),"")</f>
        <v>88.320710000000005</v>
      </c>
      <c r="M72" s="3">
        <f>IFERROR(VLOOKUP(Table3[[#This Row],[STATION]],AllP20!B$2:U$94,20,FALSE),"")</f>
        <v>88.550060000000002</v>
      </c>
      <c r="N72" s="3">
        <f>IFERROR(Table3[[#This Row],[RefElev88]]-Table3[[#This Row],[2017_P80_88]],"")</f>
        <v>5.2399399999999901</v>
      </c>
    </row>
    <row r="73" spans="2:14" x14ac:dyDescent="0.25">
      <c r="B73" s="9" t="s">
        <v>134</v>
      </c>
      <c r="C73" s="9" t="str">
        <f>_xlfn.IFNA(IF(VLOOKUP(Table3[[#This Row],[STATION]],NewP20s!A$5:Q$97,17,FALSE)=0,"",VLOOKUP(Table3[[#This Row],[STATION]],NewP20s!A$5:Q$97,17,FALSE)),"")</f>
        <v/>
      </c>
      <c r="D73" s="9" t="str">
        <f>IFERROR(IF(VLOOKUP(C73,'2015Wetlands'!A$2:B$46,2,FALSE)=0,"",VLOOKUP(C73,'2015Wetlands'!A$2:B$46,2,FALSE)),"")</f>
        <v/>
      </c>
      <c r="E73" s="3" t="str">
        <f>IFERROR(IF(VLOOKUP(C73,'2015Wetlands'!A$2:I$46,3,FALSE)=0,"",VLOOKUP(C73,'2015Wetlands'!A$2:I$46,3,FALSE)),"")</f>
        <v/>
      </c>
      <c r="F73" s="3" t="str">
        <f>IFERROR(IF(VLOOKUP(C73,'2015Wetlands'!A$2:I$46,4,FALSE)=0,"",VLOOKUP(C73,'2015Wetlands'!A$2:I$46,4,FALSE)),"")</f>
        <v/>
      </c>
      <c r="G73" s="3" t="str">
        <f>IFERROR(VLOOKUP(C73,'2015Wetlands'!A$2:H$46,8,FALSE),"")</f>
        <v/>
      </c>
      <c r="H73" s="9" t="str">
        <f>IFERROR(VLOOKUP(C73,'2015Wetlands'!A$2:H$46,7,FALSE),"")</f>
        <v/>
      </c>
      <c r="I73" s="20">
        <f>_xlfn.IFNA(IFERROR(VLOOKUP(Table3[[#This Row],[STATION]],'Class 1s'!B$5:G$62,6,FALSE),VLOOKUP(Table3[[#This Row],[Old Name]],'Class 1s'!B$5:G$62,6,FALSE)),"")</f>
        <v>-1.0236200211197137</v>
      </c>
      <c r="J73" s="3" t="str">
        <f>IFERROR(Table3[[#This Row],[P80_29]]+Table3[[#This Row],[Datum Shift]],"")</f>
        <v/>
      </c>
      <c r="K73" s="3" t="str">
        <f>IFERROR(IFERROR(IFERROR(VLOOKUP(Table3[[#This Row],[STATION]],'Class 1s'!B$5:H$62,7,FALSE),VLOOKUP(Table3[[#This Row],[Old Name]],'Class 1s'!B$5:H$62,7,FALSE)),(Table3[[#This Row],[RefElev27]]+Table3[[#This Row],[Datum Shift]])),"")</f>
        <v>TBD</v>
      </c>
      <c r="L73" s="3">
        <f>IFERROR(VLOOKUP(Table3[[#This Row],[STATION]],AllP20!B$2:C$94,2,FALSE),"")</f>
        <v>37.318680000000001</v>
      </c>
      <c r="M73" s="3">
        <f>IFERROR(VLOOKUP(Table3[[#This Row],[STATION]],AllP20!B$2:U$94,20,FALSE),"")</f>
        <v>36.076000000000001</v>
      </c>
      <c r="N73" s="3" t="str">
        <f>IFERROR(Table3[[#This Row],[RefElev88]]-Table3[[#This Row],[2017_P80_88]],"")</f>
        <v/>
      </c>
    </row>
    <row r="74" spans="2:14" x14ac:dyDescent="0.25">
      <c r="B74" s="9" t="s">
        <v>49</v>
      </c>
      <c r="C74" s="9" t="str">
        <f>_xlfn.IFNA(IF(VLOOKUP(Table3[[#This Row],[STATION]],NewP20s!A$5:Q$97,17,FALSE)=0,"",VLOOKUP(Table3[[#This Row],[STATION]],NewP20s!A$5:Q$97,17,FALSE)),"")</f>
        <v>Lake Van</v>
      </c>
      <c r="D74" s="9" t="str">
        <f>IFERROR(IF(VLOOKUP(C74,'2015Wetlands'!A$2:B$46,2,FALSE)=0,"",VLOOKUP(C74,'2015Wetlands'!A$2:B$46,2,FALSE)),"")</f>
        <v>SW-QK</v>
      </c>
      <c r="E74" s="3">
        <f>IFERROR(IF(VLOOKUP(C74,'2015Wetlands'!A$2:I$46,3,FALSE)=0,"",VLOOKUP(C74,'2015Wetlands'!A$2:I$46,3,FALSE)),"")</f>
        <v>408514.6551724138</v>
      </c>
      <c r="F74" s="3">
        <f>IFERROR(IF(VLOOKUP(C74,'2015Wetlands'!A$2:I$46,4,FALSE)=0,"",VLOOKUP(C74,'2015Wetlands'!A$2:I$46,4,FALSE)),"")</f>
        <v>1372168.9655172413</v>
      </c>
      <c r="G74" s="3">
        <f>IFERROR(VLOOKUP(C74,'2015Wetlands'!A$2:H$46,8,FALSE),"")</f>
        <v>134.32</v>
      </c>
      <c r="H74" s="9">
        <f>IFERROR(VLOOKUP(C74,'2015Wetlands'!A$2:H$46,7,FALSE),"")</f>
        <v>131.08000000000001</v>
      </c>
      <c r="I74" s="20">
        <f>_xlfn.IFNA(IFERROR(VLOOKUP(Table3[[#This Row],[STATION]],'Class 1s'!B$5:G$62,6,FALSE),VLOOKUP(Table3[[#This Row],[Old Name]],'Class 1s'!B$5:G$62,6,FALSE)),"")</f>
        <v>-1.01</v>
      </c>
      <c r="J74" s="3">
        <f>IFERROR(Table3[[#This Row],[P80_29]]+Table3[[#This Row],[Datum Shift]],"")</f>
        <v>130.07000000000002</v>
      </c>
      <c r="K74" s="3">
        <f>IFERROR(IFERROR(IFERROR(VLOOKUP(Table3[[#This Row],[STATION]],'Class 1s'!B$5:H$62,7,FALSE),VLOOKUP(Table3[[#This Row],[Old Name]],'Class 1s'!B$5:H$62,7,FALSE)),(Table3[[#This Row],[RefElev27]]+Table3[[#This Row],[Datum Shift]])),"")</f>
        <v>133.31</v>
      </c>
      <c r="L74" s="3">
        <f>IFERROR(VLOOKUP(Table3[[#This Row],[STATION]],AllP20!B$2:C$94,2,FALSE),"")</f>
        <v>130.10029</v>
      </c>
      <c r="M74" s="3">
        <f>IFERROR(VLOOKUP(Table3[[#This Row],[STATION]],AllP20!B$2:U$94,20,FALSE),"")</f>
        <v>130.63538</v>
      </c>
      <c r="N74" s="3">
        <f>IFERROR(Table3[[#This Row],[RefElev88]]-Table3[[#This Row],[2017_P80_88]],"")</f>
        <v>2.6746200000000044</v>
      </c>
    </row>
    <row r="75" spans="2:14" x14ac:dyDescent="0.25">
      <c r="B75" s="9" t="s">
        <v>135</v>
      </c>
      <c r="C75" s="9" t="str">
        <f>_xlfn.IFNA(IF(VLOOKUP(Table3[[#This Row],[STATION]],NewP20s!A$5:Q$97,17,FALSE)=0,"",VLOOKUP(Table3[[#This Row],[STATION]],NewP20s!A$5:Q$97,17,FALSE)),"")</f>
        <v>Long Lake</v>
      </c>
      <c r="D75" s="9" t="str">
        <f>IFERROR(IF(VLOOKUP(C75,'2015Wetlands'!A$2:B$46,2,FALSE)=0,"",VLOOKUP(C75,'2015Wetlands'!A$2:B$46,2,FALSE)),"")</f>
        <v>SJ-EV</v>
      </c>
      <c r="E75" s="3">
        <f>IFERROR(IF(VLOOKUP(C75,'2015Wetlands'!A$2:I$46,3,FALSE)=0,"",VLOOKUP(C75,'2015Wetlands'!A$2:I$46,3,FALSE)),"")</f>
        <v>506975.33333333331</v>
      </c>
      <c r="F75" s="3">
        <f>IFERROR(IF(VLOOKUP(C75,'2015Wetlands'!A$2:I$46,4,FALSE)=0,"",VLOOKUP(C75,'2015Wetlands'!A$2:I$46,4,FALSE)),"")</f>
        <v>1558170</v>
      </c>
      <c r="G75" s="3">
        <f>IFERROR(VLOOKUP(C75,'2015Wetlands'!A$2:H$46,8,FALSE),"")</f>
        <v>68.81</v>
      </c>
      <c r="H75" s="9">
        <f>IFERROR(VLOOKUP(C75,'2015Wetlands'!A$2:H$46,7,FALSE),"")</f>
        <v>58.43</v>
      </c>
      <c r="I75" s="20">
        <f>_xlfn.IFNA(IFERROR(VLOOKUP(Table3[[#This Row],[STATION]],'Class 1s'!B$5:G$62,6,FALSE),VLOOKUP(Table3[[#This Row],[Old Name]],'Class 1s'!B$5:G$62,6,FALSE)),"")</f>
        <v>-0.92847580830256138</v>
      </c>
      <c r="J75" s="3">
        <f>IFERROR(Table3[[#This Row],[P80_29]]+Table3[[#This Row],[Datum Shift]],"")</f>
        <v>57.501524191697442</v>
      </c>
      <c r="K75" s="3">
        <f>IFERROR(IFERROR(IFERROR(VLOOKUP(Table3[[#This Row],[STATION]],'Class 1s'!B$5:H$62,7,FALSE),VLOOKUP(Table3[[#This Row],[Old Name]],'Class 1s'!B$5:H$62,7,FALSE)),(Table3[[#This Row],[RefElev27]]+Table3[[#This Row],[Datum Shift]])),"")</f>
        <v>67.881524191697437</v>
      </c>
      <c r="L75" s="3">
        <f>IFERROR(VLOOKUP(Table3[[#This Row],[STATION]],AllP20!B$2:C$94,2,FALSE),"")</f>
        <v>57.42794</v>
      </c>
      <c r="M75" s="3">
        <f>IFERROR(VLOOKUP(Table3[[#This Row],[STATION]],AllP20!B$2:U$94,20,FALSE),"")</f>
        <v>57.368670000000002</v>
      </c>
      <c r="N75" s="3">
        <f>IFERROR(Table3[[#This Row],[RefElev88]]-Table3[[#This Row],[2017_P80_88]],"")</f>
        <v>10.512854191697436</v>
      </c>
    </row>
    <row r="76" spans="2:14" x14ac:dyDescent="0.25">
      <c r="C76" s="9" t="str">
        <f>_xlfn.IFNA(IF(VLOOKUP(Table3[[#This Row],[STATION]],NewP20s!A$5:Q$97,17,FALSE)=0,"",VLOOKUP(Table3[[#This Row],[STATION]],NewP20s!A$5:Q$97,17,FALSE)),"")</f>
        <v/>
      </c>
      <c r="D76" s="9" t="str">
        <f>IFERROR(IF(VLOOKUP(C76,'2015Wetlands'!A$2:B$46,2,FALSE)=0,"",VLOOKUP(C76,'2015Wetlands'!A$2:B$46,2,FALSE)),"")</f>
        <v/>
      </c>
      <c r="E76" s="3" t="str">
        <f>IFERROR(IF(VLOOKUP(C76,'2015Wetlands'!A$2:I$46,3,FALSE)=0,"",VLOOKUP(C76,'2015Wetlands'!A$2:I$46,3,FALSE)),"")</f>
        <v/>
      </c>
      <c r="F76" s="3" t="str">
        <f>IFERROR(IF(VLOOKUP(C76,'2015Wetlands'!A$2:I$46,4,FALSE)=0,"",VLOOKUP(C76,'2015Wetlands'!A$2:I$46,4,FALSE)),"")</f>
        <v/>
      </c>
      <c r="G76" s="3" t="str">
        <f>IFERROR(VLOOKUP(C76,'2015Wetlands'!A$2:H$46,8,FALSE),"")</f>
        <v/>
      </c>
      <c r="H76" s="21" t="str">
        <f>IFERROR(VLOOKUP(C76,'2015Wetlands'!A$2:H$46,7,FALSE),"")</f>
        <v/>
      </c>
      <c r="I76" s="20" t="str">
        <f>_xlfn.IFNA(IFERROR(VLOOKUP(Table3[[#This Row],[STATION]],'Class 1s'!B$5:G$62,6,FALSE),VLOOKUP(Table3[[#This Row],[Old Name]],'Class 1s'!B$5:G$62,6,FALSE)),"")</f>
        <v/>
      </c>
      <c r="J76" s="3" t="str">
        <f>IFERROR(Table3[[#This Row],[P80_29]]+Table3[[#This Row],[Datum Shift]],"")</f>
        <v/>
      </c>
      <c r="K76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76" s="3" t="str">
        <f>IFERROR(VLOOKUP(Table3[[#This Row],[STATION]],AllP20!B$2:C$94,2,FALSE),"")</f>
        <v/>
      </c>
      <c r="M76" s="3" t="str">
        <f>IFERROR(VLOOKUP(Table3[[#This Row],[STATION]],AllP20!B$2:U$94,20,FALSE),"")</f>
        <v/>
      </c>
      <c r="N76" s="3" t="str">
        <f>IFERROR(Table3[[#This Row],[RefElev88]]-Table3[[#This Row],[2017_P80_88]],"")</f>
        <v/>
      </c>
    </row>
    <row r="77" spans="2:14" x14ac:dyDescent="0.25">
      <c r="B77" s="9" t="s">
        <v>136</v>
      </c>
      <c r="C77" s="9" t="str">
        <f>_xlfn.IFNA(IF(VLOOKUP(Table3[[#This Row],[STATION]],NewP20s!A$5:Q$97,17,FALSE)=0,"",VLOOKUP(Table3[[#This Row],[STATION]],NewP20s!A$5:Q$97,17,FALSE)),"")</f>
        <v/>
      </c>
      <c r="D77" s="9" t="str">
        <f>IFERROR(IF(VLOOKUP(C77,'2015Wetlands'!A$2:B$46,2,FALSE)=0,"",VLOOKUP(C77,'2015Wetlands'!A$2:B$46,2,FALSE)),"")</f>
        <v/>
      </c>
      <c r="E77" s="3" t="str">
        <f>IFERROR(IF(VLOOKUP(C77,'2015Wetlands'!A$2:I$46,3,FALSE)=0,"",VLOOKUP(C77,'2015Wetlands'!A$2:I$46,3,FALSE)),"")</f>
        <v/>
      </c>
      <c r="F77" s="3" t="str">
        <f>IFERROR(IF(VLOOKUP(C77,'2015Wetlands'!A$2:I$46,4,FALSE)=0,"",VLOOKUP(C77,'2015Wetlands'!A$2:I$46,4,FALSE)),"")</f>
        <v/>
      </c>
      <c r="G77" s="3" t="str">
        <f>IFERROR(VLOOKUP(C77,'2015Wetlands'!A$2:H$46,8,FALSE),"")</f>
        <v/>
      </c>
      <c r="H77" s="9" t="str">
        <f>IFERROR(VLOOKUP(C77,'2015Wetlands'!A$2:H$46,7,FALSE),"")</f>
        <v/>
      </c>
      <c r="I77" s="20" t="str">
        <f>_xlfn.IFNA(IFERROR(VLOOKUP(Table3[[#This Row],[STATION]],'Class 1s'!B$5:G$62,6,FALSE),VLOOKUP(Table3[[#This Row],[Old Name]],'Class 1s'!B$5:G$62,6,FALSE)),"")</f>
        <v/>
      </c>
      <c r="J77" s="3" t="str">
        <f>IFERROR(Table3[[#This Row],[P80_29]]+Table3[[#This Row],[Datum Shift]],"")</f>
        <v/>
      </c>
      <c r="K77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77" s="3">
        <f>IFERROR(VLOOKUP(Table3[[#This Row],[STATION]],AllP20!B$2:C$94,2,FALSE),"")</f>
        <v>123.75700000000001</v>
      </c>
      <c r="M77" s="3">
        <f>IFERROR(VLOOKUP(Table3[[#This Row],[STATION]],AllP20!B$2:U$94,20,FALSE),"")</f>
        <v>123.75700000000001</v>
      </c>
      <c r="N77" s="3" t="str">
        <f>IFERROR(Table3[[#This Row],[RefElev88]]-Table3[[#This Row],[2017_P80_88]],"")</f>
        <v/>
      </c>
    </row>
    <row r="78" spans="2:14" x14ac:dyDescent="0.25">
      <c r="B78" s="9" t="s">
        <v>137</v>
      </c>
      <c r="C78" s="9" t="str">
        <f>_xlfn.IFNA(IF(VLOOKUP(Table3[[#This Row],[STATION]],NewP20s!A$5:Q$97,17,FALSE)=0,"",VLOOKUP(Table3[[#This Row],[STATION]],NewP20s!A$5:Q$97,17,FALSE)),"")</f>
        <v/>
      </c>
      <c r="D78" s="9" t="str">
        <f>IFERROR(IF(VLOOKUP(C78,'2015Wetlands'!A$2:B$46,2,FALSE)=0,"",VLOOKUP(C78,'2015Wetlands'!A$2:B$46,2,FALSE)),"")</f>
        <v/>
      </c>
      <c r="E78" s="3" t="str">
        <f>IFERROR(IF(VLOOKUP(C78,'2015Wetlands'!A$2:I$46,3,FALSE)=0,"",VLOOKUP(C78,'2015Wetlands'!A$2:I$46,3,FALSE)),"")</f>
        <v/>
      </c>
      <c r="F78" s="3" t="str">
        <f>IFERROR(IF(VLOOKUP(C78,'2015Wetlands'!A$2:I$46,4,FALSE)=0,"",VLOOKUP(C78,'2015Wetlands'!A$2:I$46,4,FALSE)),"")</f>
        <v/>
      </c>
      <c r="G78" s="3" t="str">
        <f>IFERROR(VLOOKUP(C78,'2015Wetlands'!A$2:H$46,8,FALSE),"")</f>
        <v/>
      </c>
      <c r="H78" s="9" t="str">
        <f>IFERROR(VLOOKUP(C78,'2015Wetlands'!A$2:H$46,7,FALSE),"")</f>
        <v/>
      </c>
      <c r="I78" s="20" t="str">
        <f>_xlfn.IFNA(IFERROR(VLOOKUP(Table3[[#This Row],[STATION]],'Class 1s'!B$5:G$62,6,FALSE),VLOOKUP(Table3[[#This Row],[Old Name]],'Class 1s'!B$5:G$62,6,FALSE)),"")</f>
        <v/>
      </c>
      <c r="J78" s="3" t="str">
        <f>IFERROR(Table3[[#This Row],[P80_29]]+Table3[[#This Row],[Datum Shift]],"")</f>
        <v/>
      </c>
      <c r="K78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78" s="3">
        <f>IFERROR(VLOOKUP(Table3[[#This Row],[STATION]],AllP20!B$2:C$94,2,FALSE),"")</f>
        <v>126.95699999999999</v>
      </c>
      <c r="M78" s="3">
        <f>IFERROR(VLOOKUP(Table3[[#This Row],[STATION]],AllP20!B$2:U$94,20,FALSE),"")</f>
        <v>128.52699999999999</v>
      </c>
      <c r="N78" s="3" t="str">
        <f>IFERROR(Table3[[#This Row],[RefElev88]]-Table3[[#This Row],[2017_P80_88]],"")</f>
        <v/>
      </c>
    </row>
    <row r="79" spans="2:14" x14ac:dyDescent="0.25">
      <c r="B79" s="9" t="s">
        <v>138</v>
      </c>
      <c r="C79" s="9" t="str">
        <f>_xlfn.IFNA(IF(VLOOKUP(Table3[[#This Row],[STATION]],NewP20s!A$5:Q$97,17,FALSE)=0,"",VLOOKUP(Table3[[#This Row],[STATION]],NewP20s!A$5:Q$97,17,FALSE)),"")</f>
        <v/>
      </c>
      <c r="D79" s="9" t="str">
        <f>IFERROR(IF(VLOOKUP(C79,'2015Wetlands'!A$2:B$46,2,FALSE)=0,"",VLOOKUP(C79,'2015Wetlands'!A$2:B$46,2,FALSE)),"")</f>
        <v/>
      </c>
      <c r="E79" s="3" t="str">
        <f>IFERROR(IF(VLOOKUP(C79,'2015Wetlands'!A$2:I$46,3,FALSE)=0,"",VLOOKUP(C79,'2015Wetlands'!A$2:I$46,3,FALSE)),"")</f>
        <v/>
      </c>
      <c r="F79" s="3" t="str">
        <f>IFERROR(IF(VLOOKUP(C79,'2015Wetlands'!A$2:I$46,4,FALSE)=0,"",VLOOKUP(C79,'2015Wetlands'!A$2:I$46,4,FALSE)),"")</f>
        <v/>
      </c>
      <c r="G79" s="3" t="str">
        <f>IFERROR(VLOOKUP(C79,'2015Wetlands'!A$2:H$46,8,FALSE),"")</f>
        <v/>
      </c>
      <c r="H79" s="9" t="str">
        <f>IFERROR(VLOOKUP(C79,'2015Wetlands'!A$2:H$46,7,FALSE),"")</f>
        <v/>
      </c>
      <c r="I79" s="20" t="str">
        <f>_xlfn.IFNA(IFERROR(VLOOKUP(Table3[[#This Row],[STATION]],'Class 1s'!B$5:G$62,6,FALSE),VLOOKUP(Table3[[#This Row],[Old Name]],'Class 1s'!B$5:G$62,6,FALSE)),"")</f>
        <v/>
      </c>
      <c r="J79" s="3" t="str">
        <f>IFERROR(Table3[[#This Row],[P80_29]]+Table3[[#This Row],[Datum Shift]],"")</f>
        <v/>
      </c>
      <c r="K79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79" s="3">
        <f>IFERROR(VLOOKUP(Table3[[#This Row],[STATION]],AllP20!B$2:C$94,2,FALSE),"")</f>
        <v>126.107</v>
      </c>
      <c r="M79" s="3">
        <f>IFERROR(VLOOKUP(Table3[[#This Row],[STATION]],AllP20!B$2:U$94,20,FALSE),"")</f>
        <v>128.45957000000001</v>
      </c>
      <c r="N79" s="3" t="str">
        <f>IFERROR(Table3[[#This Row],[RefElev88]]-Table3[[#This Row],[2017_P80_88]],"")</f>
        <v/>
      </c>
    </row>
    <row r="80" spans="2:14" x14ac:dyDescent="0.25">
      <c r="B80" s="9" t="s">
        <v>139</v>
      </c>
      <c r="C80" s="9" t="str">
        <f>_xlfn.IFNA(IF(VLOOKUP(Table3[[#This Row],[STATION]],NewP20s!A$5:Q$97,17,FALSE)=0,"",VLOOKUP(Table3[[#This Row],[STATION]],NewP20s!A$5:Q$97,17,FALSE)),"")</f>
        <v/>
      </c>
      <c r="D80" s="9" t="str">
        <f>IFERROR(IF(VLOOKUP(C80,'2015Wetlands'!A$2:B$46,2,FALSE)=0,"",VLOOKUP(C80,'2015Wetlands'!A$2:B$46,2,FALSE)),"")</f>
        <v/>
      </c>
      <c r="E80" s="3" t="str">
        <f>IFERROR(IF(VLOOKUP(C80,'2015Wetlands'!A$2:I$46,3,FALSE)=0,"",VLOOKUP(C80,'2015Wetlands'!A$2:I$46,3,FALSE)),"")</f>
        <v/>
      </c>
      <c r="F80" s="3" t="str">
        <f>IFERROR(IF(VLOOKUP(C80,'2015Wetlands'!A$2:I$46,4,FALSE)=0,"",VLOOKUP(C80,'2015Wetlands'!A$2:I$46,4,FALSE)),"")</f>
        <v/>
      </c>
      <c r="G80" s="3" t="str">
        <f>IFERROR(VLOOKUP(C80,'2015Wetlands'!A$2:H$46,8,FALSE),"")</f>
        <v/>
      </c>
      <c r="H80" s="9" t="str">
        <f>IFERROR(VLOOKUP(C80,'2015Wetlands'!A$2:H$46,7,FALSE),"")</f>
        <v/>
      </c>
      <c r="I80" s="20" t="str">
        <f>_xlfn.IFNA(IFERROR(VLOOKUP(Table3[[#This Row],[STATION]],'Class 1s'!B$5:G$62,6,FALSE),VLOOKUP(Table3[[#This Row],[Old Name]],'Class 1s'!B$5:G$62,6,FALSE)),"")</f>
        <v/>
      </c>
      <c r="J80" s="3" t="str">
        <f>IFERROR(Table3[[#This Row],[P80_29]]+Table3[[#This Row],[Datum Shift]],"")</f>
        <v/>
      </c>
      <c r="K80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80" s="3">
        <f>IFERROR(VLOOKUP(Table3[[#This Row],[STATION]],AllP20!B$2:C$94,2,FALSE),"")</f>
        <v>126.80833</v>
      </c>
      <c r="M80" s="3">
        <f>IFERROR(VLOOKUP(Table3[[#This Row],[STATION]],AllP20!B$2:U$94,20,FALSE),"")</f>
        <v>128.56992</v>
      </c>
      <c r="N80" s="3" t="str">
        <f>IFERROR(Table3[[#This Row],[RefElev88]]-Table3[[#This Row],[2017_P80_88]],"")</f>
        <v/>
      </c>
    </row>
    <row r="81" spans="2:14" x14ac:dyDescent="0.25">
      <c r="B81" s="9" t="s">
        <v>140</v>
      </c>
      <c r="C81" s="9" t="str">
        <f>_xlfn.IFNA(IF(VLOOKUP(Table3[[#This Row],[STATION]],NewP20s!A$5:Q$97,17,FALSE)=0,"",VLOOKUP(Table3[[#This Row],[STATION]],NewP20s!A$5:Q$97,17,FALSE)),"")</f>
        <v/>
      </c>
      <c r="D81" s="9" t="str">
        <f>IFERROR(IF(VLOOKUP(C81,'2015Wetlands'!A$2:B$46,2,FALSE)=0,"",VLOOKUP(C81,'2015Wetlands'!A$2:B$46,2,FALSE)),"")</f>
        <v/>
      </c>
      <c r="E81" s="3" t="str">
        <f>IFERROR(IF(VLOOKUP(C81,'2015Wetlands'!A$2:I$46,3,FALSE)=0,"",VLOOKUP(C81,'2015Wetlands'!A$2:I$46,3,FALSE)),"")</f>
        <v/>
      </c>
      <c r="F81" s="3" t="str">
        <f>IFERROR(IF(VLOOKUP(C81,'2015Wetlands'!A$2:I$46,4,FALSE)=0,"",VLOOKUP(C81,'2015Wetlands'!A$2:I$46,4,FALSE)),"")</f>
        <v/>
      </c>
      <c r="G81" s="3" t="str">
        <f>IFERROR(VLOOKUP(C81,'2015Wetlands'!A$2:H$46,8,FALSE),"")</f>
        <v/>
      </c>
      <c r="H81" s="9" t="str">
        <f>IFERROR(VLOOKUP(C81,'2015Wetlands'!A$2:H$46,7,FALSE),"")</f>
        <v/>
      </c>
      <c r="I81" s="20" t="str">
        <f>_xlfn.IFNA(IFERROR(VLOOKUP(Table3[[#This Row],[STATION]],'Class 1s'!B$5:G$62,6,FALSE),VLOOKUP(Table3[[#This Row],[Old Name]],'Class 1s'!B$5:G$62,6,FALSE)),"")</f>
        <v/>
      </c>
      <c r="J81" s="3" t="str">
        <f>IFERROR(Table3[[#This Row],[P80_29]]+Table3[[#This Row],[Datum Shift]],"")</f>
        <v/>
      </c>
      <c r="K81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81" s="3">
        <f>IFERROR(VLOOKUP(Table3[[#This Row],[STATION]],AllP20!B$2:C$94,2,FALSE),"")</f>
        <v>126.70066</v>
      </c>
      <c r="M81" s="3">
        <f>IFERROR(VLOOKUP(Table3[[#This Row],[STATION]],AllP20!B$2:U$94,20,FALSE),"")</f>
        <v>128.41222999999999</v>
      </c>
      <c r="N81" s="3" t="str">
        <f>IFERROR(Table3[[#This Row],[RefElev88]]-Table3[[#This Row],[2017_P80_88]],"")</f>
        <v/>
      </c>
    </row>
    <row r="82" spans="2:14" x14ac:dyDescent="0.25">
      <c r="B82" s="9" t="s">
        <v>141</v>
      </c>
      <c r="C82" s="9" t="str">
        <f>_xlfn.IFNA(IF(VLOOKUP(Table3[[#This Row],[STATION]],NewP20s!A$5:Q$97,17,FALSE)=0,"",VLOOKUP(Table3[[#This Row],[STATION]],NewP20s!A$5:Q$97,17,FALSE)),"")</f>
        <v/>
      </c>
      <c r="D82" s="9" t="str">
        <f>IFERROR(IF(VLOOKUP(C82,'2015Wetlands'!A$2:B$46,2,FALSE)=0,"",VLOOKUP(C82,'2015Wetlands'!A$2:B$46,2,FALSE)),"")</f>
        <v/>
      </c>
      <c r="E82" s="3" t="str">
        <f>IFERROR(IF(VLOOKUP(C82,'2015Wetlands'!A$2:I$46,3,FALSE)=0,"",VLOOKUP(C82,'2015Wetlands'!A$2:I$46,3,FALSE)),"")</f>
        <v/>
      </c>
      <c r="F82" s="3" t="str">
        <f>IFERROR(IF(VLOOKUP(C82,'2015Wetlands'!A$2:I$46,4,FALSE)=0,"",VLOOKUP(C82,'2015Wetlands'!A$2:I$46,4,FALSE)),"")</f>
        <v/>
      </c>
      <c r="G82" s="3" t="str">
        <f>IFERROR(VLOOKUP(C82,'2015Wetlands'!A$2:H$46,8,FALSE),"")</f>
        <v/>
      </c>
      <c r="H82" s="9" t="str">
        <f>IFERROR(VLOOKUP(C82,'2015Wetlands'!A$2:H$46,7,FALSE),"")</f>
        <v/>
      </c>
      <c r="I82" s="20" t="str">
        <f>_xlfn.IFNA(IFERROR(VLOOKUP(Table3[[#This Row],[STATION]],'Class 1s'!B$5:G$62,6,FALSE),VLOOKUP(Table3[[#This Row],[Old Name]],'Class 1s'!B$5:G$62,6,FALSE)),"")</f>
        <v/>
      </c>
      <c r="J82" s="3" t="str">
        <f>IFERROR(Table3[[#This Row],[P80_29]]+Table3[[#This Row],[Datum Shift]],"")</f>
        <v/>
      </c>
      <c r="K82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82" s="3">
        <f>IFERROR(VLOOKUP(Table3[[#This Row],[STATION]],AllP20!B$2:C$94,2,FALSE),"")</f>
        <v>125.45129</v>
      </c>
      <c r="M82" s="3">
        <f>IFERROR(VLOOKUP(Table3[[#This Row],[STATION]],AllP20!B$2:U$94,20,FALSE),"")</f>
        <v>128.97729000000001</v>
      </c>
      <c r="N82" s="3" t="str">
        <f>IFERROR(Table3[[#This Row],[RefElev88]]-Table3[[#This Row],[2017_P80_88]],"")</f>
        <v/>
      </c>
    </row>
    <row r="83" spans="2:14" x14ac:dyDescent="0.25">
      <c r="B83" s="9" t="s">
        <v>142</v>
      </c>
      <c r="C83" s="9" t="str">
        <f>_xlfn.IFNA(IF(VLOOKUP(Table3[[#This Row],[STATION]],NewP20s!A$5:Q$97,17,FALSE)=0,"",VLOOKUP(Table3[[#This Row],[STATION]],NewP20s!A$5:Q$97,17,FALSE)),"")</f>
        <v/>
      </c>
      <c r="D83" s="9" t="str">
        <f>IFERROR(IF(VLOOKUP(C83,'2015Wetlands'!A$2:B$46,2,FALSE)=0,"",VLOOKUP(C83,'2015Wetlands'!A$2:B$46,2,FALSE)),"")</f>
        <v/>
      </c>
      <c r="E83" s="3" t="str">
        <f>IFERROR(IF(VLOOKUP(C83,'2015Wetlands'!A$2:I$46,3,FALSE)=0,"",VLOOKUP(C83,'2015Wetlands'!A$2:I$46,3,FALSE)),"")</f>
        <v/>
      </c>
      <c r="F83" s="3" t="str">
        <f>IFERROR(IF(VLOOKUP(C83,'2015Wetlands'!A$2:I$46,4,FALSE)=0,"",VLOOKUP(C83,'2015Wetlands'!A$2:I$46,4,FALSE)),"")</f>
        <v/>
      </c>
      <c r="G83" s="3" t="str">
        <f>IFERROR(VLOOKUP(C83,'2015Wetlands'!A$2:H$46,8,FALSE),"")</f>
        <v/>
      </c>
      <c r="H83" s="9" t="str">
        <f>IFERROR(VLOOKUP(C83,'2015Wetlands'!A$2:H$46,7,FALSE),"")</f>
        <v/>
      </c>
      <c r="I83" s="20" t="str">
        <f>_xlfn.IFNA(IFERROR(VLOOKUP(Table3[[#This Row],[STATION]],'Class 1s'!B$5:G$62,6,FALSE),VLOOKUP(Table3[[#This Row],[Old Name]],'Class 1s'!B$5:G$62,6,FALSE)),"")</f>
        <v/>
      </c>
      <c r="J83" s="3" t="str">
        <f>IFERROR(Table3[[#This Row],[P80_29]]+Table3[[#This Row],[Datum Shift]],"")</f>
        <v/>
      </c>
      <c r="K83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83" s="3">
        <f>IFERROR(VLOOKUP(Table3[[#This Row],[STATION]],AllP20!B$2:C$94,2,FALSE),"")</f>
        <v>128.11129</v>
      </c>
      <c r="M83" s="3">
        <f>IFERROR(VLOOKUP(Table3[[#This Row],[STATION]],AllP20!B$2:U$94,20,FALSE),"")</f>
        <v>129.13729000000001</v>
      </c>
      <c r="N83" s="3" t="str">
        <f>IFERROR(Table3[[#This Row],[RefElev88]]-Table3[[#This Row],[2017_P80_88]],"")</f>
        <v/>
      </c>
    </row>
    <row r="84" spans="2:14" x14ac:dyDescent="0.25">
      <c r="B84" s="9" t="s">
        <v>143</v>
      </c>
      <c r="C84" s="9" t="str">
        <f>_xlfn.IFNA(IF(VLOOKUP(Table3[[#This Row],[STATION]],NewP20s!A$5:Q$97,17,FALSE)=0,"",VLOOKUP(Table3[[#This Row],[STATION]],NewP20s!A$5:Q$97,17,FALSE)),"")</f>
        <v/>
      </c>
      <c r="D84" s="9" t="str">
        <f>IFERROR(IF(VLOOKUP(C84,'2015Wetlands'!A$2:B$46,2,FALSE)=0,"",VLOOKUP(C84,'2015Wetlands'!A$2:B$46,2,FALSE)),"")</f>
        <v/>
      </c>
      <c r="E84" s="3" t="str">
        <f>IFERROR(IF(VLOOKUP(C84,'2015Wetlands'!A$2:I$46,3,FALSE)=0,"",VLOOKUP(C84,'2015Wetlands'!A$2:I$46,3,FALSE)),"")</f>
        <v/>
      </c>
      <c r="F84" s="3" t="str">
        <f>IFERROR(IF(VLOOKUP(C84,'2015Wetlands'!A$2:I$46,4,FALSE)=0,"",VLOOKUP(C84,'2015Wetlands'!A$2:I$46,4,FALSE)),"")</f>
        <v/>
      </c>
      <c r="G84" s="3" t="str">
        <f>IFERROR(VLOOKUP(C84,'2015Wetlands'!A$2:H$46,8,FALSE),"")</f>
        <v/>
      </c>
      <c r="H84" s="9" t="str">
        <f>IFERROR(VLOOKUP(C84,'2015Wetlands'!A$2:H$46,7,FALSE),"")</f>
        <v/>
      </c>
      <c r="I84" s="20" t="str">
        <f>_xlfn.IFNA(IFERROR(VLOOKUP(Table3[[#This Row],[STATION]],'Class 1s'!B$5:G$62,6,FALSE),VLOOKUP(Table3[[#This Row],[Old Name]],'Class 1s'!B$5:G$62,6,FALSE)),"")</f>
        <v/>
      </c>
      <c r="J84" s="3" t="str">
        <f>IFERROR(Table3[[#This Row],[P80_29]]+Table3[[#This Row],[Datum Shift]],"")</f>
        <v/>
      </c>
      <c r="K84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84" s="3">
        <f>IFERROR(VLOOKUP(Table3[[#This Row],[STATION]],AllP20!B$2:C$94,2,FALSE),"")</f>
        <v>127.157</v>
      </c>
      <c r="M84" s="3">
        <f>IFERROR(VLOOKUP(Table3[[#This Row],[STATION]],AllP20!B$2:U$94,20,FALSE),"")</f>
        <v>127.197</v>
      </c>
      <c r="N84" s="3" t="str">
        <f>IFERROR(Table3[[#This Row],[RefElev88]]-Table3[[#This Row],[2017_P80_88]],"")</f>
        <v/>
      </c>
    </row>
    <row r="85" spans="2:14" x14ac:dyDescent="0.25">
      <c r="C85" s="9" t="str">
        <f>_xlfn.IFNA(IF(VLOOKUP(Table3[[#This Row],[STATION]],NewP20s!A$5:Q$97,17,FALSE)=0,"",VLOOKUP(Table3[[#This Row],[STATION]],NewP20s!A$5:Q$97,17,FALSE)),"")</f>
        <v/>
      </c>
      <c r="D85" s="9" t="str">
        <f>IFERROR(IF(VLOOKUP(C85,'2015Wetlands'!A$2:B$46,2,FALSE)=0,"",VLOOKUP(C85,'2015Wetlands'!A$2:B$46,2,FALSE)),"")</f>
        <v/>
      </c>
      <c r="E85" s="3" t="str">
        <f>IFERROR(IF(VLOOKUP(C85,'2015Wetlands'!A$2:I$46,3,FALSE)=0,"",VLOOKUP(C85,'2015Wetlands'!A$2:I$46,3,FALSE)),"")</f>
        <v/>
      </c>
      <c r="F85" s="3" t="str">
        <f>IFERROR(IF(VLOOKUP(C85,'2015Wetlands'!A$2:I$46,4,FALSE)=0,"",VLOOKUP(C85,'2015Wetlands'!A$2:I$46,4,FALSE)),"")</f>
        <v/>
      </c>
      <c r="G85" s="3" t="str">
        <f>IFERROR(VLOOKUP(C85,'2015Wetlands'!A$2:H$46,8,FALSE),"")</f>
        <v/>
      </c>
      <c r="H85" s="21" t="str">
        <f>IFERROR(VLOOKUP(C85,'2015Wetlands'!A$2:H$46,7,FALSE),"")</f>
        <v/>
      </c>
      <c r="I85" s="20" t="str">
        <f>_xlfn.IFNA(IFERROR(VLOOKUP(Table3[[#This Row],[STATION]],'Class 1s'!B$5:G$62,6,FALSE),VLOOKUP(Table3[[#This Row],[Old Name]],'Class 1s'!B$5:G$62,6,FALSE)),"")</f>
        <v/>
      </c>
      <c r="J85" s="3" t="str">
        <f>IFERROR(Table3[[#This Row],[P80_29]]+Table3[[#This Row],[Datum Shift]],"")</f>
        <v/>
      </c>
      <c r="K85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85" s="3" t="str">
        <f>IFERROR(VLOOKUP(Table3[[#This Row],[STATION]],AllP20!B$2:C$94,2,FALSE),"")</f>
        <v/>
      </c>
      <c r="M85" s="3" t="str">
        <f>IFERROR(VLOOKUP(Table3[[#This Row],[STATION]],AllP20!B$2:U$94,20,FALSE),"")</f>
        <v/>
      </c>
      <c r="N85" s="3" t="str">
        <f>IFERROR(Table3[[#This Row],[RefElev88]]-Table3[[#This Row],[2017_P80_88]],"")</f>
        <v/>
      </c>
    </row>
    <row r="86" spans="2:14" x14ac:dyDescent="0.25">
      <c r="B86" s="9" t="s">
        <v>144</v>
      </c>
      <c r="C86" s="9" t="str">
        <f>_xlfn.IFNA(IF(VLOOKUP(Table3[[#This Row],[STATION]],NewP20s!A$5:Q$97,17,FALSE)=0,"",VLOOKUP(Table3[[#This Row],[STATION]],NewP20s!A$5:Q$97,17,FALSE)),"")</f>
        <v>Parks Lake</v>
      </c>
      <c r="D86" s="9" t="str">
        <f>IFERROR(IF(VLOOKUP(C86,'2015Wetlands'!A$2:B$46,2,FALSE)=0,"",VLOOKUP(C86,'2015Wetlands'!A$2:B$46,2,FALSE)),"")</f>
        <v>SW-QO</v>
      </c>
      <c r="E86" s="3">
        <f>IFERROR(IF(VLOOKUP(C86,'2015Wetlands'!A$2:I$46,3,FALSE)=0,"",VLOOKUP(C86,'2015Wetlands'!A$2:I$46,3,FALSE)),"")</f>
        <v>504891.9</v>
      </c>
      <c r="F86" s="3">
        <f>IFERROR(IF(VLOOKUP(C86,'2015Wetlands'!A$2:I$46,4,FALSE)=0,"",VLOOKUP(C86,'2015Wetlands'!A$2:I$46,4,FALSE)),"")</f>
        <v>1302080</v>
      </c>
      <c r="G86" s="3">
        <f>IFERROR(VLOOKUP(C86,'2015Wetlands'!A$2:H$46,8,FALSE),"")</f>
        <v>102.81</v>
      </c>
      <c r="H86" s="9">
        <f>IFERROR(VLOOKUP(C86,'2015Wetlands'!A$2:H$46,7,FALSE),"")</f>
        <v>99.83</v>
      </c>
      <c r="I86" s="20">
        <f>_xlfn.IFNA(IFERROR(VLOOKUP(Table3[[#This Row],[STATION]],'Class 1s'!B$5:G$62,6,FALSE),VLOOKUP(Table3[[#This Row],[Old Name]],'Class 1s'!B$5:G$62,6,FALSE)),"")</f>
        <v>-0.95</v>
      </c>
      <c r="J86" s="3">
        <f>IFERROR(Table3[[#This Row],[P80_29]]+Table3[[#This Row],[Datum Shift]],"")</f>
        <v>98.88</v>
      </c>
      <c r="K86" s="3">
        <f>IFERROR(IFERROR(IFERROR(VLOOKUP(Table3[[#This Row],[STATION]],'Class 1s'!B$5:H$62,7,FALSE),VLOOKUP(Table3[[#This Row],[Old Name]],'Class 1s'!B$5:H$62,7,FALSE)),(Table3[[#This Row],[RefElev27]]+Table3[[#This Row],[Datum Shift]])),"")</f>
        <v>101.86</v>
      </c>
      <c r="L86" s="3">
        <f>IFERROR(VLOOKUP(Table3[[#This Row],[STATION]],AllP20!B$2:C$94,2,FALSE),"")</f>
        <v>98.89</v>
      </c>
      <c r="M86" s="3">
        <f>IFERROR(VLOOKUP(Table3[[#This Row],[STATION]],AllP20!B$2:U$94,20,FALSE),"")</f>
        <v>99.141199999999998</v>
      </c>
      <c r="N86" s="3">
        <f>IFERROR(Table3[[#This Row],[RefElev88]]-Table3[[#This Row],[2017_P80_88]],"")</f>
        <v>2.7188000000000017</v>
      </c>
    </row>
    <row r="87" spans="2:14" x14ac:dyDescent="0.25">
      <c r="B87" s="9" t="s">
        <v>145</v>
      </c>
      <c r="C87" s="9" t="str">
        <f>_xlfn.IFNA(IF(VLOOKUP(Table3[[#This Row],[STATION]],NewP20s!A$5:Q$97,17,FALSE)=0,"",VLOOKUP(Table3[[#This Row],[STATION]],NewP20s!A$5:Q$97,17,FALSE)),"")</f>
        <v>Polecat Lake</v>
      </c>
      <c r="D87" s="9" t="str">
        <f>IFERROR(IF(VLOOKUP(C87,'2015Wetlands'!A$2:B$46,2,FALSE)=0,"",VLOOKUP(C87,'2015Wetlands'!A$2:B$46,2,FALSE)),"")</f>
        <v>SW-QM</v>
      </c>
      <c r="E87" s="3">
        <f>IFERROR(IF(VLOOKUP(C87,'2015Wetlands'!A$2:I$46,3,FALSE)=0,"",VLOOKUP(C87,'2015Wetlands'!A$2:I$46,3,FALSE)),"")</f>
        <v>430116.66666666669</v>
      </c>
      <c r="F87" s="3">
        <f>IFERROR(IF(VLOOKUP(C87,'2015Wetlands'!A$2:I$46,4,FALSE)=0,"",VLOOKUP(C87,'2015Wetlands'!A$2:I$46,4,FALSE)),"")</f>
        <v>1276945</v>
      </c>
      <c r="G87" s="3">
        <f>IFERROR(VLOOKUP(C87,'2015Wetlands'!A$2:H$46,8,FALSE),"")</f>
        <v>144.37</v>
      </c>
      <c r="H87" s="9">
        <f>IFERROR(VLOOKUP(C87,'2015Wetlands'!A$2:H$46,7,FALSE),"")</f>
        <v>139.5</v>
      </c>
      <c r="I87" s="20">
        <f>_xlfn.IFNA(IFERROR(VLOOKUP(Table3[[#This Row],[STATION]],'Class 1s'!B$5:G$62,6,FALSE),VLOOKUP(Table3[[#This Row],[Old Name]],'Class 1s'!B$5:G$62,6,FALSE)),"")</f>
        <v>-0.85</v>
      </c>
      <c r="J87" s="3">
        <f>IFERROR(Table3[[#This Row],[P80_29]]+Table3[[#This Row],[Datum Shift]],"")</f>
        <v>138.65</v>
      </c>
      <c r="K87" s="3">
        <f>IFERROR(IFERROR(IFERROR(VLOOKUP(Table3[[#This Row],[STATION]],'Class 1s'!B$5:H$62,7,FALSE),VLOOKUP(Table3[[#This Row],[Old Name]],'Class 1s'!B$5:H$62,7,FALSE)),(Table3[[#This Row],[RefElev27]]+Table3[[#This Row],[Datum Shift]])),"")</f>
        <v>143.52000000000001</v>
      </c>
      <c r="L87" s="3">
        <f>IFERROR(VLOOKUP(Table3[[#This Row],[STATION]],AllP20!B$2:C$94,2,FALSE),"")</f>
        <v>138.44171</v>
      </c>
      <c r="M87" s="3">
        <f>IFERROR(VLOOKUP(Table3[[#This Row],[STATION]],AllP20!B$2:U$94,20,FALSE),"")</f>
        <v>139.35953000000001</v>
      </c>
      <c r="N87" s="3">
        <f>IFERROR(Table3[[#This Row],[RefElev88]]-Table3[[#This Row],[2017_P80_88]],"")</f>
        <v>4.1604700000000037</v>
      </c>
    </row>
    <row r="88" spans="2:14" x14ac:dyDescent="0.25">
      <c r="B88" s="9" t="s">
        <v>146</v>
      </c>
      <c r="C88" s="9" t="str">
        <f>_xlfn.IFNA(IF(VLOOKUP(Table3[[#This Row],[STATION]],NewP20s!A$5:Q$97,17,FALSE)=0,"",VLOOKUP(Table3[[#This Row],[STATION]],NewP20s!A$5:Q$97,17,FALSE)),"")</f>
        <v/>
      </c>
      <c r="D88" s="9" t="str">
        <f>IFERROR(IF(VLOOKUP(C88,'2015Wetlands'!A$2:B$46,2,FALSE)=0,"",VLOOKUP(C88,'2015Wetlands'!A$2:B$46,2,FALSE)),"")</f>
        <v/>
      </c>
      <c r="E88" s="3" t="str">
        <f>IFERROR(IF(VLOOKUP(C88,'2015Wetlands'!A$2:I$46,3,FALSE)=0,"",VLOOKUP(C88,'2015Wetlands'!A$2:I$46,3,FALSE)),"")</f>
        <v/>
      </c>
      <c r="F88" s="3" t="str">
        <f>IFERROR(IF(VLOOKUP(C88,'2015Wetlands'!A$2:I$46,4,FALSE)=0,"",VLOOKUP(C88,'2015Wetlands'!A$2:I$46,4,FALSE)),"")</f>
        <v/>
      </c>
      <c r="G88" s="3" t="str">
        <f>IFERROR(VLOOKUP(C88,'2015Wetlands'!A$2:H$46,8,FALSE),"")</f>
        <v/>
      </c>
      <c r="H88" s="9" t="str">
        <f>IFERROR(VLOOKUP(C88,'2015Wetlands'!A$2:H$46,7,FALSE),"")</f>
        <v/>
      </c>
      <c r="I88" s="20" t="str">
        <f>_xlfn.IFNA(IFERROR(VLOOKUP(Table3[[#This Row],[STATION]],'Class 1s'!B$5:G$62,6,FALSE),VLOOKUP(Table3[[#This Row],[Old Name]],'Class 1s'!B$5:G$62,6,FALSE)),"")</f>
        <v/>
      </c>
      <c r="J88" s="3" t="str">
        <f>IFERROR(Table3[[#This Row],[P80_29]]+Table3[[#This Row],[Datum Shift]],"")</f>
        <v/>
      </c>
      <c r="K88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88" s="3">
        <f>IFERROR(VLOOKUP(Table3[[#This Row],[STATION]],AllP20!B$2:C$94,2,FALSE),"")</f>
        <v>0</v>
      </c>
      <c r="M88" s="3">
        <f>IFERROR(VLOOKUP(Table3[[#This Row],[STATION]],AllP20!B$2:U$94,20,FALSE),"")</f>
        <v>59.687559999999998</v>
      </c>
      <c r="N88" s="3" t="str">
        <f>IFERROR(Table3[[#This Row],[RefElev88]]-Table3[[#This Row],[2017_P80_88]],"")</f>
        <v/>
      </c>
    </row>
    <row r="89" spans="2:14" x14ac:dyDescent="0.25">
      <c r="B89" s="9" t="s">
        <v>147</v>
      </c>
      <c r="C89" s="9" t="str">
        <f>_xlfn.IFNA(IF(VLOOKUP(Table3[[#This Row],[STATION]],NewP20s!A$5:Q$97,17,FALSE)=0,"",VLOOKUP(Table3[[#This Row],[STATION]],NewP20s!A$5:Q$97,17,FALSE)),"")</f>
        <v/>
      </c>
      <c r="D89" s="9" t="str">
        <f>IFERROR(IF(VLOOKUP(C89,'2015Wetlands'!A$2:B$46,2,FALSE)=0,"",VLOOKUP(C89,'2015Wetlands'!A$2:B$46,2,FALSE)),"")</f>
        <v/>
      </c>
      <c r="E89" s="3" t="str">
        <f>IFERROR(IF(VLOOKUP(C89,'2015Wetlands'!A$2:I$46,3,FALSE)=0,"",VLOOKUP(C89,'2015Wetlands'!A$2:I$46,3,FALSE)),"")</f>
        <v/>
      </c>
      <c r="F89" s="3" t="str">
        <f>IFERROR(IF(VLOOKUP(C89,'2015Wetlands'!A$2:I$46,4,FALSE)=0,"",VLOOKUP(C89,'2015Wetlands'!A$2:I$46,4,FALSE)),"")</f>
        <v/>
      </c>
      <c r="G89" s="3" t="str">
        <f>IFERROR(VLOOKUP(C89,'2015Wetlands'!A$2:H$46,8,FALSE),"")</f>
        <v/>
      </c>
      <c r="H89" s="9" t="str">
        <f>IFERROR(VLOOKUP(C89,'2015Wetlands'!A$2:H$46,7,FALSE),"")</f>
        <v/>
      </c>
      <c r="I89" s="20" t="str">
        <f>_xlfn.IFNA(IFERROR(VLOOKUP(Table3[[#This Row],[STATION]],'Class 1s'!B$5:G$62,6,FALSE),VLOOKUP(Table3[[#This Row],[Old Name]],'Class 1s'!B$5:G$62,6,FALSE)),"")</f>
        <v/>
      </c>
      <c r="J89" s="3" t="str">
        <f>IFERROR(Table3[[#This Row],[P80_29]]+Table3[[#This Row],[Datum Shift]],"")</f>
        <v/>
      </c>
      <c r="K89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89" s="3">
        <f>IFERROR(VLOOKUP(Table3[[#This Row],[STATION]],AllP20!B$2:C$94,2,FALSE),"")</f>
        <v>0</v>
      </c>
      <c r="M89" s="3">
        <f>IFERROR(VLOOKUP(Table3[[#This Row],[STATION]],AllP20!B$2:U$94,20,FALSE),"")</f>
        <v>61.350670000000001</v>
      </c>
      <c r="N89" s="3" t="str">
        <f>IFERROR(Table3[[#This Row],[RefElev88]]-Table3[[#This Row],[2017_P80_88]],"")</f>
        <v/>
      </c>
    </row>
    <row r="90" spans="2:14" x14ac:dyDescent="0.25">
      <c r="B90" s="9" t="s">
        <v>148</v>
      </c>
      <c r="C90" s="9" t="str">
        <f>_xlfn.IFNA(IF(VLOOKUP(Table3[[#This Row],[STATION]],NewP20s!A$5:Q$97,17,FALSE)=0,"",VLOOKUP(Table3[[#This Row],[STATION]],NewP20s!A$5:Q$97,17,FALSE)),"")</f>
        <v/>
      </c>
      <c r="D90" s="9" t="str">
        <f>IFERROR(IF(VLOOKUP(C90,'2015Wetlands'!A$2:B$46,2,FALSE)=0,"",VLOOKUP(C90,'2015Wetlands'!A$2:B$46,2,FALSE)),"")</f>
        <v/>
      </c>
      <c r="E90" s="3" t="str">
        <f>IFERROR(IF(VLOOKUP(C90,'2015Wetlands'!A$2:I$46,3,FALSE)=0,"",VLOOKUP(C90,'2015Wetlands'!A$2:I$46,3,FALSE)),"")</f>
        <v/>
      </c>
      <c r="F90" s="3" t="str">
        <f>IFERROR(IF(VLOOKUP(C90,'2015Wetlands'!A$2:I$46,4,FALSE)=0,"",VLOOKUP(C90,'2015Wetlands'!A$2:I$46,4,FALSE)),"")</f>
        <v/>
      </c>
      <c r="G90" s="3" t="str">
        <f>IFERROR(VLOOKUP(C90,'2015Wetlands'!A$2:H$46,8,FALSE),"")</f>
        <v/>
      </c>
      <c r="H90" s="9" t="str">
        <f>IFERROR(VLOOKUP(C90,'2015Wetlands'!A$2:H$46,7,FALSE),"")</f>
        <v/>
      </c>
      <c r="I90" s="20" t="str">
        <f>_xlfn.IFNA(IFERROR(VLOOKUP(Table3[[#This Row],[STATION]],'Class 1s'!B$5:G$62,6,FALSE),VLOOKUP(Table3[[#This Row],[Old Name]],'Class 1s'!B$5:G$62,6,FALSE)),"")</f>
        <v/>
      </c>
      <c r="J90" s="3" t="str">
        <f>IFERROR(Table3[[#This Row],[P80_29]]+Table3[[#This Row],[Datum Shift]],"")</f>
        <v/>
      </c>
      <c r="K90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90" s="3">
        <f>IFERROR(VLOOKUP(Table3[[#This Row],[STATION]],AllP20!B$2:C$94,2,FALSE),"")</f>
        <v>123.31583999999999</v>
      </c>
      <c r="M90" s="3">
        <f>IFERROR(VLOOKUP(Table3[[#This Row],[STATION]],AllP20!B$2:U$94,20,FALSE),"")</f>
        <v>123.73748000000001</v>
      </c>
      <c r="N90" s="3" t="str">
        <f>IFERROR(Table3[[#This Row],[RefElev88]]-Table3[[#This Row],[2017_P80_88]],"")</f>
        <v/>
      </c>
    </row>
    <row r="91" spans="2:14" x14ac:dyDescent="0.25">
      <c r="B91" s="9" t="s">
        <v>149</v>
      </c>
      <c r="C91" s="9" t="str">
        <f>_xlfn.IFNA(IF(VLOOKUP(Table3[[#This Row],[STATION]],NewP20s!A$5:Q$97,17,FALSE)=0,"",VLOOKUP(Table3[[#This Row],[STATION]],NewP20s!A$5:Q$97,17,FALSE)),"")</f>
        <v/>
      </c>
      <c r="D91" s="9" t="str">
        <f>IFERROR(IF(VLOOKUP(C91,'2015Wetlands'!A$2:B$46,2,FALSE)=0,"",VLOOKUP(C91,'2015Wetlands'!A$2:B$46,2,FALSE)),"")</f>
        <v/>
      </c>
      <c r="E91" s="3" t="str">
        <f>IFERROR(IF(VLOOKUP(C91,'2015Wetlands'!A$2:I$46,3,FALSE)=0,"",VLOOKUP(C91,'2015Wetlands'!A$2:I$46,3,FALSE)),"")</f>
        <v/>
      </c>
      <c r="F91" s="3" t="str">
        <f>IFERROR(IF(VLOOKUP(C91,'2015Wetlands'!A$2:I$46,4,FALSE)=0,"",VLOOKUP(C91,'2015Wetlands'!A$2:I$46,4,FALSE)),"")</f>
        <v/>
      </c>
      <c r="G91" s="3" t="str">
        <f>IFERROR(VLOOKUP(C91,'2015Wetlands'!A$2:H$46,8,FALSE),"")</f>
        <v/>
      </c>
      <c r="H91" s="9" t="str">
        <f>IFERROR(VLOOKUP(C91,'2015Wetlands'!A$2:H$46,7,FALSE),"")</f>
        <v/>
      </c>
      <c r="I91" s="20" t="str">
        <f>_xlfn.IFNA(IFERROR(VLOOKUP(Table3[[#This Row],[STATION]],'Class 1s'!B$5:G$62,6,FALSE),VLOOKUP(Table3[[#This Row],[Old Name]],'Class 1s'!B$5:G$62,6,FALSE)),"")</f>
        <v/>
      </c>
      <c r="J91" s="3" t="str">
        <f>IFERROR(Table3[[#This Row],[P80_29]]+Table3[[#This Row],[Datum Shift]],"")</f>
        <v/>
      </c>
      <c r="K91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91" s="3">
        <f>IFERROR(VLOOKUP(Table3[[#This Row],[STATION]],AllP20!B$2:C$94,2,FALSE),"")</f>
        <v>96.789540000000002</v>
      </c>
      <c r="M91" s="3">
        <f>IFERROR(VLOOKUP(Table3[[#This Row],[STATION]],AllP20!B$2:U$94,20,FALSE),"")</f>
        <v>121.86654</v>
      </c>
      <c r="N91" s="3" t="str">
        <f>IFERROR(Table3[[#This Row],[RefElev88]]-Table3[[#This Row],[2017_P80_88]],"")</f>
        <v/>
      </c>
    </row>
    <row r="92" spans="2:14" x14ac:dyDescent="0.25">
      <c r="B92" s="9" t="s">
        <v>150</v>
      </c>
      <c r="C92" s="9" t="str">
        <f>_xlfn.IFNA(IF(VLOOKUP(Table3[[#This Row],[STATION]],NewP20s!A$5:Q$97,17,FALSE)=0,"",VLOOKUP(Table3[[#This Row],[STATION]],NewP20s!A$5:Q$97,17,FALSE)),"")</f>
        <v/>
      </c>
      <c r="D92" s="9" t="str">
        <f>IFERROR(IF(VLOOKUP(C92,'2015Wetlands'!A$2:B$46,2,FALSE)=0,"",VLOOKUP(C92,'2015Wetlands'!A$2:B$46,2,FALSE)),"")</f>
        <v/>
      </c>
      <c r="E92" s="3" t="str">
        <f>IFERROR(IF(VLOOKUP(C92,'2015Wetlands'!A$2:I$46,3,FALSE)=0,"",VLOOKUP(C92,'2015Wetlands'!A$2:I$46,3,FALSE)),"")</f>
        <v/>
      </c>
      <c r="F92" s="3" t="str">
        <f>IFERROR(IF(VLOOKUP(C92,'2015Wetlands'!A$2:I$46,4,FALSE)=0,"",VLOOKUP(C92,'2015Wetlands'!A$2:I$46,4,FALSE)),"")</f>
        <v/>
      </c>
      <c r="G92" s="3" t="str">
        <f>IFERROR(VLOOKUP(C92,'2015Wetlands'!A$2:H$46,8,FALSE),"")</f>
        <v/>
      </c>
      <c r="H92" s="9" t="str">
        <f>IFERROR(VLOOKUP(C92,'2015Wetlands'!A$2:H$46,7,FALSE),"")</f>
        <v/>
      </c>
      <c r="I92" s="20" t="str">
        <f>_xlfn.IFNA(IFERROR(VLOOKUP(Table3[[#This Row],[STATION]],'Class 1s'!B$5:G$62,6,FALSE),VLOOKUP(Table3[[#This Row],[Old Name]],'Class 1s'!B$5:G$62,6,FALSE)),"")</f>
        <v/>
      </c>
      <c r="J92" s="3" t="str">
        <f>IFERROR(Table3[[#This Row],[P80_29]]+Table3[[#This Row],[Datum Shift]],"")</f>
        <v/>
      </c>
      <c r="K92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92" s="3">
        <f>IFERROR(VLOOKUP(Table3[[#This Row],[STATION]],AllP20!B$2:C$94,2,FALSE),"")</f>
        <v>87.684349999999995</v>
      </c>
      <c r="M92" s="3">
        <f>IFERROR(VLOOKUP(Table3[[#This Row],[STATION]],AllP20!B$2:U$94,20,FALSE),"")</f>
        <v>87.868080000000006</v>
      </c>
      <c r="N92" s="3" t="str">
        <f>IFERROR(Table3[[#This Row],[RefElev88]]-Table3[[#This Row],[2017_P80_88]],"")</f>
        <v/>
      </c>
    </row>
    <row r="93" spans="2:14" x14ac:dyDescent="0.25">
      <c r="B93" s="9" t="s">
        <v>151</v>
      </c>
      <c r="C93" s="9" t="str">
        <f>_xlfn.IFNA(IF(VLOOKUP(Table3[[#This Row],[STATION]],NewP20s!A$5:Q$97,17,FALSE)=0,"",VLOOKUP(Table3[[#This Row],[STATION]],NewP20s!A$5:Q$97,17,FALSE)),"")</f>
        <v/>
      </c>
      <c r="D93" s="9" t="str">
        <f>IFERROR(IF(VLOOKUP(C93,'2015Wetlands'!A$2:B$46,2,FALSE)=0,"",VLOOKUP(C93,'2015Wetlands'!A$2:B$46,2,FALSE)),"")</f>
        <v/>
      </c>
      <c r="E93" s="3" t="str">
        <f>IFERROR(IF(VLOOKUP(C93,'2015Wetlands'!A$2:I$46,3,FALSE)=0,"",VLOOKUP(C93,'2015Wetlands'!A$2:I$46,3,FALSE)),"")</f>
        <v/>
      </c>
      <c r="F93" s="3" t="str">
        <f>IFERROR(IF(VLOOKUP(C93,'2015Wetlands'!A$2:I$46,4,FALSE)=0,"",VLOOKUP(C93,'2015Wetlands'!A$2:I$46,4,FALSE)),"")</f>
        <v/>
      </c>
      <c r="G93" s="3" t="str">
        <f>IFERROR(VLOOKUP(C93,'2015Wetlands'!A$2:H$46,8,FALSE),"")</f>
        <v/>
      </c>
      <c r="H93" s="9" t="str">
        <f>IFERROR(VLOOKUP(C93,'2015Wetlands'!A$2:H$46,7,FALSE),"")</f>
        <v/>
      </c>
      <c r="I93" s="20">
        <f>_xlfn.IFNA(IFERROR(VLOOKUP(Table3[[#This Row],[STATION]],'Class 1s'!B$5:G$62,6,FALSE),VLOOKUP(Table3[[#This Row],[Old Name]],'Class 1s'!B$5:G$62,6,FALSE)),"")</f>
        <v>-0.90550997731586291</v>
      </c>
      <c r="J93" s="3" t="str">
        <f>IFERROR(Table3[[#This Row],[P80_29]]+Table3[[#This Row],[Datum Shift]],"")</f>
        <v/>
      </c>
      <c r="K93" s="3" t="str">
        <f>IFERROR(IFERROR(IFERROR(VLOOKUP(Table3[[#This Row],[STATION]],'Class 1s'!B$5:H$62,7,FALSE),VLOOKUP(Table3[[#This Row],[Old Name]],'Class 1s'!B$5:H$62,7,FALSE)),(Table3[[#This Row],[RefElev27]]+Table3[[#This Row],[Datum Shift]])),"")</f>
        <v>TBD</v>
      </c>
      <c r="L93" s="3">
        <f>IFERROR(VLOOKUP(Table3[[#This Row],[STATION]],AllP20!B$2:C$94,2,FALSE),"")</f>
        <v>70.224999999999994</v>
      </c>
      <c r="M93" s="3">
        <f>IFERROR(VLOOKUP(Table3[[#This Row],[STATION]],AllP20!B$2:U$94,20,FALSE),"")</f>
        <v>64.543329999999997</v>
      </c>
      <c r="N93" s="3" t="str">
        <f>IFERROR(Table3[[#This Row],[RefElev88]]-Table3[[#This Row],[2017_P80_88]],"")</f>
        <v/>
      </c>
    </row>
    <row r="94" spans="2:14" x14ac:dyDescent="0.25">
      <c r="B94" s="9" t="s">
        <v>152</v>
      </c>
      <c r="C94" s="9" t="str">
        <f>_xlfn.IFNA(IF(VLOOKUP(Table3[[#This Row],[STATION]],NewP20s!A$5:Q$97,17,FALSE)=0,"",VLOOKUP(Table3[[#This Row],[STATION]],NewP20s!A$5:Q$97,17,FALSE)),"")</f>
        <v/>
      </c>
      <c r="D94" s="9" t="str">
        <f>IFERROR(IF(VLOOKUP(C94,'2015Wetlands'!A$2:B$46,2,FALSE)=0,"",VLOOKUP(C94,'2015Wetlands'!A$2:B$46,2,FALSE)),"")</f>
        <v/>
      </c>
      <c r="E94" s="3" t="str">
        <f>IFERROR(IF(VLOOKUP(C94,'2015Wetlands'!A$2:I$46,3,FALSE)=0,"",VLOOKUP(C94,'2015Wetlands'!A$2:I$46,3,FALSE)),"")</f>
        <v/>
      </c>
      <c r="F94" s="3" t="str">
        <f>IFERROR(IF(VLOOKUP(C94,'2015Wetlands'!A$2:I$46,4,FALSE)=0,"",VLOOKUP(C94,'2015Wetlands'!A$2:I$46,4,FALSE)),"")</f>
        <v/>
      </c>
      <c r="G94" s="3" t="str">
        <f>IFERROR(VLOOKUP(C94,'2015Wetlands'!A$2:H$46,8,FALSE),"")</f>
        <v/>
      </c>
      <c r="H94" s="9" t="str">
        <f>IFERROR(VLOOKUP(C94,'2015Wetlands'!A$2:H$46,7,FALSE),"")</f>
        <v/>
      </c>
      <c r="I94" s="20" t="str">
        <f>_xlfn.IFNA(IFERROR(VLOOKUP(Table3[[#This Row],[STATION]],'Class 1s'!B$5:G$62,6,FALSE),VLOOKUP(Table3[[#This Row],[Old Name]],'Class 1s'!B$5:G$62,6,FALSE)),"")</f>
        <v/>
      </c>
      <c r="J94" s="3" t="str">
        <f>IFERROR(Table3[[#This Row],[P80_29]]+Table3[[#This Row],[Datum Shift]],"")</f>
        <v/>
      </c>
      <c r="K94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94" s="3">
        <f>IFERROR(VLOOKUP(Table3[[#This Row],[STATION]],AllP20!B$2:C$94,2,FALSE),"")</f>
        <v>121.65</v>
      </c>
      <c r="M94" s="3">
        <f>IFERROR(VLOOKUP(Table3[[#This Row],[STATION]],AllP20!B$2:U$94,20,FALSE),"")</f>
        <v>121.4</v>
      </c>
      <c r="N94" s="3" t="str">
        <f>IFERROR(Table3[[#This Row],[RefElev88]]-Table3[[#This Row],[2017_P80_88]],"")</f>
        <v/>
      </c>
    </row>
    <row r="95" spans="2:14" x14ac:dyDescent="0.25">
      <c r="B95" s="9" t="s">
        <v>153</v>
      </c>
      <c r="C95" s="9" t="str">
        <f>_xlfn.IFNA(IF(VLOOKUP(Table3[[#This Row],[STATION]],NewP20s!A$5:Q$97,17,FALSE)=0,"",VLOOKUP(Table3[[#This Row],[STATION]],NewP20s!A$5:Q$97,17,FALSE)),"")</f>
        <v/>
      </c>
      <c r="D95" s="9" t="str">
        <f>IFERROR(IF(VLOOKUP(C95,'2015Wetlands'!A$2:B$46,2,FALSE)=0,"",VLOOKUP(C95,'2015Wetlands'!A$2:B$46,2,FALSE)),"")</f>
        <v/>
      </c>
      <c r="E95" s="3" t="str">
        <f>IFERROR(IF(VLOOKUP(C95,'2015Wetlands'!A$2:I$46,3,FALSE)=0,"",VLOOKUP(C95,'2015Wetlands'!A$2:I$46,3,FALSE)),"")</f>
        <v/>
      </c>
      <c r="F95" s="3" t="str">
        <f>IFERROR(IF(VLOOKUP(C95,'2015Wetlands'!A$2:I$46,4,FALSE)=0,"",VLOOKUP(C95,'2015Wetlands'!A$2:I$46,4,FALSE)),"")</f>
        <v/>
      </c>
      <c r="G95" s="3" t="str">
        <f>IFERROR(VLOOKUP(C95,'2015Wetlands'!A$2:H$46,8,FALSE),"")</f>
        <v/>
      </c>
      <c r="H95" s="9" t="str">
        <f>IFERROR(VLOOKUP(C95,'2015Wetlands'!A$2:H$46,7,FALSE),"")</f>
        <v/>
      </c>
      <c r="I95" s="20" t="str">
        <f>_xlfn.IFNA(IFERROR(VLOOKUP(Table3[[#This Row],[STATION]],'Class 1s'!B$5:G$62,6,FALSE),VLOOKUP(Table3[[#This Row],[Old Name]],'Class 1s'!B$5:G$62,6,FALSE)),"")</f>
        <v/>
      </c>
      <c r="J95" s="3" t="str">
        <f>IFERROR(Table3[[#This Row],[P80_29]]+Table3[[#This Row],[Datum Shift]],"")</f>
        <v/>
      </c>
      <c r="K95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95" s="3">
        <f>IFERROR(VLOOKUP(Table3[[#This Row],[STATION]],AllP20!B$2:C$94,2,FALSE),"")</f>
        <v>87.48621</v>
      </c>
      <c r="M95" s="3">
        <f>IFERROR(VLOOKUP(Table3[[#This Row],[STATION]],AllP20!B$2:U$94,20,FALSE),"")</f>
        <v>87.774289999999993</v>
      </c>
      <c r="N95" s="3" t="str">
        <f>IFERROR(Table3[[#This Row],[RefElev88]]-Table3[[#This Row],[2017_P80_88]],"")</f>
        <v/>
      </c>
    </row>
    <row r="96" spans="2:14" x14ac:dyDescent="0.25">
      <c r="B96" s="9" t="s">
        <v>154</v>
      </c>
      <c r="C96" s="9" t="str">
        <f>_xlfn.IFNA(IF(VLOOKUP(Table3[[#This Row],[STATION]],NewP20s!A$5:Q$97,17,FALSE)=0,"",VLOOKUP(Table3[[#This Row],[STATION]],NewP20s!A$5:Q$97,17,FALSE)),"")</f>
        <v>Split Oak</v>
      </c>
      <c r="D96" s="9" t="str">
        <f>IFERROR(IF(VLOOKUP(C96,'2015Wetlands'!A$2:B$46,2,FALSE)=0,"",VLOOKUP(C96,'2015Wetlands'!A$2:B$46,2,FALSE)),"")</f>
        <v/>
      </c>
      <c r="E96" s="3" t="str">
        <f>IFERROR(IF(VLOOKUP(C96,'2015Wetlands'!A$2:I$46,3,FALSE)=0,"",VLOOKUP(C96,'2015Wetlands'!A$2:I$46,3,FALSE)),"")</f>
        <v/>
      </c>
      <c r="F96" s="3" t="str">
        <f>IFERROR(IF(VLOOKUP(C96,'2015Wetlands'!A$2:I$46,4,FALSE)=0,"",VLOOKUP(C96,'2015Wetlands'!A$2:I$46,4,FALSE)),"")</f>
        <v/>
      </c>
      <c r="H96" s="9"/>
      <c r="I96" s="20">
        <f>_xlfn.IFNA(IFERROR(VLOOKUP(Table3[[#This Row],[STATION]],'Class 1s'!B$5:G$62,6,FALSE),VLOOKUP(Table3[[#This Row],[Old Name]],'Class 1s'!B$5:G$62,6,FALSE)),"")</f>
        <v>-1.0269008122136196</v>
      </c>
      <c r="J96" s="3">
        <f>IFERROR(Table3[[#This Row],[P80_29]]+Table3[[#This Row],[Datum Shift]],"")</f>
        <v>-1.0269008122136196</v>
      </c>
      <c r="K96" s="3" t="str">
        <f>IFERROR(IFERROR(IFERROR(VLOOKUP(Table3[[#This Row],[STATION]],'Class 1s'!B$5:H$62,7,FALSE),VLOOKUP(Table3[[#This Row],[Old Name]],'Class 1s'!B$5:H$62,7,FALSE)),(Table3[[#This Row],[RefElev27]]+Table3[[#This Row],[Datum Shift]])),"")</f>
        <v>TBD</v>
      </c>
      <c r="L96" s="3">
        <f>IFERROR(VLOOKUP(Table3[[#This Row],[STATION]],AllP20!B$2:C$94,2,FALSE),"")</f>
        <v>64.725999999999999</v>
      </c>
      <c r="M96" s="3">
        <f>IFERROR(VLOOKUP(Table3[[#This Row],[STATION]],AllP20!B$2:U$94,20,FALSE),"")</f>
        <v>65.099999999999994</v>
      </c>
      <c r="N96" s="3" t="str">
        <f>IFERROR(Table3[[#This Row],[RefElev88]]-Table3[[#This Row],[2017_P80_88]],"")</f>
        <v/>
      </c>
    </row>
    <row r="97" spans="2:14" x14ac:dyDescent="0.25">
      <c r="B97" s="9" t="s">
        <v>155</v>
      </c>
      <c r="C97" s="9" t="str">
        <f>_xlfn.IFNA(IF(VLOOKUP(Table3[[#This Row],[STATION]],NewP20s!A$5:Q$97,17,FALSE)=0,"",VLOOKUP(Table3[[#This Row],[STATION]],NewP20s!A$5:Q$97,17,FALSE)),"")</f>
        <v/>
      </c>
      <c r="D97" s="9" t="str">
        <f>IFERROR(IF(VLOOKUP(C97,'2015Wetlands'!A$2:B$46,2,FALSE)=0,"",VLOOKUP(C97,'2015Wetlands'!A$2:B$46,2,FALSE)),"")</f>
        <v/>
      </c>
      <c r="E97" s="3" t="str">
        <f>IFERROR(IF(VLOOKUP(C97,'2015Wetlands'!A$2:I$46,3,FALSE)=0,"",VLOOKUP(C97,'2015Wetlands'!A$2:I$46,3,FALSE)),"")</f>
        <v/>
      </c>
      <c r="F97" s="3" t="str">
        <f>IFERROR(IF(VLOOKUP(C97,'2015Wetlands'!A$2:I$46,4,FALSE)=0,"",VLOOKUP(C97,'2015Wetlands'!A$2:I$46,4,FALSE)),"")</f>
        <v/>
      </c>
      <c r="G97" s="3" t="str">
        <f>IFERROR(VLOOKUP(C97,'2015Wetlands'!A$2:H$46,8,FALSE),"")</f>
        <v/>
      </c>
      <c r="H97" s="9" t="str">
        <f>IFERROR(VLOOKUP(C97,'2015Wetlands'!A$2:H$46,7,FALSE),"")</f>
        <v/>
      </c>
      <c r="I97" s="20" t="str">
        <f>_xlfn.IFNA(IFERROR(VLOOKUP(Table3[[#This Row],[STATION]],'Class 1s'!B$5:G$62,6,FALSE),VLOOKUP(Table3[[#This Row],[Old Name]],'Class 1s'!B$5:G$62,6,FALSE)),"")</f>
        <v/>
      </c>
      <c r="J97" s="3" t="str">
        <f>IFERROR(Table3[[#This Row],[P80_29]]+Table3[[#This Row],[Datum Shift]],"")</f>
        <v/>
      </c>
      <c r="K97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97" s="3">
        <f>IFERROR(VLOOKUP(Table3[[#This Row],[STATION]],AllP20!B$2:C$94,2,FALSE),"")</f>
        <v>104.85</v>
      </c>
      <c r="M97" s="3">
        <f>IFERROR(VLOOKUP(Table3[[#This Row],[STATION]],AllP20!B$2:U$94,20,FALSE),"")</f>
        <v>108.35736</v>
      </c>
      <c r="N97" s="3" t="str">
        <f>IFERROR(Table3[[#This Row],[RefElev88]]-Table3[[#This Row],[2017_P80_88]],"")</f>
        <v/>
      </c>
    </row>
    <row r="98" spans="2:14" x14ac:dyDescent="0.25">
      <c r="B98" s="9" t="s">
        <v>156</v>
      </c>
      <c r="C98" s="9" t="str">
        <f>_xlfn.IFNA(IF(VLOOKUP(Table3[[#This Row],[STATION]],NewP20s!A$5:Q$97,17,FALSE)=0,"",VLOOKUP(Table3[[#This Row],[STATION]],NewP20s!A$5:Q$97,17,FALSE)),"")</f>
        <v>Surveyors Lake</v>
      </c>
      <c r="D98" s="9" t="str">
        <f>IFERROR(IF(VLOOKUP(C98,'2015Wetlands'!A$2:B$46,2,FALSE)=0,"",VLOOKUP(C98,'2015Wetlands'!A$2:B$46,2,FALSE)),"")</f>
        <v>SW-QN</v>
      </c>
      <c r="E98" s="3">
        <f>IFERROR(IF(VLOOKUP(C98,'2015Wetlands'!A$2:I$46,3,FALSE)=0,"",VLOOKUP(C98,'2015Wetlands'!A$2:I$46,3,FALSE)),"")</f>
        <v>431882.1176470588</v>
      </c>
      <c r="F98" s="3">
        <f>IFERROR(IF(VLOOKUP(C98,'2015Wetlands'!A$2:I$46,4,FALSE)=0,"",VLOOKUP(C98,'2015Wetlands'!A$2:I$46,4,FALSE)),"")</f>
        <v>1273011.1764705882</v>
      </c>
      <c r="G98" s="3">
        <f>IFERROR(VLOOKUP(C98,'2015Wetlands'!A$2:H$46,8,FALSE),"")</f>
        <v>133.36000000000001</v>
      </c>
      <c r="H98" s="9">
        <f>IFERROR(VLOOKUP(C98,'2015Wetlands'!A$2:H$46,7,FALSE),"")</f>
        <v>130.30000000000001</v>
      </c>
      <c r="I98" s="20">
        <f>_xlfn.IFNA(IFERROR(VLOOKUP(Table3[[#This Row],[STATION]],'Class 1s'!B$5:G$62,6,FALSE),VLOOKUP(Table3[[#This Row],[Old Name]],'Class 1s'!B$5:G$62,6,FALSE)),"")</f>
        <v>-0.92500000000000004</v>
      </c>
      <c r="J98" s="3">
        <f>IFERROR(Table3[[#This Row],[P80_29]]+Table3[[#This Row],[Datum Shift]],"")</f>
        <v>129.375</v>
      </c>
      <c r="K98" s="3">
        <f>IFERROR(IFERROR(IFERROR(VLOOKUP(Table3[[#This Row],[STATION]],'Class 1s'!B$5:H$62,7,FALSE),VLOOKUP(Table3[[#This Row],[Old Name]],'Class 1s'!B$5:H$62,7,FALSE)),(Table3[[#This Row],[RefElev27]]+Table3[[#This Row],[Datum Shift]])),"")</f>
        <v>132.435</v>
      </c>
      <c r="L98" s="3">
        <f>IFERROR(VLOOKUP(Table3[[#This Row],[STATION]],AllP20!B$2:C$94,2,FALSE),"")</f>
        <v>129.3263</v>
      </c>
      <c r="M98" s="3">
        <f>IFERROR(VLOOKUP(Table3[[#This Row],[STATION]],AllP20!B$2:U$94,20,FALSE),"")</f>
        <v>129.55325999999999</v>
      </c>
      <c r="N98" s="3">
        <f>IFERROR(Table3[[#This Row],[RefElev88]]-Table3[[#This Row],[2017_P80_88]],"")</f>
        <v>2.8817400000000077</v>
      </c>
    </row>
    <row r="99" spans="2:14" x14ac:dyDescent="0.25">
      <c r="C99" s="9" t="str">
        <f>_xlfn.IFNA(IF(VLOOKUP(Table3[[#This Row],[STATION]],NewP20s!A$5:Q$97,17,FALSE)=0,"",VLOOKUP(Table3[[#This Row],[STATION]],NewP20s!A$5:Q$97,17,FALSE)),"")</f>
        <v/>
      </c>
      <c r="D99" s="9" t="str">
        <f>IFERROR(IF(VLOOKUP(C99,'2015Wetlands'!A$2:B$46,2,FALSE)=0,"",VLOOKUP(C99,'2015Wetlands'!A$2:B$46,2,FALSE)),"")</f>
        <v/>
      </c>
      <c r="E99" s="3" t="str">
        <f>IFERROR(IF(VLOOKUP(C99,'2015Wetlands'!A$2:I$46,3,FALSE)=0,"",VLOOKUP(C99,'2015Wetlands'!A$2:I$46,3,FALSE)),"")</f>
        <v/>
      </c>
      <c r="F99" s="3" t="str">
        <f>IFERROR(IF(VLOOKUP(C99,'2015Wetlands'!A$2:I$46,4,FALSE)=0,"",VLOOKUP(C99,'2015Wetlands'!A$2:I$46,4,FALSE)),"")</f>
        <v/>
      </c>
      <c r="G99" s="3" t="str">
        <f>IFERROR(VLOOKUP(C99,'2015Wetlands'!A$2:H$46,8,FALSE),"")</f>
        <v/>
      </c>
      <c r="H99" s="21" t="str">
        <f>IFERROR(VLOOKUP(C99,'2015Wetlands'!A$2:H$46,7,FALSE),"")</f>
        <v/>
      </c>
      <c r="I99" s="20" t="str">
        <f>_xlfn.IFNA(IFERROR(VLOOKUP(Table3[[#This Row],[STATION]],'Class 1s'!B$5:G$62,6,FALSE),VLOOKUP(Table3[[#This Row],[Old Name]],'Class 1s'!B$5:G$62,6,FALSE)),"")</f>
        <v/>
      </c>
      <c r="J99" s="3" t="str">
        <f>IFERROR(Table3[[#This Row],[P80_29]]+Table3[[#This Row],[Datum Shift]],"")</f>
        <v/>
      </c>
      <c r="K99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99" s="3" t="str">
        <f>IFERROR(VLOOKUP(Table3[[#This Row],[STATION]],AllP20!B$2:C$94,2,FALSE),"")</f>
        <v/>
      </c>
      <c r="M99" s="3" t="str">
        <f>IFERROR(VLOOKUP(Table3[[#This Row],[STATION]],AllP20!B$2:U$94,20,FALSE),"")</f>
        <v/>
      </c>
      <c r="N99" s="3" t="str">
        <f>IFERROR(Table3[[#This Row],[RefElev88]]-Table3[[#This Row],[2017_P80_88]],"")</f>
        <v/>
      </c>
    </row>
    <row r="100" spans="2:14" x14ac:dyDescent="0.25">
      <c r="B100" s="9" t="s">
        <v>157</v>
      </c>
      <c r="C100" s="9" t="str">
        <f>_xlfn.IFNA(IF(VLOOKUP(Table3[[#This Row],[STATION]],NewP20s!A$5:Q$97,17,FALSE)=0,"",VLOOKUP(Table3[[#This Row],[STATION]],NewP20s!A$5:Q$97,17,FALSE)),"")</f>
        <v>Tibet Butler - TB2</v>
      </c>
      <c r="D100" s="9" t="str">
        <f>IFERROR(IF(VLOOKUP(C100,'2015Wetlands'!A$2:B$46,2,FALSE)=0,"",VLOOKUP(C100,'2015Wetlands'!A$2:B$46,2,FALSE)),"")</f>
        <v>SF-YK</v>
      </c>
      <c r="E100" s="3">
        <v>483596</v>
      </c>
      <c r="F100" s="3">
        <v>1495309</v>
      </c>
      <c r="G100" s="3">
        <f>IFERROR(VLOOKUP(C100,'2015Wetlands'!A$2:H$46,8,FALSE),"")</f>
        <v>102.63</v>
      </c>
      <c r="H100" s="9">
        <f>IFERROR(VLOOKUP(C100,'2015Wetlands'!A$2:H$46,7,FALSE),"")</f>
        <v>98.72</v>
      </c>
      <c r="I100" s="20" t="str">
        <f>_xlfn.IFNA(IFERROR(VLOOKUP(Table3[[#This Row],[STATION]],'Class 1s'!B$5:G$62,6,FALSE),VLOOKUP(Table3[[#This Row],[Old Name]],'Class 1s'!B$5:G$62,6,FALSE)),"")</f>
        <v/>
      </c>
      <c r="J100" s="3" t="str">
        <f>IFERROR(Table3[[#This Row],[P80_29]]+Table3[[#This Row],[Datum Shift]],"")</f>
        <v/>
      </c>
      <c r="K100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00" s="3">
        <f>IFERROR(VLOOKUP(Table3[[#This Row],[STATION]],AllP20!B$2:C$94,2,FALSE),"")</f>
        <v>97.7</v>
      </c>
      <c r="M100" s="3">
        <f>IFERROR(VLOOKUP(Table3[[#This Row],[STATION]],AllP20!B$2:U$94,20,FALSE),"")</f>
        <v>97.82</v>
      </c>
      <c r="N100" s="3" t="str">
        <f>IFERROR(Table3[[#This Row],[RefElev88]]-Table3[[#This Row],[2017_P80_88]],"")</f>
        <v/>
      </c>
    </row>
    <row r="101" spans="2:14" x14ac:dyDescent="0.25">
      <c r="B101" s="9" t="s">
        <v>158</v>
      </c>
      <c r="C101" s="9" t="str">
        <f>_xlfn.IFNA(IF(VLOOKUP(Table3[[#This Row],[STATION]],NewP20s!A$5:Q$97,17,FALSE)=0,"",VLOOKUP(Table3[[#This Row],[STATION]],NewP20s!A$5:Q$97,17,FALSE)),"")</f>
        <v/>
      </c>
      <c r="D101" s="9" t="str">
        <f>IFERROR(IF(VLOOKUP(C101,'2015Wetlands'!A$2:B$46,2,FALSE)=0,"",VLOOKUP(C101,'2015Wetlands'!A$2:B$46,2,FALSE)),"")</f>
        <v/>
      </c>
      <c r="E101" s="3">
        <v>483596</v>
      </c>
      <c r="F101" s="3">
        <v>1495309</v>
      </c>
      <c r="G101" s="3" t="str">
        <f>IFERROR(VLOOKUP(C101,'2015Wetlands'!A$2:H$46,8,FALSE),"")</f>
        <v/>
      </c>
      <c r="H101" s="9" t="str">
        <f>IFERROR(VLOOKUP(C101,'2015Wetlands'!A$2:H$46,7,FALSE),"")</f>
        <v/>
      </c>
      <c r="I101" s="20" t="str">
        <f>_xlfn.IFNA(IFERROR(VLOOKUP(Table3[[#This Row],[STATION]],'Class 1s'!B$5:G$62,6,FALSE),VLOOKUP(Table3[[#This Row],[Old Name]],'Class 1s'!B$5:G$62,6,FALSE)),"")</f>
        <v/>
      </c>
      <c r="J101" s="3" t="str">
        <f>IFERROR(Table3[[#This Row],[P80_29]]+Table3[[#This Row],[Datum Shift]],"")</f>
        <v/>
      </c>
      <c r="K101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01" s="3">
        <f>IFERROR(VLOOKUP(Table3[[#This Row],[STATION]],AllP20!B$2:C$94,2,FALSE),"")</f>
        <v>97.65</v>
      </c>
      <c r="M101" s="3">
        <f>IFERROR(VLOOKUP(Table3[[#This Row],[STATION]],AllP20!B$2:U$94,20,FALSE),"")</f>
        <v>97.784440000000004</v>
      </c>
      <c r="N101" s="3" t="str">
        <f>IFERROR(Table3[[#This Row],[RefElev88]]-Table3[[#This Row],[2017_P80_88]],"")</f>
        <v/>
      </c>
    </row>
    <row r="102" spans="2:14" x14ac:dyDescent="0.25">
      <c r="C102" s="9" t="str">
        <f>_xlfn.IFNA(IF(VLOOKUP(Table3[[#This Row],[STATION]],NewP20s!A$5:Q$97,17,FALSE)=0,"",VLOOKUP(Table3[[#This Row],[STATION]],NewP20s!A$5:Q$97,17,FALSE)),"")</f>
        <v/>
      </c>
      <c r="D102" s="9" t="str">
        <f>IFERROR(IF(VLOOKUP(C102,'2015Wetlands'!A$2:B$46,2,FALSE)=0,"",VLOOKUP(C102,'2015Wetlands'!A$2:B$46,2,FALSE)),"")</f>
        <v/>
      </c>
      <c r="E102" s="3" t="str">
        <f>IFERROR(IF(VLOOKUP(C102,'2015Wetlands'!A$2:I$46,3,FALSE)=0,"",VLOOKUP(C102,'2015Wetlands'!A$2:I$46,3,FALSE)),"")</f>
        <v/>
      </c>
      <c r="F102" s="3" t="str">
        <f>IFERROR(IF(VLOOKUP(C102,'2015Wetlands'!A$2:I$46,4,FALSE)=0,"",VLOOKUP(C102,'2015Wetlands'!A$2:I$46,4,FALSE)),"")</f>
        <v/>
      </c>
      <c r="G102" s="3" t="str">
        <f>IFERROR(VLOOKUP(C102,'2015Wetlands'!A$2:H$46,8,FALSE),"")</f>
        <v/>
      </c>
      <c r="H102" s="21" t="str">
        <f>IFERROR(VLOOKUP(C102,'2015Wetlands'!A$2:H$46,7,FALSE),"")</f>
        <v/>
      </c>
      <c r="I102" s="20" t="str">
        <f>_xlfn.IFNA(IFERROR(VLOOKUP(Table3[[#This Row],[STATION]],'Class 1s'!B$5:G$62,6,FALSE),VLOOKUP(Table3[[#This Row],[Old Name]],'Class 1s'!B$5:G$62,6,FALSE)),"")</f>
        <v/>
      </c>
      <c r="J102" s="3" t="str">
        <f>IFERROR(Table3[[#This Row],[P80_29]]+Table3[[#This Row],[Datum Shift]],"")</f>
        <v/>
      </c>
      <c r="K102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02" s="3" t="str">
        <f>IFERROR(VLOOKUP(Table3[[#This Row],[STATION]],AllP20!B$2:C$94,2,FALSE),"")</f>
        <v/>
      </c>
      <c r="M102" s="3" t="str">
        <f>IFERROR(VLOOKUP(Table3[[#This Row],[STATION]],AllP20!B$2:U$94,20,FALSE),"")</f>
        <v/>
      </c>
      <c r="N102" s="3" t="str">
        <f>IFERROR(Table3[[#This Row],[RefElev88]]-Table3[[#This Row],[2017_P80_88]],"")</f>
        <v/>
      </c>
    </row>
    <row r="103" spans="2:14" x14ac:dyDescent="0.25">
      <c r="B103" s="9" t="s">
        <v>159</v>
      </c>
      <c r="C103" s="9" t="str">
        <f>_xlfn.IFNA(IF(VLOOKUP(Table3[[#This Row],[STATION]],NewP20s!A$5:Q$97,17,FALSE)=0,"",VLOOKUP(Table3[[#This Row],[STATION]],NewP20s!A$5:Q$97,17,FALSE)),"")</f>
        <v>Trout Lake</v>
      </c>
      <c r="D103" s="9" t="str">
        <f>IFERROR(IF(VLOOKUP(C103,'2015Wetlands'!A$2:B$46,2,FALSE)=0,"",VLOOKUP(C103,'2015Wetlands'!A$2:B$46,2,FALSE)),"")</f>
        <v>SJ-QC</v>
      </c>
      <c r="E103" s="3">
        <f>IFERROR(IF(VLOOKUP(C103,'2015Wetlands'!A$2:I$46,3,FALSE)=0,"",VLOOKUP(C103,'2015Wetlands'!A$2:I$46,3,FALSE)),"")</f>
        <v>427160.54545454547</v>
      </c>
      <c r="F103" s="3">
        <f>IFERROR(IF(VLOOKUP(C103,'2015Wetlands'!A$2:I$46,4,FALSE)=0,"",VLOOKUP(C103,'2015Wetlands'!A$2:I$46,4,FALSE)),"")</f>
        <v>1496513.6363636365</v>
      </c>
      <c r="G103" s="3">
        <f>IFERROR(VLOOKUP(C103,'2015Wetlands'!A$2:H$46,8,FALSE),"")</f>
        <v>97.6</v>
      </c>
      <c r="H103" s="9">
        <f>IFERROR(VLOOKUP(C103,'2015Wetlands'!A$2:H$46,7,FALSE),"")</f>
        <v>90.59</v>
      </c>
      <c r="I103" s="20">
        <f>_xlfn.IFNA(IFERROR(VLOOKUP(Table3[[#This Row],[STATION]],'Class 1s'!B$5:G$62,6,FALSE),VLOOKUP(Table3[[#This Row],[Old Name]],'Class 1s'!B$5:G$62,6,FALSE)),"")</f>
        <v>-1.0925175140798091</v>
      </c>
      <c r="J103" s="3">
        <f>IFERROR(Table3[[#This Row],[P80_29]]+Table3[[#This Row],[Datum Shift]],"")</f>
        <v>89.497482485920187</v>
      </c>
      <c r="K103" s="3">
        <f>IFERROR(IFERROR(IFERROR(VLOOKUP(Table3[[#This Row],[STATION]],'Class 1s'!B$5:H$62,7,FALSE),VLOOKUP(Table3[[#This Row],[Old Name]],'Class 1s'!B$5:H$62,7,FALSE)),(Table3[[#This Row],[RefElev27]]+Table3[[#This Row],[Datum Shift]])),"")</f>
        <v>96.507482485920178</v>
      </c>
      <c r="L103" s="3">
        <f>IFERROR(VLOOKUP(Table3[[#This Row],[STATION]],AllP20!B$2:C$94,2,FALSE),"")</f>
        <v>89.736159999999998</v>
      </c>
      <c r="M103" s="3">
        <f>IFERROR(VLOOKUP(Table3[[#This Row],[STATION]],AllP20!B$2:U$94,20,FALSE),"")</f>
        <v>88.750069999999994</v>
      </c>
      <c r="N103" s="3">
        <f>IFERROR(Table3[[#This Row],[RefElev88]]-Table3[[#This Row],[2017_P80_88]],"")</f>
        <v>7.7574124859201845</v>
      </c>
    </row>
    <row r="104" spans="2:14" x14ac:dyDescent="0.25">
      <c r="B104" s="9" t="s">
        <v>160</v>
      </c>
      <c r="C104" s="9" t="str">
        <f>_xlfn.IFNA(IF(VLOOKUP(Table3[[#This Row],[STATION]],NewP20s!A$5:Q$97,17,FALSE)=0,"",VLOOKUP(Table3[[#This Row],[STATION]],NewP20s!A$5:Q$97,17,FALSE)),"")</f>
        <v>Unnamed Cypress</v>
      </c>
      <c r="D104" s="9" t="str">
        <f>IFERROR(IF(VLOOKUP(C104,'2015Wetlands'!A$2:B$46,2,FALSE)=0,"",VLOOKUP(C104,'2015Wetlands'!A$2:B$46,2,FALSE)),"")</f>
        <v>SJ-LA</v>
      </c>
      <c r="E104" s="3">
        <f>IFERROR(IF(VLOOKUP(C104,'2015Wetlands'!A$2:I$46,3,FALSE)=0,"",VLOOKUP(C104,'2015Wetlands'!A$2:I$46,3,FALSE)),"")</f>
        <v>617054.5</v>
      </c>
      <c r="F104" s="3">
        <f>IFERROR(IF(VLOOKUP(C104,'2015Wetlands'!A$2:I$46,4,FALSE)=0,"",VLOOKUP(C104,'2015Wetlands'!A$2:I$46,4,FALSE)),"")</f>
        <v>1539535</v>
      </c>
      <c r="G104" s="3">
        <f>IFERROR(VLOOKUP(C104,'2015Wetlands'!A$2:H$46,8,FALSE),"")</f>
        <v>70.44</v>
      </c>
      <c r="H104" s="9">
        <f>IFERROR(VLOOKUP(C104,'2015Wetlands'!A$2:H$46,7,FALSE),"")</f>
        <v>69.260000000000005</v>
      </c>
      <c r="I104" s="20">
        <f>_xlfn.IFNA(IFERROR(VLOOKUP(Table3[[#This Row],[STATION]],'Class 1s'!B$5:G$62,6,FALSE),VLOOKUP(Table3[[#This Row],[Old Name]],'Class 1s'!B$5:G$62,6,FALSE)),"")</f>
        <v>-1.0925175140798091</v>
      </c>
      <c r="J104" s="3">
        <f>IFERROR(Table3[[#This Row],[P80_29]]+Table3[[#This Row],[Datum Shift]],"")</f>
        <v>68.167482485920189</v>
      </c>
      <c r="K104" s="3">
        <f>IFERROR(IFERROR(IFERROR(VLOOKUP(Table3[[#This Row],[STATION]],'Class 1s'!B$5:H$62,7,FALSE),VLOOKUP(Table3[[#This Row],[Old Name]],'Class 1s'!B$5:H$62,7,FALSE)),(Table3[[#This Row],[RefElev27]]+Table3[[#This Row],[Datum Shift]])),"")</f>
        <v>69.347482485920182</v>
      </c>
      <c r="L104" s="3">
        <f>IFERROR(VLOOKUP(Table3[[#This Row],[STATION]],AllP20!B$2:C$94,2,FALSE),"")</f>
        <v>68.19</v>
      </c>
      <c r="M104" s="3">
        <f>IFERROR(VLOOKUP(Table3[[#This Row],[STATION]],AllP20!B$2:U$94,20,FALSE),"")</f>
        <v>68.061670000000007</v>
      </c>
      <c r="N104" s="3">
        <f>IFERROR(Table3[[#This Row],[RefElev88]]-Table3[[#This Row],[2017_P80_88]],"")</f>
        <v>1.2858124859201752</v>
      </c>
    </row>
    <row r="105" spans="2:14" x14ac:dyDescent="0.25">
      <c r="B105" s="9" t="s">
        <v>161</v>
      </c>
      <c r="C105" s="9" t="str">
        <f>_xlfn.IFNA(IF(VLOOKUP(Table3[[#This Row],[STATION]],NewP20s!A$5:Q$97,17,FALSE)=0,"",VLOOKUP(Table3[[#This Row],[STATION]],NewP20s!A$5:Q$97,17,FALSE)),"")</f>
        <v>Unnamed Wetland</v>
      </c>
      <c r="D105" s="9" t="str">
        <f>IFERROR(IF(VLOOKUP(C105,'2015Wetlands'!A$2:B$46,2,FALSE)=0,"",VLOOKUP(C105,'2015Wetlands'!A$2:B$46,2,FALSE)),"")</f>
        <v>SJ-LB</v>
      </c>
      <c r="E105" s="3">
        <f>IFERROR(IF(VLOOKUP(C105,'2015Wetlands'!A$2:I$46,3,FALSE)=0,"",VLOOKUP(C105,'2015Wetlands'!A$2:I$46,3,FALSE)),"")</f>
        <v>540778.5</v>
      </c>
      <c r="F105" s="3">
        <f>IFERROR(IF(VLOOKUP(C105,'2015Wetlands'!A$2:I$46,4,FALSE)=0,"",VLOOKUP(C105,'2015Wetlands'!A$2:I$46,4,FALSE)),"")</f>
        <v>1627690</v>
      </c>
      <c r="G105" s="3">
        <f>IFERROR(VLOOKUP(C105,'2015Wetlands'!A$2:H$46,8,FALSE),"")</f>
        <v>69.37</v>
      </c>
      <c r="H105" s="9">
        <f>IFERROR(VLOOKUP(C105,'2015Wetlands'!A$2:H$46,7,FALSE),"")</f>
        <v>61.41</v>
      </c>
      <c r="I105" s="20" t="str">
        <f>_xlfn.IFNA(IFERROR(VLOOKUP(Table3[[#This Row],[STATION]],'Class 1s'!B$5:G$62,6,FALSE),VLOOKUP(Table3[[#This Row],[Old Name]],'Class 1s'!B$5:G$62,6,FALSE)),"")</f>
        <v/>
      </c>
      <c r="J105" s="3" t="str">
        <f>IFERROR(Table3[[#This Row],[P80_29]]+Table3[[#This Row],[Datum Shift]],"")</f>
        <v/>
      </c>
      <c r="K105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05" s="3">
        <f>IFERROR(VLOOKUP(Table3[[#This Row],[STATION]],AllP20!B$2:C$94,2,FALSE),"")</f>
        <v>45.473100000000002</v>
      </c>
      <c r="M105" s="3">
        <f>IFERROR(VLOOKUP(Table3[[#This Row],[STATION]],AllP20!B$2:U$94,20,FALSE),"")</f>
        <v>45.27402</v>
      </c>
      <c r="N105" s="3" t="str">
        <f>IFERROR(Table3[[#This Row],[RefElev88]]-Table3[[#This Row],[2017_P80_88]],"")</f>
        <v/>
      </c>
    </row>
    <row r="106" spans="2:14" x14ac:dyDescent="0.25">
      <c r="C106" s="9" t="str">
        <f>_xlfn.IFNA(IF(VLOOKUP(Table3[[#This Row],[STATION]],NewP20s!A$5:Q$97,17,FALSE)=0,"",VLOOKUP(Table3[[#This Row],[STATION]],NewP20s!A$5:Q$97,17,FALSE)),"")</f>
        <v/>
      </c>
      <c r="D106" s="9" t="str">
        <f>IFERROR(IF(VLOOKUP(C106,'2015Wetlands'!A$2:B$46,2,FALSE)=0,"",VLOOKUP(C106,'2015Wetlands'!A$2:B$46,2,FALSE)),"")</f>
        <v/>
      </c>
      <c r="E106" s="3" t="str">
        <f>IFERROR(IF(VLOOKUP(C106,'2015Wetlands'!A$2:I$46,3,FALSE)=0,"",VLOOKUP(C106,'2015Wetlands'!A$2:I$46,3,FALSE)),"")</f>
        <v/>
      </c>
      <c r="F106" s="3" t="str">
        <f>IFERROR(IF(VLOOKUP(C106,'2015Wetlands'!A$2:I$46,4,FALSE)=0,"",VLOOKUP(C106,'2015Wetlands'!A$2:I$46,4,FALSE)),"")</f>
        <v/>
      </c>
      <c r="G106" s="3" t="str">
        <f>IFERROR(VLOOKUP(C106,'2015Wetlands'!A$2:H$46,8,FALSE),"")</f>
        <v/>
      </c>
      <c r="H106" s="21" t="str">
        <f>IFERROR(VLOOKUP(C106,'2015Wetlands'!A$2:H$46,7,FALSE),"")</f>
        <v/>
      </c>
      <c r="I106" s="20" t="str">
        <f>_xlfn.IFNA(IFERROR(VLOOKUP(Table3[[#This Row],[STATION]],'Class 1s'!B$5:G$62,6,FALSE),VLOOKUP(Table3[[#This Row],[Old Name]],'Class 1s'!B$5:G$62,6,FALSE)),"")</f>
        <v/>
      </c>
      <c r="J106" s="3" t="str">
        <f>IFERROR(Table3[[#This Row],[P80_29]]+Table3[[#This Row],[Datum Shift]],"")</f>
        <v/>
      </c>
      <c r="K106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06" s="3" t="str">
        <f>IFERROR(VLOOKUP(Table3[[#This Row],[STATION]],AllP20!B$2:C$94,2,FALSE),"")</f>
        <v/>
      </c>
      <c r="M106" s="3" t="str">
        <f>IFERROR(VLOOKUP(Table3[[#This Row],[STATION]],AllP20!B$2:U$94,20,FALSE),"")</f>
        <v/>
      </c>
      <c r="N106" s="3" t="str">
        <f>IFERROR(Table3[[#This Row],[RefElev88]]-Table3[[#This Row],[2017_P80_88]],"")</f>
        <v/>
      </c>
    </row>
    <row r="107" spans="2:14" x14ac:dyDescent="0.25">
      <c r="B107" s="9" t="s">
        <v>162</v>
      </c>
      <c r="C107" s="9" t="str">
        <f>_xlfn.IFNA(IF(VLOOKUP(Table3[[#This Row],[STATION]],NewP20s!A$5:Q$97,17,FALSE)=0,"",VLOOKUP(Table3[[#This Row],[STATION]],NewP20s!A$5:Q$97,17,FALSE)),"")</f>
        <v/>
      </c>
      <c r="D107" s="9" t="str">
        <f>IFERROR(IF(VLOOKUP(C107,'2015Wetlands'!A$2:B$46,2,FALSE)=0,"",VLOOKUP(C107,'2015Wetlands'!A$2:B$46,2,FALSE)),"")</f>
        <v/>
      </c>
      <c r="E107" s="3">
        <v>525384.70299999998</v>
      </c>
      <c r="F107" s="3">
        <v>1363699.07</v>
      </c>
      <c r="G107" s="3" t="str">
        <f>IFERROR(VLOOKUP(C107,'2015Wetlands'!A$2:H$46,8,FALSE),"")</f>
        <v/>
      </c>
      <c r="H107" s="9" t="str">
        <f>IFERROR(VLOOKUP(C107,'2015Wetlands'!A$2:H$46,7,FALSE),"")</f>
        <v/>
      </c>
      <c r="I107" s="20" t="str">
        <f>_xlfn.IFNA(IFERROR(VLOOKUP(Table3[[#This Row],[STATION]],'Class 1s'!B$5:G$62,6,FALSE),VLOOKUP(Table3[[#This Row],[Old Name]],'Class 1s'!B$5:G$62,6,FALSE)),"")</f>
        <v/>
      </c>
      <c r="J107" s="3" t="str">
        <f>IFERROR(Table3[[#This Row],[P80_29]]+Table3[[#This Row],[Datum Shift]],"")</f>
        <v/>
      </c>
      <c r="K107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07" s="3">
        <f>IFERROR(VLOOKUP(Table3[[#This Row],[STATION]],AllP20!B$2:C$94,2,FALSE),"")</f>
        <v>64.569999999999993</v>
      </c>
      <c r="M107" s="3">
        <f>IFERROR(VLOOKUP(Table3[[#This Row],[STATION]],AllP20!B$2:U$94,20,FALSE),"")</f>
        <v>64.59</v>
      </c>
      <c r="N107" s="3" t="str">
        <f>IFERROR(Table3[[#This Row],[RefElev88]]-Table3[[#This Row],[2017_P80_88]],"")</f>
        <v/>
      </c>
    </row>
    <row r="108" spans="2:14" x14ac:dyDescent="0.25">
      <c r="B108" s="9" t="s">
        <v>163</v>
      </c>
      <c r="C108" s="9" t="str">
        <f>_xlfn.IFNA(IF(VLOOKUP(Table3[[#This Row],[STATION]],NewP20s!A$5:Q$97,17,FALSE)=0,"",VLOOKUP(Table3[[#This Row],[STATION]],NewP20s!A$5:Q$97,17,FALSE)),"")</f>
        <v>Walker Ranch - WR11</v>
      </c>
      <c r="D108" s="9" t="str">
        <f>IFERROR(IF(VLOOKUP(C108,'2015Wetlands'!A$2:B$46,2,FALSE)=0,"",VLOOKUP(C108,'2015Wetlands'!A$2:B$46,2,FALSE)),"")</f>
        <v>SF-LA</v>
      </c>
      <c r="E108" s="3">
        <v>525384.70299999998</v>
      </c>
      <c r="F108" s="3">
        <v>1363699.07</v>
      </c>
      <c r="G108" s="3">
        <f>IFERROR(VLOOKUP(C108,'2015Wetlands'!A$2:H$46,8,FALSE),"")</f>
        <v>67.680000000000007</v>
      </c>
      <c r="H108" s="9">
        <f>IFERROR(VLOOKUP(C108,'2015Wetlands'!A$2:H$46,7,FALSE),"")</f>
        <v>64.099999999999994</v>
      </c>
      <c r="I108" s="20">
        <f>_xlfn.IFNA(IFERROR(VLOOKUP(Table3[[#This Row],[STATION]],'Class 1s'!B$5:G$62,6,FALSE),VLOOKUP(Table3[[#This Row],[Old Name]],'Class 1s'!B$5:G$62,6,FALSE)),"")</f>
        <v>-1.0695516830931107</v>
      </c>
      <c r="J108" s="3">
        <f>IFERROR(Table3[[#This Row],[P80_29]]+Table3[[#This Row],[Datum Shift]],"")</f>
        <v>63.030448316906885</v>
      </c>
      <c r="K108" s="3">
        <f>IFERROR(IFERROR(IFERROR(VLOOKUP(Table3[[#This Row],[STATION]],'Class 1s'!B$5:H$62,7,FALSE),VLOOKUP(Table3[[#This Row],[Old Name]],'Class 1s'!B$5:H$62,7,FALSE)),(Table3[[#This Row],[RefElev27]]+Table3[[#This Row],[Datum Shift]])),"")</f>
        <v>66.610448316906897</v>
      </c>
      <c r="L108" s="3">
        <f>IFERROR(VLOOKUP(Table3[[#This Row],[STATION]],AllP20!B$2:C$94,2,FALSE),"")</f>
        <v>63.14</v>
      </c>
      <c r="M108" s="3">
        <f>IFERROR(VLOOKUP(Table3[[#This Row],[STATION]],AllP20!B$2:U$94,20,FALSE),"")</f>
        <v>63.54</v>
      </c>
      <c r="N108" s="3">
        <f>IFERROR(Table3[[#This Row],[RefElev88]]-Table3[[#This Row],[2017_P80_88]],"")</f>
        <v>3.0704483169068979</v>
      </c>
    </row>
    <row r="109" spans="2:14" x14ac:dyDescent="0.25">
      <c r="C109" s="9" t="str">
        <f>_xlfn.IFNA(IF(VLOOKUP(Table3[[#This Row],[STATION]],NewP20s!A$5:Q$97,17,FALSE)=0,"",VLOOKUP(Table3[[#This Row],[STATION]],NewP20s!A$5:Q$97,17,FALSE)),"")</f>
        <v/>
      </c>
      <c r="D109" s="9" t="str">
        <f>IFERROR(IF(VLOOKUP(C109,'2015Wetlands'!A$2:B$46,2,FALSE)=0,"",VLOOKUP(C109,'2015Wetlands'!A$2:B$46,2,FALSE)),"")</f>
        <v/>
      </c>
      <c r="E109" s="3" t="str">
        <f>IFERROR(IF(VLOOKUP(C109,'2015Wetlands'!A$2:I$46,3,FALSE)=0,"",VLOOKUP(C109,'2015Wetlands'!A$2:I$46,3,FALSE)),"")</f>
        <v/>
      </c>
      <c r="F109" s="3" t="str">
        <f>IFERROR(IF(VLOOKUP(C109,'2015Wetlands'!A$2:I$46,4,FALSE)=0,"",VLOOKUP(C109,'2015Wetlands'!A$2:I$46,4,FALSE)),"")</f>
        <v/>
      </c>
      <c r="G109" s="3" t="str">
        <f>IFERROR(VLOOKUP(C109,'2015Wetlands'!A$2:H$46,8,FALSE),"")</f>
        <v/>
      </c>
      <c r="H109" s="21" t="str">
        <f>IFERROR(VLOOKUP(C109,'2015Wetlands'!A$2:H$46,7,FALSE),"")</f>
        <v/>
      </c>
      <c r="I109" s="20" t="str">
        <f>_xlfn.IFNA(IFERROR(VLOOKUP(Table3[[#This Row],[STATION]],'Class 1s'!B$5:G$62,6,FALSE),VLOOKUP(Table3[[#This Row],[Old Name]],'Class 1s'!B$5:G$62,6,FALSE)),"")</f>
        <v/>
      </c>
      <c r="J109" s="3" t="str">
        <f>IFERROR(Table3[[#This Row],[P80_29]]+Table3[[#This Row],[Datum Shift]],"")</f>
        <v/>
      </c>
      <c r="K109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09" s="3" t="str">
        <f>IFERROR(VLOOKUP(Table3[[#This Row],[STATION]],AllP20!B$2:C$94,2,FALSE),"")</f>
        <v/>
      </c>
      <c r="M109" s="3" t="str">
        <f>IFERROR(VLOOKUP(Table3[[#This Row],[STATION]],AllP20!B$2:U$94,20,FALSE),"")</f>
        <v/>
      </c>
      <c r="N109" s="3" t="str">
        <f>IFERROR(Table3[[#This Row],[RefElev88]]-Table3[[#This Row],[2017_P80_88]],"")</f>
        <v/>
      </c>
    </row>
    <row r="110" spans="2:14" x14ac:dyDescent="0.25">
      <c r="B110" s="9" t="s">
        <v>164</v>
      </c>
      <c r="C110" s="9" t="str">
        <f>_xlfn.IFNA(IF(VLOOKUP(Table3[[#This Row],[STATION]],NewP20s!A$5:Q$97,17,FALSE)=0,"",VLOOKUP(Table3[[#This Row],[STATION]],NewP20s!A$5:Q$97,17,FALSE)),"")</f>
        <v/>
      </c>
      <c r="D110" s="9" t="str">
        <f>IFERROR(IF(VLOOKUP(C110,'2015Wetlands'!A$2:B$46,2,FALSE)=0,"",VLOOKUP(C110,'2015Wetlands'!A$2:B$46,2,FALSE)),"")</f>
        <v/>
      </c>
      <c r="E110" s="3">
        <v>530392.72699999996</v>
      </c>
      <c r="F110" s="3">
        <v>1362803.719</v>
      </c>
      <c r="G110" s="3" t="str">
        <f>IFERROR(VLOOKUP(C110,'2015Wetlands'!A$2:H$46,8,FALSE),"")</f>
        <v/>
      </c>
      <c r="H110" s="9" t="str">
        <f>IFERROR(VLOOKUP(C110,'2015Wetlands'!A$2:H$46,7,FALSE),"")</f>
        <v/>
      </c>
      <c r="I110" s="20" t="str">
        <f>_xlfn.IFNA(IFERROR(VLOOKUP(Table3[[#This Row],[STATION]],'Class 1s'!B$5:G$62,6,FALSE),VLOOKUP(Table3[[#This Row],[Old Name]],'Class 1s'!B$5:G$62,6,FALSE)),"")</f>
        <v/>
      </c>
      <c r="J110" s="3" t="str">
        <f>IFERROR(Table3[[#This Row],[P80_29]]+Table3[[#This Row],[Datum Shift]],"")</f>
        <v/>
      </c>
      <c r="K110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10" s="3">
        <f>IFERROR(VLOOKUP(Table3[[#This Row],[STATION]],AllP20!B$2:C$94,2,FALSE),"")</f>
        <v>60.4</v>
      </c>
      <c r="M110" s="3">
        <f>IFERROR(VLOOKUP(Table3[[#This Row],[STATION]],AllP20!B$2:U$94,20,FALSE),"")</f>
        <v>60.43</v>
      </c>
      <c r="N110" s="3" t="str">
        <f>IFERROR(Table3[[#This Row],[RefElev88]]-Table3[[#This Row],[2017_P80_88]],"")</f>
        <v/>
      </c>
    </row>
    <row r="111" spans="2:14" x14ac:dyDescent="0.25">
      <c r="B111" s="9" t="s">
        <v>165</v>
      </c>
      <c r="C111" s="35" t="s">
        <v>247</v>
      </c>
      <c r="D111" s="9" t="str">
        <f>IFERROR(IF(VLOOKUP(C111,'2015Wetlands'!A$2:B$46,2,FALSE)=0,"",VLOOKUP(C111,'2015Wetlands'!A$2:B$46,2,FALSE)),"")</f>
        <v/>
      </c>
      <c r="E111" s="3">
        <v>530392.72699999996</v>
      </c>
      <c r="F111" s="3">
        <v>1362803.719</v>
      </c>
      <c r="G111" s="3" t="str">
        <f>IFERROR(VLOOKUP(C111,'2015Wetlands'!A$2:H$46,8,FALSE),"")</f>
        <v/>
      </c>
      <c r="H111" s="9" t="str">
        <f>IFERROR(VLOOKUP(C111,'2015Wetlands'!A$2:H$46,7,FALSE),"")</f>
        <v/>
      </c>
      <c r="I111" s="20">
        <f>_xlfn.IFNA(IFERROR(VLOOKUP(Table3[[#This Row],[STATION]],'Class 1s'!B$5:G$62,6,FALSE),VLOOKUP(Table3[[#This Row],[Old Name]],'Class 1s'!B$5:G$62,6,FALSE)),"")</f>
        <v>-1.08</v>
      </c>
      <c r="J111" s="3" t="str">
        <f>IFERROR(Table3[[#This Row],[P80_29]]+Table3[[#This Row],[Datum Shift]],"")</f>
        <v/>
      </c>
      <c r="K111" s="3" t="str">
        <f>IFERROR(IFERROR(IFERROR(VLOOKUP(Table3[[#This Row],[STATION]],'Class 1s'!B$5:H$62,7,FALSE),VLOOKUP(Table3[[#This Row],[Old Name]],'Class 1s'!B$5:H$62,7,FALSE)),(Table3[[#This Row],[RefElev27]]+Table3[[#This Row],[Datum Shift]])),"")</f>
        <v>TBD</v>
      </c>
      <c r="L111" s="3">
        <f>IFERROR(VLOOKUP(Table3[[#This Row],[STATION]],AllP20!B$2:C$94,2,FALSE),"")</f>
        <v>58.44</v>
      </c>
      <c r="M111" s="3">
        <f>IFERROR(VLOOKUP(Table3[[#This Row],[STATION]],AllP20!B$2:U$94,20,FALSE),"")</f>
        <v>58.89</v>
      </c>
      <c r="N111" s="3" t="str">
        <f>IFERROR(Table3[[#This Row],[RefElev88]]-Table3[[#This Row],[2017_P80_88]],"")</f>
        <v/>
      </c>
    </row>
    <row r="112" spans="2:14" x14ac:dyDescent="0.25">
      <c r="C112" s="9" t="str">
        <f>_xlfn.IFNA(IF(VLOOKUP(Table3[[#This Row],[STATION]],NewP20s!A$5:Q$97,17,FALSE)=0,"",VLOOKUP(Table3[[#This Row],[STATION]],NewP20s!A$5:Q$97,17,FALSE)),"")</f>
        <v/>
      </c>
      <c r="D112" s="9" t="str">
        <f>IFERROR(IF(VLOOKUP(C112,'2015Wetlands'!A$2:B$46,2,FALSE)=0,"",VLOOKUP(C112,'2015Wetlands'!A$2:B$46,2,FALSE)),"")</f>
        <v/>
      </c>
      <c r="E112" s="3" t="str">
        <f>IFERROR(IF(VLOOKUP(C112,'2015Wetlands'!A$2:I$46,3,FALSE)=0,"",VLOOKUP(C112,'2015Wetlands'!A$2:I$46,3,FALSE)),"")</f>
        <v/>
      </c>
      <c r="F112" s="3" t="str">
        <f>IFERROR(IF(VLOOKUP(C112,'2015Wetlands'!A$2:I$46,4,FALSE)=0,"",VLOOKUP(C112,'2015Wetlands'!A$2:I$46,4,FALSE)),"")</f>
        <v/>
      </c>
      <c r="G112" s="3" t="str">
        <f>IFERROR(VLOOKUP(C112,'2015Wetlands'!A$2:H$46,8,FALSE),"")</f>
        <v/>
      </c>
      <c r="H112" s="21" t="str">
        <f>IFERROR(VLOOKUP(C112,'2015Wetlands'!A$2:H$46,7,FALSE),"")</f>
        <v/>
      </c>
      <c r="I112" s="20" t="str">
        <f>_xlfn.IFNA(IFERROR(VLOOKUP(Table3[[#This Row],[STATION]],'Class 1s'!B$5:G$62,6,FALSE),VLOOKUP(Table3[[#This Row],[Old Name]],'Class 1s'!B$5:G$62,6,FALSE)),"")</f>
        <v/>
      </c>
      <c r="J112" s="3" t="str">
        <f>IFERROR(Table3[[#This Row],[P80_29]]+Table3[[#This Row],[Datum Shift]],"")</f>
        <v/>
      </c>
      <c r="K112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12" s="3" t="str">
        <f>IFERROR(VLOOKUP(Table3[[#This Row],[STATION]],AllP20!B$2:C$94,2,FALSE),"")</f>
        <v/>
      </c>
      <c r="M112" s="3" t="str">
        <f>IFERROR(VLOOKUP(Table3[[#This Row],[STATION]],AllP20!B$2:U$94,20,FALSE),"")</f>
        <v/>
      </c>
      <c r="N112" s="3" t="str">
        <f>IFERROR(Table3[[#This Row],[RefElev88]]-Table3[[#This Row],[2017_P80_88]],"")</f>
        <v/>
      </c>
    </row>
    <row r="113" spans="2:14" x14ac:dyDescent="0.25">
      <c r="B113" s="9" t="s">
        <v>166</v>
      </c>
      <c r="C113" s="9" t="str">
        <f>_xlfn.IFNA(IF(VLOOKUP(Table3[[#This Row],[STATION]],NewP20s!A$5:Q$97,17,FALSE)=0,"",VLOOKUP(Table3[[#This Row],[STATION]],NewP20s!A$5:Q$97,17,FALSE)),"")</f>
        <v/>
      </c>
      <c r="D113" s="9" t="str">
        <f>IFERROR(IF(VLOOKUP(C113,'2015Wetlands'!A$2:B$46,2,FALSE)=0,"",VLOOKUP(C113,'2015Wetlands'!A$2:B$46,2,FALSE)),"")</f>
        <v/>
      </c>
      <c r="E113" s="3">
        <v>529670.94999999995</v>
      </c>
      <c r="F113" s="3">
        <v>1361190.213</v>
      </c>
      <c r="G113" s="3" t="str">
        <f>IFERROR(VLOOKUP(C113,'2015Wetlands'!A$2:H$46,8,FALSE),"")</f>
        <v/>
      </c>
      <c r="H113" s="9" t="str">
        <f>IFERROR(VLOOKUP(C113,'2015Wetlands'!A$2:H$46,7,FALSE),"")</f>
        <v/>
      </c>
      <c r="I113" s="20" t="str">
        <f>_xlfn.IFNA(IFERROR(VLOOKUP(Table3[[#This Row],[STATION]],'Class 1s'!B$5:G$62,6,FALSE),VLOOKUP(Table3[[#This Row],[Old Name]],'Class 1s'!B$5:G$62,6,FALSE)),"")</f>
        <v/>
      </c>
      <c r="J113" s="3" t="str">
        <f>IFERROR(Table3[[#This Row],[P80_29]]+Table3[[#This Row],[Datum Shift]],"")</f>
        <v/>
      </c>
      <c r="K113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13" s="3">
        <f>IFERROR(VLOOKUP(Table3[[#This Row],[STATION]],AllP20!B$2:C$94,2,FALSE),"")</f>
        <v>63.2</v>
      </c>
      <c r="M113" s="3">
        <f>IFERROR(VLOOKUP(Table3[[#This Row],[STATION]],AllP20!B$2:U$94,20,FALSE),"")</f>
        <v>63.21</v>
      </c>
      <c r="N113" s="3" t="str">
        <f>IFERROR(Table3[[#This Row],[RefElev88]]-Table3[[#This Row],[2017_P80_88]],"")</f>
        <v/>
      </c>
    </row>
    <row r="114" spans="2:14" x14ac:dyDescent="0.25">
      <c r="B114" s="9" t="s">
        <v>167</v>
      </c>
      <c r="C114" s="35" t="s">
        <v>246</v>
      </c>
      <c r="D114" s="9" t="str">
        <f>IFERROR(IF(VLOOKUP(C114,'2015Wetlands'!A$2:B$46,2,FALSE)=0,"",VLOOKUP(C114,'2015Wetlands'!A$2:B$46,2,FALSE)),"")</f>
        <v/>
      </c>
      <c r="E114" s="3">
        <v>529670.94999999995</v>
      </c>
      <c r="F114" s="3">
        <v>1361190.213</v>
      </c>
      <c r="G114" s="3" t="str">
        <f>IFERROR(VLOOKUP(C114,'2015Wetlands'!A$2:H$46,8,FALSE),"")</f>
        <v/>
      </c>
      <c r="H114" s="9" t="str">
        <f>IFERROR(VLOOKUP(C114,'2015Wetlands'!A$2:H$46,7,FALSE),"")</f>
        <v/>
      </c>
      <c r="I114" s="20">
        <f>_xlfn.IFNA(IFERROR(VLOOKUP(Table3[[#This Row],[STATION]],'Class 1s'!B$5:G$62,6,FALSE),VLOOKUP(Table3[[#This Row],[Old Name]],'Class 1s'!B$5:G$62,6,FALSE)),"")</f>
        <v>-1.0900000000000001</v>
      </c>
      <c r="J114" s="3" t="str">
        <f>IFERROR(Table3[[#This Row],[P80_29]]+Table3[[#This Row],[Datum Shift]],"")</f>
        <v/>
      </c>
      <c r="K114" s="3" t="str">
        <f>IFERROR(IFERROR(IFERROR(VLOOKUP(Table3[[#This Row],[STATION]],'Class 1s'!B$5:H$62,7,FALSE),VLOOKUP(Table3[[#This Row],[Old Name]],'Class 1s'!B$5:H$62,7,FALSE)),(Table3[[#This Row],[RefElev27]]+Table3[[#This Row],[Datum Shift]])),"")</f>
        <v>TBD</v>
      </c>
      <c r="L114" s="3">
        <f>IFERROR(VLOOKUP(Table3[[#This Row],[STATION]],AllP20!B$2:C$94,2,FALSE),"")</f>
        <v>60.54</v>
      </c>
      <c r="M114" s="3">
        <f>IFERROR(VLOOKUP(Table3[[#This Row],[STATION]],AllP20!B$2:U$94,20,FALSE),"")</f>
        <v>61.03</v>
      </c>
      <c r="N114" s="3" t="str">
        <f>IFERROR(Table3[[#This Row],[RefElev88]]-Table3[[#This Row],[2017_P80_88]],"")</f>
        <v/>
      </c>
    </row>
    <row r="115" spans="2:14" x14ac:dyDescent="0.25">
      <c r="C115" s="9" t="str">
        <f>_xlfn.IFNA(IF(VLOOKUP(Table3[[#This Row],[STATION]],NewP20s!A$5:Q$97,17,FALSE)=0,"",VLOOKUP(Table3[[#This Row],[STATION]],NewP20s!A$5:Q$97,17,FALSE)),"")</f>
        <v/>
      </c>
      <c r="D115" s="9" t="str">
        <f>IFERROR(IF(VLOOKUP(C115,'2015Wetlands'!A$2:B$46,2,FALSE)=0,"",VLOOKUP(C115,'2015Wetlands'!A$2:B$46,2,FALSE)),"")</f>
        <v/>
      </c>
      <c r="E115" s="3" t="str">
        <f>IFERROR(IF(VLOOKUP(C115,'2015Wetlands'!A$2:I$46,3,FALSE)=0,"",VLOOKUP(C115,'2015Wetlands'!A$2:I$46,3,FALSE)),"")</f>
        <v/>
      </c>
      <c r="F115" s="3" t="str">
        <f>IFERROR(IF(VLOOKUP(C115,'2015Wetlands'!A$2:I$46,4,FALSE)=0,"",VLOOKUP(C115,'2015Wetlands'!A$2:I$46,4,FALSE)),"")</f>
        <v/>
      </c>
      <c r="G115" s="3" t="str">
        <f>IFERROR(VLOOKUP(C115,'2015Wetlands'!A$2:H$46,8,FALSE),"")</f>
        <v/>
      </c>
      <c r="H115" s="21" t="str">
        <f>IFERROR(VLOOKUP(C115,'2015Wetlands'!A$2:H$46,7,FALSE),"")</f>
        <v/>
      </c>
      <c r="I115" s="20" t="str">
        <f>_xlfn.IFNA(IFERROR(VLOOKUP(Table3[[#This Row],[STATION]],'Class 1s'!B$5:G$62,6,FALSE),VLOOKUP(Table3[[#This Row],[Old Name]],'Class 1s'!B$5:G$62,6,FALSE)),"")</f>
        <v/>
      </c>
      <c r="J115" s="3" t="str">
        <f>IFERROR(Table3[[#This Row],[P80_29]]+Table3[[#This Row],[Datum Shift]],"")</f>
        <v/>
      </c>
      <c r="K115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15" s="3" t="str">
        <f>IFERROR(VLOOKUP(Table3[[#This Row],[STATION]],AllP20!B$2:C$94,2,FALSE),"")</f>
        <v/>
      </c>
      <c r="M115" s="3" t="str">
        <f>IFERROR(VLOOKUP(Table3[[#This Row],[STATION]],AllP20!B$2:U$94,20,FALSE),"")</f>
        <v/>
      </c>
      <c r="N115" s="3" t="str">
        <f>IFERROR(Table3[[#This Row],[RefElev88]]-Table3[[#This Row],[2017_P80_88]],"")</f>
        <v/>
      </c>
    </row>
    <row r="116" spans="2:14" x14ac:dyDescent="0.25">
      <c r="B116" s="9" t="s">
        <v>168</v>
      </c>
      <c r="C116" s="9" t="str">
        <f>_xlfn.IFNA(IF(VLOOKUP(Table3[[#This Row],[STATION]],NewP20s!A$5:Q$97,17,FALSE)=0,"",VLOOKUP(Table3[[#This Row],[STATION]],NewP20s!A$5:Q$97,17,FALSE)),"")</f>
        <v/>
      </c>
      <c r="D116" s="9" t="str">
        <f>IFERROR(IF(VLOOKUP(C116,'2015Wetlands'!A$2:B$46,2,FALSE)=0,"",VLOOKUP(C116,'2015Wetlands'!A$2:B$46,2,FALSE)),"")</f>
        <v/>
      </c>
      <c r="E116" s="3">
        <v>523176.592</v>
      </c>
      <c r="F116" s="3">
        <v>1374340.3130000001</v>
      </c>
      <c r="G116" s="3" t="str">
        <f>IFERROR(VLOOKUP(C116,'2015Wetlands'!A$2:H$46,8,FALSE),"")</f>
        <v/>
      </c>
      <c r="H116" s="9" t="str">
        <f>IFERROR(VLOOKUP(C116,'2015Wetlands'!A$2:H$46,7,FALSE),"")</f>
        <v/>
      </c>
      <c r="I116" s="20" t="str">
        <f>_xlfn.IFNA(IFERROR(VLOOKUP(Table3[[#This Row],[STATION]],'Class 1s'!B$5:G$62,6,FALSE),VLOOKUP(Table3[[#This Row],[Old Name]],'Class 1s'!B$5:G$62,6,FALSE)),"")</f>
        <v/>
      </c>
      <c r="J116" s="3" t="str">
        <f>IFERROR(Table3[[#This Row],[P80_29]]+Table3[[#This Row],[Datum Shift]],"")</f>
        <v/>
      </c>
      <c r="K116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16" s="3">
        <f>IFERROR(VLOOKUP(Table3[[#This Row],[STATION]],AllP20!B$2:C$94,2,FALSE),"")</f>
        <v>61.68</v>
      </c>
      <c r="M116" s="3">
        <f>IFERROR(VLOOKUP(Table3[[#This Row],[STATION]],AllP20!B$2:U$94,20,FALSE),"")</f>
        <v>61.69</v>
      </c>
      <c r="N116" s="3" t="str">
        <f>IFERROR(Table3[[#This Row],[RefElev88]]-Table3[[#This Row],[2017_P80_88]],"")</f>
        <v/>
      </c>
    </row>
    <row r="117" spans="2:14" x14ac:dyDescent="0.25">
      <c r="B117" s="9" t="s">
        <v>169</v>
      </c>
      <c r="C117" s="9" t="str">
        <f>_xlfn.IFNA(IF(VLOOKUP(Table3[[#This Row],[STATION]],NewP20s!A$5:Q$97,17,FALSE)=0,"",VLOOKUP(Table3[[#This Row],[STATION]],NewP20s!A$5:Q$97,17,FALSE)),"")</f>
        <v>Walker Ranch - WR6</v>
      </c>
      <c r="D117" s="9" t="str">
        <f>IFERROR(IF(VLOOKUP(C117,'2015Wetlands'!A$2:B$46,2,FALSE)=0,"",VLOOKUP(C117,'2015Wetlands'!A$2:B$46,2,FALSE)),"")</f>
        <v>SF-LB</v>
      </c>
      <c r="E117" s="3">
        <v>523176.592</v>
      </c>
      <c r="F117" s="3">
        <v>1374340.3130000001</v>
      </c>
      <c r="G117" s="3">
        <f>IFERROR(VLOOKUP(C117,'2015Wetlands'!A$2:H$46,8,FALSE),"")</f>
        <v>64.47</v>
      </c>
      <c r="H117" s="9">
        <f>IFERROR(VLOOKUP(C117,'2015Wetlands'!A$2:H$46,7,FALSE),"")</f>
        <v>61.61</v>
      </c>
      <c r="I117" s="20">
        <f>_xlfn.IFNA(IFERROR(VLOOKUP(Table3[[#This Row],[STATION]],'Class 1s'!B$5:G$62,6,FALSE),VLOOKUP(Table3[[#This Row],[Old Name]],'Class 1s'!B$5:G$62,6,FALSE)),"")</f>
        <v>-1.0400241721421479</v>
      </c>
      <c r="J117" s="3">
        <f>IFERROR(Table3[[#This Row],[P80_29]]+Table3[[#This Row],[Datum Shift]],"")</f>
        <v>60.569975827857853</v>
      </c>
      <c r="K117" s="3">
        <f>IFERROR(IFERROR(IFERROR(VLOOKUP(Table3[[#This Row],[STATION]],'Class 1s'!B$5:H$62,7,FALSE),VLOOKUP(Table3[[#This Row],[Old Name]],'Class 1s'!B$5:H$62,7,FALSE)),(Table3[[#This Row],[RefElev27]]+Table3[[#This Row],[Datum Shift]])),"")</f>
        <v>63.429975827857852</v>
      </c>
      <c r="L117" s="3">
        <f>IFERROR(VLOOKUP(Table3[[#This Row],[STATION]],AllP20!B$2:C$94,2,FALSE),"")</f>
        <v>60.41</v>
      </c>
      <c r="M117" s="3">
        <f>IFERROR(VLOOKUP(Table3[[#This Row],[STATION]],AllP20!B$2:U$94,20,FALSE),"")</f>
        <v>60.54</v>
      </c>
      <c r="N117" s="3">
        <f>IFERROR(Table3[[#This Row],[RefElev88]]-Table3[[#This Row],[2017_P80_88]],"")</f>
        <v>2.8899758278578531</v>
      </c>
    </row>
    <row r="118" spans="2:14" x14ac:dyDescent="0.25">
      <c r="C118" s="9" t="str">
        <f>_xlfn.IFNA(IF(VLOOKUP(Table3[[#This Row],[STATION]],NewP20s!A$5:Q$97,17,FALSE)=0,"",VLOOKUP(Table3[[#This Row],[STATION]],NewP20s!A$5:Q$97,17,FALSE)),"")</f>
        <v/>
      </c>
      <c r="D118" s="9" t="str">
        <f>IFERROR(IF(VLOOKUP(C118,'2015Wetlands'!A$2:B$46,2,FALSE)=0,"",VLOOKUP(C118,'2015Wetlands'!A$2:B$46,2,FALSE)),"")</f>
        <v/>
      </c>
      <c r="E118" s="3" t="str">
        <f>IFERROR(IF(VLOOKUP(C118,'2015Wetlands'!A$2:I$46,3,FALSE)=0,"",VLOOKUP(C118,'2015Wetlands'!A$2:I$46,3,FALSE)),"")</f>
        <v/>
      </c>
      <c r="F118" s="3" t="str">
        <f>IFERROR(IF(VLOOKUP(C118,'2015Wetlands'!A$2:I$46,4,FALSE)=0,"",VLOOKUP(C118,'2015Wetlands'!A$2:I$46,4,FALSE)),"")</f>
        <v/>
      </c>
      <c r="G118" s="3" t="str">
        <f>IFERROR(VLOOKUP(C118,'2015Wetlands'!A$2:H$46,8,FALSE),"")</f>
        <v/>
      </c>
      <c r="H118" s="21" t="str">
        <f>IFERROR(VLOOKUP(C118,'2015Wetlands'!A$2:H$46,7,FALSE),"")</f>
        <v/>
      </c>
      <c r="I118" s="20" t="str">
        <f>_xlfn.IFNA(IFERROR(VLOOKUP(Table3[[#This Row],[STATION]],'Class 1s'!B$5:G$62,6,FALSE),VLOOKUP(Table3[[#This Row],[Old Name]],'Class 1s'!B$5:G$62,6,FALSE)),"")</f>
        <v/>
      </c>
      <c r="J118" s="3" t="str">
        <f>IFERROR(Table3[[#This Row],[P80_29]]+Table3[[#This Row],[Datum Shift]],"")</f>
        <v/>
      </c>
      <c r="K118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18" s="3" t="str">
        <f>IFERROR(VLOOKUP(Table3[[#This Row],[STATION]],AllP20!B$2:C$94,2,FALSE),"")</f>
        <v/>
      </c>
      <c r="M118" s="3" t="str">
        <f>IFERROR(VLOOKUP(Table3[[#This Row],[STATION]],AllP20!B$2:U$94,20,FALSE),"")</f>
        <v/>
      </c>
      <c r="N118" s="3" t="str">
        <f>IFERROR(Table3[[#This Row],[RefElev88]]-Table3[[#This Row],[2017_P80_88]],"")</f>
        <v/>
      </c>
    </row>
    <row r="119" spans="2:14" x14ac:dyDescent="0.25">
      <c r="B119" s="9" t="s">
        <v>170</v>
      </c>
      <c r="C119" s="9" t="str">
        <f>_xlfn.IFNA(IF(VLOOKUP(Table3[[#This Row],[STATION]],NewP20s!A$5:Q$97,17,FALSE)=0,"",VLOOKUP(Table3[[#This Row],[STATION]],NewP20s!A$5:Q$97,17,FALSE)),"")</f>
        <v>Walker Ranch - WR9</v>
      </c>
      <c r="D119" s="9" t="str">
        <f>IFERROR(IF(VLOOKUP(C119,'2015Wetlands'!A$2:B$46,2,FALSE)=0,"",VLOOKUP(C119,'2015Wetlands'!A$2:B$46,2,FALSE)),"")</f>
        <v>SF-XZ</v>
      </c>
      <c r="E119" s="3">
        <v>521021.255</v>
      </c>
      <c r="F119" s="3">
        <v>1372529.865</v>
      </c>
      <c r="G119" s="3">
        <f>IFERROR(VLOOKUP(C119,'2015Wetlands'!A$2:H$46,8,FALSE),"")</f>
        <v>68.34</v>
      </c>
      <c r="H119" s="9">
        <f>IFERROR(VLOOKUP(C119,'2015Wetlands'!A$2:H$46,7,FALSE),"")</f>
        <v>65.569999999999993</v>
      </c>
      <c r="I119" s="20">
        <f>_xlfn.IFNA(IFERROR(VLOOKUP(Table3[[#This Row],[STATION]],'Class 1s'!B$5:G$62,6,FALSE),VLOOKUP(Table3[[#This Row],[Old Name]],'Class 1s'!B$5:G$62,6,FALSE)),"")</f>
        <v>-1.0400241721421479</v>
      </c>
      <c r="J119" s="3">
        <f>IFERROR(Table3[[#This Row],[P80_29]]+Table3[[#This Row],[Datum Shift]],"")</f>
        <v>64.529975827857839</v>
      </c>
      <c r="K119" s="3">
        <f>IFERROR(IFERROR(IFERROR(VLOOKUP(Table3[[#This Row],[STATION]],'Class 1s'!B$5:H$62,7,FALSE),VLOOKUP(Table3[[#This Row],[Old Name]],'Class 1s'!B$5:H$62,7,FALSE)),(Table3[[#This Row],[RefElev27]]+Table3[[#This Row],[Datum Shift]])),"")</f>
        <v>67.29997582785785</v>
      </c>
      <c r="L119" s="3">
        <f>IFERROR(VLOOKUP(Table3[[#This Row],[STATION]],AllP20!B$2:C$94,2,FALSE),"")</f>
        <v>63.48</v>
      </c>
      <c r="M119" s="3">
        <f>IFERROR(VLOOKUP(Table3[[#This Row],[STATION]],AllP20!B$2:U$94,20,FALSE),"")</f>
        <v>63.62</v>
      </c>
      <c r="N119" s="3">
        <f>IFERROR(Table3[[#This Row],[RefElev88]]-Table3[[#This Row],[2017_P80_88]],"")</f>
        <v>3.6799758278578523</v>
      </c>
    </row>
    <row r="120" spans="2:14" x14ac:dyDescent="0.25">
      <c r="B120" s="9" t="s">
        <v>121</v>
      </c>
      <c r="C120" s="9" t="str">
        <f>_xlfn.IFNA(IF(VLOOKUP(Table3[[#This Row],[STATION]],NewP20s!A$5:Q$97,17,FALSE)=0,"",VLOOKUP(Table3[[#This Row],[STATION]],NewP20s!A$5:Q$97,17,FALSE)),"")</f>
        <v/>
      </c>
      <c r="D120" s="9" t="str">
        <f>IFERROR(IF(VLOOKUP(C120,'2015Wetlands'!A$2:B$46,2,FALSE)=0,"",VLOOKUP(C120,'2015Wetlands'!A$2:B$46,2,FALSE)),"")</f>
        <v/>
      </c>
      <c r="E120" s="3" t="str">
        <f>IFERROR(IF(VLOOKUP(C120,'2015Wetlands'!A$2:I$46,3,FALSE)=0,"",VLOOKUP(C120,'2015Wetlands'!A$2:I$46,3,FALSE)),"")</f>
        <v/>
      </c>
      <c r="F120" s="3" t="str">
        <f>IFERROR(IF(VLOOKUP(C120,'2015Wetlands'!A$2:I$46,4,FALSE)=0,"",VLOOKUP(C120,'2015Wetlands'!A$2:I$46,4,FALSE)),"")</f>
        <v/>
      </c>
      <c r="G120" s="3" t="str">
        <f>IFERROR(VLOOKUP(C120,'2015Wetlands'!A$2:H$46,8,FALSE),"")</f>
        <v/>
      </c>
      <c r="H120" s="9" t="str">
        <f>IFERROR(VLOOKUP(C120,'2015Wetlands'!A$2:H$46,7,FALSE),"")</f>
        <v/>
      </c>
      <c r="I120" s="20" t="str">
        <f>_xlfn.IFNA(IFERROR(VLOOKUP(Table3[[#This Row],[STATION]],'Class 1s'!B$5:G$62,6,FALSE),VLOOKUP(Table3[[#This Row],[Old Name]],'Class 1s'!B$5:G$62,6,FALSE)),"")</f>
        <v/>
      </c>
      <c r="J120" s="3" t="str">
        <f>IFERROR(Table3[[#This Row],[P80_29]]+Table3[[#This Row],[Datum Shift]],"")</f>
        <v/>
      </c>
      <c r="K120" s="3" t="str">
        <f>IFERROR(IFERROR(IFERROR(VLOOKUP(Table3[[#This Row],[STATION]],'Class 1s'!B$5:H$62,7,FALSE),VLOOKUP(Table3[[#This Row],[Old Name]],'Class 1s'!B$5:H$62,7,FALSE)),(Table3[[#This Row],[RefElev27]]+Table3[[#This Row],[Datum Shift]])),"")</f>
        <v/>
      </c>
      <c r="L120" s="3" t="str">
        <f>IFERROR(VLOOKUP(Table3[[#This Row],[STATION]],AllP20!B$2:C$94,2,FALSE),"")</f>
        <v>NA</v>
      </c>
      <c r="M120" s="3">
        <f>IFERROR(VLOOKUP(Table3[[#This Row],[STATION]],AllP20!B$2:U$94,20,FALSE),"")</f>
        <v>109.2</v>
      </c>
      <c r="N120" s="3" t="str">
        <f>IFERROR(Table3[[#This Row],[RefElev88]]-Table3[[#This Row],[2017_P80_88]],"")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F59A-3493-49E7-8500-6CE8167BC750}">
  <sheetPr>
    <pageSetUpPr fitToPage="1"/>
  </sheetPr>
  <dimension ref="A1:L64"/>
  <sheetViews>
    <sheetView zoomScaleNormal="100" workbookViewId="0">
      <pane ySplit="1" topLeftCell="A2" activePane="bottomLeft" state="frozen"/>
      <selection pane="bottomLeft" activeCell="N22" sqref="N22"/>
    </sheetView>
  </sheetViews>
  <sheetFormatPr defaultRowHeight="15" x14ac:dyDescent="0.25"/>
  <cols>
    <col min="1" max="1" width="14" style="30" customWidth="1"/>
    <col min="2" max="2" width="35.7109375" style="31" customWidth="1"/>
    <col min="3" max="3" width="13.85546875" style="30" hidden="1" customWidth="1"/>
    <col min="4" max="4" width="20.42578125" style="31" hidden="1" customWidth="1"/>
    <col min="5" max="5" width="16.85546875" style="31" hidden="1" customWidth="1"/>
    <col min="6" max="6" width="19.7109375" style="30" customWidth="1"/>
    <col min="7" max="7" width="19.42578125" style="30" customWidth="1"/>
    <col min="8" max="8" width="20.42578125" style="29" customWidth="1"/>
    <col min="9" max="9" width="18.42578125" style="28" customWidth="1"/>
    <col min="10" max="10" width="16.28515625" style="28" customWidth="1"/>
    <col min="11" max="11" width="15.7109375" style="20" hidden="1" customWidth="1"/>
    <col min="12" max="12" width="16.7109375" style="20" hidden="1" customWidth="1"/>
    <col min="13" max="16384" width="9.140625" style="9"/>
  </cols>
  <sheetData>
    <row r="1" spans="1:12" s="50" customFormat="1" ht="38.25" x14ac:dyDescent="0.2">
      <c r="A1" s="59" t="s">
        <v>287</v>
      </c>
      <c r="B1" s="59" t="s">
        <v>244</v>
      </c>
      <c r="C1" s="59" t="s">
        <v>286</v>
      </c>
      <c r="D1" s="59" t="s">
        <v>285</v>
      </c>
      <c r="E1" s="59" t="s">
        <v>284</v>
      </c>
      <c r="F1" s="59" t="s">
        <v>283</v>
      </c>
      <c r="G1" s="58" t="s">
        <v>282</v>
      </c>
      <c r="H1" s="57" t="s">
        <v>245</v>
      </c>
      <c r="I1" s="56" t="s">
        <v>281</v>
      </c>
      <c r="J1" s="56" t="s">
        <v>280</v>
      </c>
      <c r="K1" s="33" t="s">
        <v>279</v>
      </c>
      <c r="L1" s="33" t="s">
        <v>278</v>
      </c>
    </row>
    <row r="2" spans="1:12" s="44" customFormat="1" x14ac:dyDescent="0.25">
      <c r="A2" s="37" t="s">
        <v>288</v>
      </c>
      <c r="B2" s="35" t="s">
        <v>251</v>
      </c>
      <c r="C2" s="37" t="s">
        <v>269</v>
      </c>
      <c r="D2" s="35" t="s">
        <v>3</v>
      </c>
      <c r="E2" s="35" t="s">
        <v>4</v>
      </c>
      <c r="F2" s="25" t="s">
        <v>121</v>
      </c>
      <c r="G2" s="32">
        <v>-0.87270167527099451</v>
      </c>
      <c r="H2" s="25">
        <v>98.397000000000006</v>
      </c>
      <c r="I2" s="34">
        <v>-82.090599999999995</v>
      </c>
      <c r="J2" s="34">
        <v>28.180400000000017</v>
      </c>
      <c r="K2" s="33">
        <v>304880.73564814142</v>
      </c>
      <c r="L2" s="33">
        <v>1399975.2399995218</v>
      </c>
    </row>
    <row r="3" spans="1:12" s="44" customFormat="1" x14ac:dyDescent="0.25">
      <c r="A3" s="37" t="s">
        <v>205</v>
      </c>
      <c r="B3" s="35" t="s">
        <v>61</v>
      </c>
      <c r="C3" s="47" t="s">
        <v>269</v>
      </c>
      <c r="D3" s="35" t="s">
        <v>41</v>
      </c>
      <c r="E3" s="35" t="s">
        <v>25</v>
      </c>
      <c r="F3" s="25">
        <v>95.95</v>
      </c>
      <c r="G3" s="27">
        <v>-0.78</v>
      </c>
      <c r="H3" s="25">
        <f>F3+G3</f>
        <v>95.17</v>
      </c>
      <c r="I3" s="34">
        <v>-81.492193</v>
      </c>
      <c r="J3" s="34">
        <v>27.928229000000002</v>
      </c>
      <c r="K3" s="33">
        <v>497300.88859181153</v>
      </c>
      <c r="L3" s="33">
        <v>1307039.916276084</v>
      </c>
    </row>
    <row r="4" spans="1:12" s="44" customFormat="1" x14ac:dyDescent="0.25">
      <c r="A4" s="37" t="s">
        <v>33</v>
      </c>
      <c r="B4" s="35" t="s">
        <v>32</v>
      </c>
      <c r="C4" s="37" t="s">
        <v>177</v>
      </c>
      <c r="D4" s="35" t="s">
        <v>3</v>
      </c>
      <c r="E4" s="35" t="s">
        <v>4</v>
      </c>
      <c r="F4" s="25">
        <v>118.82</v>
      </c>
      <c r="G4" s="2">
        <v>-0.8562975242485602</v>
      </c>
      <c r="H4" s="25">
        <f>F4+G4</f>
        <v>117.96370247575143</v>
      </c>
      <c r="I4" s="34">
        <v>-81.697513999999998</v>
      </c>
      <c r="J4" s="34">
        <v>28.39695</v>
      </c>
      <c r="K4" s="39">
        <v>431978.69851772144</v>
      </c>
      <c r="L4" s="39">
        <v>1477775.0609735914</v>
      </c>
    </row>
    <row r="5" spans="1:12" s="44" customFormat="1" x14ac:dyDescent="0.25">
      <c r="A5" s="37" t="s">
        <v>206</v>
      </c>
      <c r="B5" s="35" t="s">
        <v>46</v>
      </c>
      <c r="C5" s="37" t="s">
        <v>269</v>
      </c>
      <c r="D5" s="35" t="s">
        <v>41</v>
      </c>
      <c r="E5" s="35" t="s">
        <v>4</v>
      </c>
      <c r="F5" s="25">
        <v>92.04</v>
      </c>
      <c r="G5" s="27">
        <v>-1.1499999999999999</v>
      </c>
      <c r="H5" s="25">
        <f>F5+G5</f>
        <v>90.89</v>
      </c>
      <c r="I5" s="34">
        <v>-81.658534000000003</v>
      </c>
      <c r="J5" s="34">
        <v>28.142372000000002</v>
      </c>
      <c r="K5" s="33">
        <v>444007.2342207937</v>
      </c>
      <c r="L5" s="33">
        <v>1385146.9951919687</v>
      </c>
    </row>
    <row r="6" spans="1:12" s="44" customFormat="1" x14ac:dyDescent="0.25">
      <c r="A6" s="37" t="s">
        <v>274</v>
      </c>
      <c r="B6" s="35" t="s">
        <v>259</v>
      </c>
      <c r="C6" s="37" t="s">
        <v>269</v>
      </c>
      <c r="D6" s="35" t="s">
        <v>41</v>
      </c>
      <c r="E6" s="35" t="s">
        <v>4</v>
      </c>
      <c r="F6" s="25">
        <v>95.05</v>
      </c>
      <c r="G6" s="27">
        <v>-1.42</v>
      </c>
      <c r="H6" s="25">
        <f>F6+G6</f>
        <v>93.63</v>
      </c>
      <c r="I6" s="34">
        <v>-81.332671000000005</v>
      </c>
      <c r="J6" s="34">
        <v>27.234784999999999</v>
      </c>
      <c r="K6" s="33">
        <v>548135.21319192275</v>
      </c>
      <c r="L6" s="33">
        <v>1054780.1186312167</v>
      </c>
    </row>
    <row r="7" spans="1:12" s="50" customFormat="1" x14ac:dyDescent="0.2">
      <c r="A7" s="53" t="s">
        <v>121</v>
      </c>
      <c r="B7" s="46" t="s">
        <v>256</v>
      </c>
      <c r="C7" s="49" t="s">
        <v>177</v>
      </c>
      <c r="D7" s="52" t="s">
        <v>3</v>
      </c>
      <c r="E7" s="42" t="s">
        <v>248</v>
      </c>
      <c r="F7" s="42" t="s">
        <v>248</v>
      </c>
      <c r="G7" s="64" t="s">
        <v>248</v>
      </c>
      <c r="H7" s="41" t="s">
        <v>248</v>
      </c>
      <c r="I7" s="48" t="s">
        <v>248</v>
      </c>
      <c r="J7" s="48" t="s">
        <v>248</v>
      </c>
      <c r="K7" s="33"/>
      <c r="L7" s="33"/>
    </row>
    <row r="8" spans="1:12" s="44" customFormat="1" x14ac:dyDescent="0.25">
      <c r="A8" s="37" t="s">
        <v>201</v>
      </c>
      <c r="B8" s="35" t="s">
        <v>66</v>
      </c>
      <c r="C8" s="37" t="s">
        <v>177</v>
      </c>
      <c r="D8" s="35" t="s">
        <v>41</v>
      </c>
      <c r="E8" s="35" t="s">
        <v>25</v>
      </c>
      <c r="F8" s="25">
        <v>90.37</v>
      </c>
      <c r="G8" s="2">
        <v>-0.87926335523525867</v>
      </c>
      <c r="H8" s="25">
        <f>F8+G8</f>
        <v>89.490736644764752</v>
      </c>
      <c r="I8" s="34">
        <v>-81.841699000000006</v>
      </c>
      <c r="J8" s="34">
        <v>28.644936999999999</v>
      </c>
      <c r="K8" s="39">
        <v>386252.55542692018</v>
      </c>
      <c r="L8" s="39">
        <v>1568237.2887682372</v>
      </c>
    </row>
    <row r="9" spans="1:12" s="44" customFormat="1" x14ac:dyDescent="0.25">
      <c r="A9" s="37" t="s">
        <v>10</v>
      </c>
      <c r="B9" s="35" t="s">
        <v>9</v>
      </c>
      <c r="C9" s="37" t="s">
        <v>269</v>
      </c>
      <c r="D9" s="35" t="s">
        <v>3</v>
      </c>
      <c r="E9" s="35" t="s">
        <v>4</v>
      </c>
      <c r="F9" s="25">
        <v>74.14</v>
      </c>
      <c r="G9" s="2">
        <v>-1.1384491760532061</v>
      </c>
      <c r="H9" s="25">
        <f>F9+G9</f>
        <v>73.001550823946801</v>
      </c>
      <c r="I9" s="34">
        <v>-81.053314</v>
      </c>
      <c r="J9" s="34">
        <v>28.394303000000001</v>
      </c>
      <c r="K9" s="39">
        <v>639095.01088531746</v>
      </c>
      <c r="L9" s="39">
        <v>1476167.3659884119</v>
      </c>
    </row>
    <row r="10" spans="1:12" s="44" customFormat="1" x14ac:dyDescent="0.25">
      <c r="A10" s="37" t="s">
        <v>63</v>
      </c>
      <c r="B10" s="35" t="s">
        <v>62</v>
      </c>
      <c r="C10" s="47" t="s">
        <v>269</v>
      </c>
      <c r="D10" s="35" t="s">
        <v>41</v>
      </c>
      <c r="E10" s="35" t="s">
        <v>25</v>
      </c>
      <c r="F10" s="25">
        <v>121.29</v>
      </c>
      <c r="G10" s="27">
        <v>-1.03</v>
      </c>
      <c r="H10" s="25">
        <f>F10+G10</f>
        <v>120.26</v>
      </c>
      <c r="I10" s="34">
        <v>-81.553030000000007</v>
      </c>
      <c r="J10" s="34">
        <v>27.827970000000001</v>
      </c>
      <c r="K10" s="33">
        <v>477490.98054796545</v>
      </c>
      <c r="L10" s="33">
        <v>1270674.8209364591</v>
      </c>
    </row>
    <row r="11" spans="1:12" s="44" customFormat="1" x14ac:dyDescent="0.25">
      <c r="A11" s="37" t="s">
        <v>37</v>
      </c>
      <c r="B11" s="35" t="s">
        <v>36</v>
      </c>
      <c r="C11" s="47" t="s">
        <v>269</v>
      </c>
      <c r="D11" s="35" t="s">
        <v>3</v>
      </c>
      <c r="E11" s="35" t="s">
        <v>4</v>
      </c>
      <c r="F11" s="25">
        <v>72.03</v>
      </c>
      <c r="G11" s="27">
        <v>-0.8</v>
      </c>
      <c r="H11" s="25">
        <f>F11+G11</f>
        <v>71.23</v>
      </c>
      <c r="I11" s="34">
        <v>-82.378218000000004</v>
      </c>
      <c r="J11" s="34">
        <v>28.304856000000001</v>
      </c>
      <c r="K11" s="33">
        <v>212725.24311298612</v>
      </c>
      <c r="L11" s="33">
        <v>1446171.3458880363</v>
      </c>
    </row>
    <row r="12" spans="1:12" s="44" customFormat="1" x14ac:dyDescent="0.25">
      <c r="A12" s="37" t="s">
        <v>24</v>
      </c>
      <c r="B12" s="35" t="s">
        <v>23</v>
      </c>
      <c r="C12" s="37" t="s">
        <v>177</v>
      </c>
      <c r="D12" s="35" t="s">
        <v>3</v>
      </c>
      <c r="E12" s="35" t="s">
        <v>4</v>
      </c>
      <c r="F12" s="25">
        <v>64.95</v>
      </c>
      <c r="G12" s="27">
        <v>-0.88</v>
      </c>
      <c r="H12" s="25">
        <f>F12+G12</f>
        <v>64.070000000000007</v>
      </c>
      <c r="I12" s="34">
        <v>-82.394478000000007</v>
      </c>
      <c r="J12" s="34">
        <v>28.286128000000001</v>
      </c>
      <c r="K12" s="33">
        <v>207413.56769942617</v>
      </c>
      <c r="L12" s="33">
        <v>1439421.6289428649</v>
      </c>
    </row>
    <row r="13" spans="1:12" s="44" customFormat="1" x14ac:dyDescent="0.25">
      <c r="A13" s="37" t="s">
        <v>31</v>
      </c>
      <c r="B13" s="35" t="s">
        <v>30</v>
      </c>
      <c r="C13" s="47" t="s">
        <v>269</v>
      </c>
      <c r="D13" s="35" t="s">
        <v>3</v>
      </c>
      <c r="E13" s="35" t="s">
        <v>4</v>
      </c>
      <c r="F13" s="25">
        <v>70.790000000000006</v>
      </c>
      <c r="G13" s="25">
        <v>-0.82</v>
      </c>
      <c r="H13" s="25">
        <f>F13+G13</f>
        <v>69.970000000000013</v>
      </c>
      <c r="I13" s="34">
        <v>-82.393055559999993</v>
      </c>
      <c r="J13" s="34">
        <v>28.27631667</v>
      </c>
      <c r="K13" s="33">
        <v>201732.49773974286</v>
      </c>
      <c r="L13" s="33">
        <v>1429730.1016533375</v>
      </c>
    </row>
    <row r="14" spans="1:12" s="44" customFormat="1" x14ac:dyDescent="0.25">
      <c r="A14" s="37" t="s">
        <v>39</v>
      </c>
      <c r="B14" s="35" t="s">
        <v>38</v>
      </c>
      <c r="C14" s="37" t="s">
        <v>177</v>
      </c>
      <c r="D14" s="35" t="s">
        <v>3</v>
      </c>
      <c r="E14" s="35" t="s">
        <v>4</v>
      </c>
      <c r="F14" s="25">
        <v>68.930000000000007</v>
      </c>
      <c r="G14" s="25">
        <v>-0.82</v>
      </c>
      <c r="H14" s="25">
        <f>F14+G14</f>
        <v>68.110000000000014</v>
      </c>
      <c r="I14" s="65">
        <v>-82.391208000000006</v>
      </c>
      <c r="J14" s="65">
        <v>28.290438999999999</v>
      </c>
      <c r="K14" s="33">
        <v>208484.20602769949</v>
      </c>
      <c r="L14" s="33">
        <v>1440977.0397141047</v>
      </c>
    </row>
    <row r="15" spans="1:12" s="44" customFormat="1" x14ac:dyDescent="0.25">
      <c r="A15" s="37" t="s">
        <v>207</v>
      </c>
      <c r="B15" s="35" t="s">
        <v>43</v>
      </c>
      <c r="C15" s="38" t="s">
        <v>177</v>
      </c>
      <c r="D15" s="35" t="s">
        <v>41</v>
      </c>
      <c r="E15" s="35" t="s">
        <v>4</v>
      </c>
      <c r="F15" s="25">
        <v>131.80000000000001</v>
      </c>
      <c r="G15" s="25">
        <v>-0.57999999999999996</v>
      </c>
      <c r="H15" s="25">
        <f>F15+G15</f>
        <v>131.22</v>
      </c>
      <c r="I15" s="34">
        <v>-81.686616000000001</v>
      </c>
      <c r="J15" s="34">
        <v>27.841225000000001</v>
      </c>
      <c r="K15" s="33">
        <v>434340.44702277984</v>
      </c>
      <c r="L15" s="33">
        <v>1275712.0237435778</v>
      </c>
    </row>
    <row r="16" spans="1:12" s="44" customFormat="1" x14ac:dyDescent="0.25">
      <c r="A16" s="37" t="s">
        <v>8</v>
      </c>
      <c r="B16" s="35" t="s">
        <v>7</v>
      </c>
      <c r="C16" s="37" t="s">
        <v>269</v>
      </c>
      <c r="D16" s="35" t="s">
        <v>3</v>
      </c>
      <c r="E16" s="35" t="s">
        <v>4</v>
      </c>
      <c r="F16" s="25">
        <v>100.6</v>
      </c>
      <c r="G16" s="25">
        <v>-0.79</v>
      </c>
      <c r="H16" s="25">
        <f>F16+G16</f>
        <v>99.809999999999988</v>
      </c>
      <c r="I16" s="34">
        <v>-81.946754999999996</v>
      </c>
      <c r="J16" s="34">
        <v>28.361409999999999</v>
      </c>
      <c r="K16" s="33">
        <v>351740.73211522296</v>
      </c>
      <c r="L16" s="33">
        <v>1465399.0876344587</v>
      </c>
    </row>
    <row r="17" spans="1:12" s="44" customFormat="1" x14ac:dyDescent="0.25">
      <c r="A17" s="37" t="s">
        <v>121</v>
      </c>
      <c r="B17" s="35" t="s">
        <v>250</v>
      </c>
      <c r="C17" s="37" t="s">
        <v>269</v>
      </c>
      <c r="D17" s="35" t="s">
        <v>3</v>
      </c>
      <c r="E17" s="35" t="s">
        <v>4</v>
      </c>
      <c r="F17" s="25" t="s">
        <v>121</v>
      </c>
      <c r="G17" s="60">
        <v>-0.85957831534246598</v>
      </c>
      <c r="H17" s="25">
        <v>102.01</v>
      </c>
      <c r="I17" s="34">
        <v>-81.931099999829641</v>
      </c>
      <c r="J17" s="34">
        <v>28.391899999629889</v>
      </c>
      <c r="K17" s="33">
        <v>356861.57593727793</v>
      </c>
      <c r="L17" s="33">
        <v>1476445.781313075</v>
      </c>
    </row>
    <row r="18" spans="1:12" s="44" customFormat="1" x14ac:dyDescent="0.25">
      <c r="A18" s="37" t="s">
        <v>18</v>
      </c>
      <c r="B18" s="35" t="s">
        <v>17</v>
      </c>
      <c r="C18" s="37" t="s">
        <v>269</v>
      </c>
      <c r="D18" s="35" t="s">
        <v>3</v>
      </c>
      <c r="E18" s="35" t="s">
        <v>4</v>
      </c>
      <c r="F18" s="25">
        <v>98.8</v>
      </c>
      <c r="G18" s="25">
        <v>-1</v>
      </c>
      <c r="H18" s="25">
        <f>F18+G18</f>
        <v>97.8</v>
      </c>
      <c r="I18" s="34">
        <v>-82.018658000000002</v>
      </c>
      <c r="J18" s="34">
        <v>28.368859</v>
      </c>
      <c r="K18" s="33">
        <v>328636.91383679665</v>
      </c>
      <c r="L18" s="33">
        <v>1468295.6351265851</v>
      </c>
    </row>
    <row r="19" spans="1:12" s="44" customFormat="1" x14ac:dyDescent="0.25">
      <c r="A19" s="37" t="s">
        <v>22</v>
      </c>
      <c r="B19" s="35" t="s">
        <v>21</v>
      </c>
      <c r="C19" s="37" t="s">
        <v>269</v>
      </c>
      <c r="D19" s="35" t="s">
        <v>3</v>
      </c>
      <c r="E19" s="35" t="s">
        <v>4</v>
      </c>
      <c r="F19" s="25">
        <v>98.1</v>
      </c>
      <c r="G19" s="27">
        <v>-0.85</v>
      </c>
      <c r="H19" s="25">
        <f>F19+G19</f>
        <v>97.25</v>
      </c>
      <c r="I19" s="34">
        <v>-81.971260000000001</v>
      </c>
      <c r="J19" s="34">
        <v>28.394559999999998</v>
      </c>
      <c r="K19" s="33">
        <v>343956.20352172822</v>
      </c>
      <c r="L19" s="33">
        <v>1477514.727205907</v>
      </c>
    </row>
    <row r="20" spans="1:12" s="44" customFormat="1" x14ac:dyDescent="0.25">
      <c r="A20" s="37" t="s">
        <v>16</v>
      </c>
      <c r="B20" s="35" t="s">
        <v>15</v>
      </c>
      <c r="C20" s="37" t="s">
        <v>269</v>
      </c>
      <c r="D20" s="35" t="s">
        <v>3</v>
      </c>
      <c r="E20" s="35" t="s">
        <v>4</v>
      </c>
      <c r="F20" s="25" t="s">
        <v>121</v>
      </c>
      <c r="G20" s="2">
        <v>-0.85301663537820183</v>
      </c>
      <c r="H20" s="41" t="s">
        <v>248</v>
      </c>
      <c r="I20" s="34">
        <v>-81.911111000000005</v>
      </c>
      <c r="J20" s="34">
        <v>28.312611</v>
      </c>
      <c r="K20" s="33">
        <v>363071.08099805552</v>
      </c>
      <c r="L20" s="33">
        <v>1447568.265165573</v>
      </c>
    </row>
    <row r="21" spans="1:12" s="44" customFormat="1" x14ac:dyDescent="0.25">
      <c r="A21" s="37" t="s">
        <v>121</v>
      </c>
      <c r="B21" s="35" t="s">
        <v>249</v>
      </c>
      <c r="C21" s="37" t="s">
        <v>269</v>
      </c>
      <c r="D21" s="35" t="s">
        <v>3</v>
      </c>
      <c r="E21" s="35" t="s">
        <v>4</v>
      </c>
      <c r="F21" s="25" t="s">
        <v>121</v>
      </c>
      <c r="G21" s="32">
        <v>-0.85957831534246598</v>
      </c>
      <c r="H21" s="25">
        <v>100.83</v>
      </c>
      <c r="I21" s="34">
        <v>-81.953699999999984</v>
      </c>
      <c r="J21" s="34">
        <v>28.421799999999998</v>
      </c>
      <c r="K21" s="33">
        <v>349680.83330619294</v>
      </c>
      <c r="L21" s="33">
        <v>1487373.9345846672</v>
      </c>
    </row>
    <row r="22" spans="1:12" s="44" customFormat="1" x14ac:dyDescent="0.25">
      <c r="A22" s="37" t="s">
        <v>6</v>
      </c>
      <c r="B22" s="35" t="s">
        <v>5</v>
      </c>
      <c r="C22" s="37" t="s">
        <v>269</v>
      </c>
      <c r="D22" s="35" t="s">
        <v>3</v>
      </c>
      <c r="E22" s="35" t="s">
        <v>4</v>
      </c>
      <c r="F22" s="25">
        <v>93.9</v>
      </c>
      <c r="G22" s="27">
        <v>-1.02</v>
      </c>
      <c r="H22" s="25">
        <f>F22+G22</f>
        <v>92.88000000000001</v>
      </c>
      <c r="I22" s="34">
        <v>-82.017889999999994</v>
      </c>
      <c r="J22" s="34">
        <v>28.354863000000002</v>
      </c>
      <c r="K22" s="33">
        <v>328840.95847909607</v>
      </c>
      <c r="L22" s="33">
        <v>1463204.7023235578</v>
      </c>
    </row>
    <row r="23" spans="1:12" s="44" customFormat="1" x14ac:dyDescent="0.25">
      <c r="A23" s="37" t="s">
        <v>51</v>
      </c>
      <c r="B23" s="35" t="s">
        <v>50</v>
      </c>
      <c r="C23" s="37" t="s">
        <v>269</v>
      </c>
      <c r="D23" s="35" t="s">
        <v>41</v>
      </c>
      <c r="E23" s="35" t="s">
        <v>4</v>
      </c>
      <c r="F23" s="25">
        <v>27.5</v>
      </c>
      <c r="G23" s="32">
        <v>-1.0072158700972795</v>
      </c>
      <c r="H23" s="25">
        <f>F23+G23</f>
        <v>26.49278412990272</v>
      </c>
      <c r="I23" s="34">
        <v>-81.693251000000004</v>
      </c>
      <c r="J23" s="34">
        <v>29.274909999999998</v>
      </c>
      <c r="K23" s="39">
        <v>435210.67272558453</v>
      </c>
      <c r="L23" s="39">
        <v>1796997.5748794344</v>
      </c>
    </row>
    <row r="24" spans="1:12" s="44" customFormat="1" x14ac:dyDescent="0.25">
      <c r="A24" s="37" t="s">
        <v>35</v>
      </c>
      <c r="B24" s="35" t="s">
        <v>200</v>
      </c>
      <c r="C24" s="37" t="s">
        <v>269</v>
      </c>
      <c r="D24" s="35" t="s">
        <v>3</v>
      </c>
      <c r="E24" s="35" t="s">
        <v>4</v>
      </c>
      <c r="F24" s="25">
        <v>87.49</v>
      </c>
      <c r="G24" s="2">
        <v>-1.0367433810482423</v>
      </c>
      <c r="H24" s="25">
        <f>F24+G24</f>
        <v>86.453256618951755</v>
      </c>
      <c r="I24" s="34">
        <v>-81.363090999999997</v>
      </c>
      <c r="J24" s="34">
        <v>28.696596</v>
      </c>
      <c r="K24" s="39">
        <v>539829.95369646396</v>
      </c>
      <c r="L24" s="39">
        <v>1586247.130073512</v>
      </c>
    </row>
    <row r="25" spans="1:12" s="44" customFormat="1" x14ac:dyDescent="0.25">
      <c r="A25" s="37" t="s">
        <v>203</v>
      </c>
      <c r="B25" s="35" t="s">
        <v>52</v>
      </c>
      <c r="C25" s="37" t="s">
        <v>269</v>
      </c>
      <c r="D25" s="35" t="s">
        <v>41</v>
      </c>
      <c r="E25" s="35" t="s">
        <v>4</v>
      </c>
      <c r="F25" s="25">
        <v>97.42</v>
      </c>
      <c r="G25" s="2">
        <v>-0.87926335523525867</v>
      </c>
      <c r="H25" s="25">
        <f>F25+G25</f>
        <v>96.540736644764749</v>
      </c>
      <c r="I25" s="34">
        <v>-81.657584999999997</v>
      </c>
      <c r="J25" s="34">
        <v>28.531825000000001</v>
      </c>
      <c r="K25" s="39">
        <v>445084.76510386838</v>
      </c>
      <c r="L25" s="39">
        <v>1526741.1647798819</v>
      </c>
    </row>
    <row r="26" spans="1:12" s="44" customFormat="1" x14ac:dyDescent="0.25">
      <c r="A26" s="37" t="s">
        <v>273</v>
      </c>
      <c r="B26" s="35" t="s">
        <v>260</v>
      </c>
      <c r="C26" s="37" t="s">
        <v>269</v>
      </c>
      <c r="D26" s="35" t="s">
        <v>41</v>
      </c>
      <c r="E26" s="35" t="s">
        <v>4</v>
      </c>
      <c r="F26" s="25">
        <v>111.49</v>
      </c>
      <c r="G26" s="27">
        <v>-1.2</v>
      </c>
      <c r="H26" s="25">
        <f>F26+G26</f>
        <v>110.28999999999999</v>
      </c>
      <c r="I26" s="34">
        <v>-81.351758000000004</v>
      </c>
      <c r="J26" s="34">
        <v>27.205946999999998</v>
      </c>
      <c r="K26" s="33">
        <v>541903.42579056439</v>
      </c>
      <c r="L26" s="33">
        <v>1044314.268866105</v>
      </c>
    </row>
    <row r="27" spans="1:12" s="44" customFormat="1" x14ac:dyDescent="0.25">
      <c r="A27" s="37" t="s">
        <v>65</v>
      </c>
      <c r="B27" s="35" t="s">
        <v>64</v>
      </c>
      <c r="C27" s="37" t="s">
        <v>177</v>
      </c>
      <c r="D27" s="35" t="s">
        <v>41</v>
      </c>
      <c r="E27" s="35" t="s">
        <v>4</v>
      </c>
      <c r="F27" s="25">
        <v>87.65</v>
      </c>
      <c r="G27" s="2">
        <v>-0.88582503519952294</v>
      </c>
      <c r="H27" s="25">
        <f>F27+G27</f>
        <v>86.764174964800489</v>
      </c>
      <c r="I27" s="34">
        <v>-81.773330000000001</v>
      </c>
      <c r="J27" s="34">
        <v>28.599640000000001</v>
      </c>
      <c r="K27" s="39">
        <v>408076.96243925934</v>
      </c>
      <c r="L27" s="39">
        <v>1551619.5780247992</v>
      </c>
    </row>
    <row r="28" spans="1:12" s="44" customFormat="1" ht="22.5" customHeight="1" x14ac:dyDescent="0.25">
      <c r="A28" s="37" t="s">
        <v>272</v>
      </c>
      <c r="B28" s="35" t="s">
        <v>44</v>
      </c>
      <c r="C28" s="37" t="s">
        <v>269</v>
      </c>
      <c r="D28" s="35" t="s">
        <v>41</v>
      </c>
      <c r="E28" s="35" t="s">
        <v>25</v>
      </c>
      <c r="F28" s="25">
        <v>71.28</v>
      </c>
      <c r="G28" s="25">
        <v>-1.18</v>
      </c>
      <c r="H28" s="25">
        <f>F28+G28</f>
        <v>70.099999999999994</v>
      </c>
      <c r="I28" s="34">
        <v>-81.362716000000006</v>
      </c>
      <c r="J28" s="34">
        <v>27.344290000000001</v>
      </c>
      <c r="K28" s="33">
        <v>538487.64322528616</v>
      </c>
      <c r="L28" s="33">
        <v>1094613.4961231356</v>
      </c>
    </row>
    <row r="29" spans="1:12" s="44" customFormat="1" x14ac:dyDescent="0.25">
      <c r="A29" s="37" t="s">
        <v>73</v>
      </c>
      <c r="B29" s="35" t="s">
        <v>72</v>
      </c>
      <c r="C29" s="37" t="s">
        <v>177</v>
      </c>
      <c r="D29" s="35" t="s">
        <v>41</v>
      </c>
      <c r="E29" s="35" t="s">
        <v>4</v>
      </c>
      <c r="F29" s="25">
        <v>96.68</v>
      </c>
      <c r="G29" s="62">
        <v>-0.87598246636490029</v>
      </c>
      <c r="H29" s="25">
        <f>F29+G29</f>
        <v>95.804017533635104</v>
      </c>
      <c r="I29" s="34">
        <v>-81.642740000000003</v>
      </c>
      <c r="J29" s="34">
        <v>28.510179999999998</v>
      </c>
      <c r="K29" s="39">
        <v>449809.45945144573</v>
      </c>
      <c r="L29" s="39">
        <v>1518845.5554600256</v>
      </c>
    </row>
    <row r="30" spans="1:12" s="44" customFormat="1" x14ac:dyDescent="0.25">
      <c r="A30" s="37" t="s">
        <v>54</v>
      </c>
      <c r="B30" s="35" t="s">
        <v>53</v>
      </c>
      <c r="C30" s="37" t="s">
        <v>269</v>
      </c>
      <c r="D30" s="35" t="s">
        <v>41</v>
      </c>
      <c r="E30" s="35" t="s">
        <v>25</v>
      </c>
      <c r="F30" s="25">
        <v>105.53</v>
      </c>
      <c r="G30" s="25">
        <v>-0.9</v>
      </c>
      <c r="H30" s="25">
        <f>F30+G30</f>
        <v>104.63</v>
      </c>
      <c r="I30" s="34">
        <v>-81.723410000000001</v>
      </c>
      <c r="J30" s="34">
        <v>27.900860000000002</v>
      </c>
      <c r="K30" s="33">
        <v>422577.35174413276</v>
      </c>
      <c r="L30" s="33">
        <v>1297461.1272069959</v>
      </c>
    </row>
    <row r="31" spans="1:12" s="44" customFormat="1" x14ac:dyDescent="0.25">
      <c r="A31" s="37" t="s">
        <v>29</v>
      </c>
      <c r="B31" s="35" t="s">
        <v>28</v>
      </c>
      <c r="C31" s="37" t="s">
        <v>269</v>
      </c>
      <c r="D31" s="35" t="s">
        <v>3</v>
      </c>
      <c r="E31" s="35" t="s">
        <v>25</v>
      </c>
      <c r="F31" s="25">
        <v>53.39</v>
      </c>
      <c r="G31" s="62">
        <v>-1.0662707942227523</v>
      </c>
      <c r="H31" s="25">
        <f>F31+G31</f>
        <v>52.323729205777248</v>
      </c>
      <c r="I31" s="34">
        <v>-81.207312999999999</v>
      </c>
      <c r="J31" s="34">
        <v>28.645854</v>
      </c>
      <c r="K31" s="39">
        <v>589740.31415082305</v>
      </c>
      <c r="L31" s="39">
        <v>1567678.7181054309</v>
      </c>
    </row>
    <row r="32" spans="1:12" s="44" customFormat="1" x14ac:dyDescent="0.25">
      <c r="A32" s="37" t="s">
        <v>271</v>
      </c>
      <c r="B32" s="35" t="s">
        <v>261</v>
      </c>
      <c r="C32" s="37" t="s">
        <v>269</v>
      </c>
      <c r="D32" s="35" t="s">
        <v>41</v>
      </c>
      <c r="E32" s="35" t="s">
        <v>4</v>
      </c>
      <c r="F32" s="25">
        <v>86.23</v>
      </c>
      <c r="G32" s="25">
        <v>-1.06</v>
      </c>
      <c r="H32" s="25">
        <f>F32+G32</f>
        <v>85.17</v>
      </c>
      <c r="I32" s="34">
        <v>-81.512254999999996</v>
      </c>
      <c r="J32" s="34">
        <v>27.793752999999999</v>
      </c>
      <c r="K32" s="33">
        <v>490618.21386314661</v>
      </c>
      <c r="L32" s="33">
        <v>1258178.135085175</v>
      </c>
    </row>
    <row r="33" spans="1:12" s="44" customFormat="1" x14ac:dyDescent="0.25">
      <c r="A33" s="43" t="s">
        <v>60</v>
      </c>
      <c r="B33" s="36" t="s">
        <v>59</v>
      </c>
      <c r="C33" s="43" t="s">
        <v>177</v>
      </c>
      <c r="D33" s="35" t="s">
        <v>41</v>
      </c>
      <c r="E33" s="35" t="s">
        <v>4</v>
      </c>
      <c r="F33" s="25">
        <v>97.29</v>
      </c>
      <c r="G33" s="2">
        <v>-0.87598246636490029</v>
      </c>
      <c r="H33" s="25">
        <f>F33+G33</f>
        <v>96.414017533635104</v>
      </c>
      <c r="I33" s="40">
        <v>-81.746949999999998</v>
      </c>
      <c r="J33" s="40">
        <v>28.463460000000001</v>
      </c>
      <c r="K33" s="39">
        <v>416234.283226325</v>
      </c>
      <c r="L33" s="39">
        <v>1502052.2382872482</v>
      </c>
    </row>
    <row r="34" spans="1:12" s="44" customFormat="1" x14ac:dyDescent="0.25">
      <c r="A34" s="37" t="s">
        <v>270</v>
      </c>
      <c r="B34" s="35" t="s">
        <v>56</v>
      </c>
      <c r="C34" s="37" t="s">
        <v>269</v>
      </c>
      <c r="D34" s="35" t="s">
        <v>41</v>
      </c>
      <c r="E34" s="35" t="s">
        <v>4</v>
      </c>
      <c r="F34" s="25">
        <v>94.91</v>
      </c>
      <c r="G34" s="27">
        <v>-1.1200000000000001</v>
      </c>
      <c r="H34" s="25">
        <f>F34+G34</f>
        <v>93.789999999999992</v>
      </c>
      <c r="I34" s="34">
        <v>-81.364219000000006</v>
      </c>
      <c r="J34" s="34">
        <v>27.244505</v>
      </c>
      <c r="K34" s="33">
        <v>537893.96379103116</v>
      </c>
      <c r="L34" s="33">
        <v>1058342.0053737711</v>
      </c>
    </row>
    <row r="35" spans="1:12" s="44" customFormat="1" x14ac:dyDescent="0.25">
      <c r="A35" s="37" t="s">
        <v>208</v>
      </c>
      <c r="B35" s="35" t="s">
        <v>45</v>
      </c>
      <c r="C35" s="37" t="s">
        <v>269</v>
      </c>
      <c r="D35" s="35" t="s">
        <v>41</v>
      </c>
      <c r="E35" s="35" t="s">
        <v>4</v>
      </c>
      <c r="F35" s="25">
        <v>105.95</v>
      </c>
      <c r="G35" s="27">
        <v>-0.89</v>
      </c>
      <c r="H35" s="25">
        <f>F35+G35</f>
        <v>105.06</v>
      </c>
      <c r="I35" s="34">
        <v>-81.569989000000007</v>
      </c>
      <c r="J35" s="34">
        <v>27.678405999999999</v>
      </c>
      <c r="K35" s="33">
        <v>471757.63732609566</v>
      </c>
      <c r="L35" s="33">
        <v>1216326.7955978063</v>
      </c>
    </row>
    <row r="36" spans="1:12" s="44" customFormat="1" x14ac:dyDescent="0.25">
      <c r="A36" s="37" t="s">
        <v>275</v>
      </c>
      <c r="B36" s="35" t="s">
        <v>134</v>
      </c>
      <c r="C36" s="46" t="s">
        <v>177</v>
      </c>
      <c r="D36" s="35" t="s">
        <v>3</v>
      </c>
      <c r="E36" s="42" t="s">
        <v>248</v>
      </c>
      <c r="F36" s="42" t="s">
        <v>248</v>
      </c>
      <c r="G36" s="32">
        <v>-1.0236200211197137</v>
      </c>
      <c r="H36" s="41" t="s">
        <v>248</v>
      </c>
      <c r="I36" s="34">
        <v>-81.379811000000004</v>
      </c>
      <c r="J36" s="34">
        <v>28.803796999999999</v>
      </c>
      <c r="K36" s="39">
        <v>534594.05579799425</v>
      </c>
      <c r="L36" s="39">
        <v>1625241.0139805123</v>
      </c>
    </row>
    <row r="37" spans="1:12" s="44" customFormat="1" x14ac:dyDescent="0.25">
      <c r="A37" s="37" t="s">
        <v>209</v>
      </c>
      <c r="B37" s="35" t="s">
        <v>49</v>
      </c>
      <c r="C37" s="37" t="s">
        <v>269</v>
      </c>
      <c r="D37" s="35" t="s">
        <v>41</v>
      </c>
      <c r="E37" s="35" t="s">
        <v>4</v>
      </c>
      <c r="F37" s="25">
        <v>134.32</v>
      </c>
      <c r="G37" s="25">
        <v>-1.01</v>
      </c>
      <c r="H37" s="25">
        <f>F37+G37</f>
        <v>133.31</v>
      </c>
      <c r="I37" s="34">
        <v>-81.768938000000006</v>
      </c>
      <c r="J37" s="34">
        <v>28.107150000000001</v>
      </c>
      <c r="K37" s="33">
        <v>408344.69251458853</v>
      </c>
      <c r="L37" s="33">
        <v>1372550.4335921232</v>
      </c>
    </row>
    <row r="38" spans="1:12" s="44" customFormat="1" x14ac:dyDescent="0.25">
      <c r="A38" s="37" t="s">
        <v>70</v>
      </c>
      <c r="B38" s="35" t="s">
        <v>69</v>
      </c>
      <c r="C38" s="47" t="s">
        <v>269</v>
      </c>
      <c r="D38" s="35" t="s">
        <v>41</v>
      </c>
      <c r="E38" s="35" t="s">
        <v>4</v>
      </c>
      <c r="F38" s="25">
        <v>111.35</v>
      </c>
      <c r="G38" s="25">
        <v>-0.97</v>
      </c>
      <c r="H38" s="25">
        <f>F38+G38</f>
        <v>110.38</v>
      </c>
      <c r="I38" s="34">
        <v>-81.578689999999995</v>
      </c>
      <c r="J38" s="34">
        <v>27.90391</v>
      </c>
      <c r="K38" s="33">
        <v>469327.63013391983</v>
      </c>
      <c r="L38" s="33">
        <v>1298321.1034705148</v>
      </c>
    </row>
    <row r="39" spans="1:12" s="44" customFormat="1" x14ac:dyDescent="0.25">
      <c r="A39" s="37" t="s">
        <v>121</v>
      </c>
      <c r="B39" s="35" t="s">
        <v>263</v>
      </c>
      <c r="C39" s="36" t="s">
        <v>177</v>
      </c>
      <c r="D39" s="35" t="s">
        <v>41</v>
      </c>
      <c r="E39" s="35" t="s">
        <v>4</v>
      </c>
      <c r="F39" s="25" t="s">
        <v>121</v>
      </c>
      <c r="G39" s="60">
        <v>-0.94159916823108991</v>
      </c>
      <c r="H39" s="25">
        <v>129.33000000000001</v>
      </c>
      <c r="I39" s="34">
        <v>-81.595411999999996</v>
      </c>
      <c r="J39" s="34">
        <v>27.923136</v>
      </c>
      <c r="K39" s="33">
        <v>463960.58198450704</v>
      </c>
      <c r="L39" s="33">
        <v>1305336.711121046</v>
      </c>
    </row>
    <row r="40" spans="1:12" s="44" customFormat="1" x14ac:dyDescent="0.25">
      <c r="A40" s="37" t="s">
        <v>210</v>
      </c>
      <c r="B40" s="35" t="s">
        <v>74</v>
      </c>
      <c r="C40" s="37" t="s">
        <v>177</v>
      </c>
      <c r="D40" s="35" t="s">
        <v>41</v>
      </c>
      <c r="E40" s="35" t="s">
        <v>4</v>
      </c>
      <c r="F40" s="25">
        <v>150.28</v>
      </c>
      <c r="G40" s="25">
        <v>-1.1100000000000001</v>
      </c>
      <c r="H40" s="25">
        <f>F40+G40</f>
        <v>149.16999999999999</v>
      </c>
      <c r="I40" s="34">
        <v>-81.717884999999995</v>
      </c>
      <c r="J40" s="34">
        <v>27.853656000000001</v>
      </c>
      <c r="K40" s="33">
        <v>424261.32739006885</v>
      </c>
      <c r="L40" s="33">
        <v>1280289.2852699852</v>
      </c>
    </row>
    <row r="41" spans="1:12" s="44" customFormat="1" x14ac:dyDescent="0.25">
      <c r="A41" s="37" t="s">
        <v>121</v>
      </c>
      <c r="B41" s="46" t="s">
        <v>257</v>
      </c>
      <c r="C41" s="42" t="s">
        <v>248</v>
      </c>
      <c r="D41" s="42" t="s">
        <v>248</v>
      </c>
      <c r="E41" s="42" t="s">
        <v>248</v>
      </c>
      <c r="F41" s="42" t="s">
        <v>248</v>
      </c>
      <c r="G41" s="42" t="s">
        <v>248</v>
      </c>
      <c r="H41" s="41" t="s">
        <v>248</v>
      </c>
      <c r="I41" s="48" t="s">
        <v>248</v>
      </c>
      <c r="J41" s="48" t="s">
        <v>248</v>
      </c>
      <c r="K41" s="33"/>
      <c r="L41" s="33"/>
    </row>
    <row r="42" spans="1:12" s="44" customFormat="1" x14ac:dyDescent="0.25">
      <c r="A42" s="37" t="s">
        <v>267</v>
      </c>
      <c r="B42" s="35" t="s">
        <v>71</v>
      </c>
      <c r="C42" s="37" t="s">
        <v>177</v>
      </c>
      <c r="D42" s="35" t="s">
        <v>41</v>
      </c>
      <c r="E42" s="35" t="s">
        <v>4</v>
      </c>
      <c r="F42" s="25">
        <v>68.81</v>
      </c>
      <c r="G42" s="62">
        <v>-0.92847580830256138</v>
      </c>
      <c r="H42" s="25">
        <f>F42+G42</f>
        <v>67.881524191697437</v>
      </c>
      <c r="I42" s="34">
        <v>-81.469958000000005</v>
      </c>
      <c r="J42" s="34">
        <v>28.617014000000001</v>
      </c>
      <c r="K42" s="39">
        <v>505454.22021388123</v>
      </c>
      <c r="L42" s="39">
        <v>1557431.6976925402</v>
      </c>
    </row>
    <row r="43" spans="1:12" s="44" customFormat="1" x14ac:dyDescent="0.25">
      <c r="A43" s="37" t="s">
        <v>121</v>
      </c>
      <c r="B43" s="35" t="s">
        <v>252</v>
      </c>
      <c r="C43" s="36" t="s">
        <v>269</v>
      </c>
      <c r="D43" s="35" t="s">
        <v>3</v>
      </c>
      <c r="E43" s="35" t="s">
        <v>277</v>
      </c>
      <c r="F43" s="25" t="s">
        <v>121</v>
      </c>
      <c r="G43" s="60">
        <v>-0.84645495541393756</v>
      </c>
      <c r="H43" s="25">
        <v>134.32</v>
      </c>
      <c r="I43" s="34">
        <v>-81.902779602842955</v>
      </c>
      <c r="J43" s="34">
        <v>28.170353959223743</v>
      </c>
      <c r="K43" s="33">
        <v>365366.02346032008</v>
      </c>
      <c r="L43" s="33">
        <v>1395826.2651062272</v>
      </c>
    </row>
    <row r="44" spans="1:12" s="44" customFormat="1" x14ac:dyDescent="0.25">
      <c r="A44" s="37" t="s">
        <v>121</v>
      </c>
      <c r="B44" s="35" t="s">
        <v>253</v>
      </c>
      <c r="C44" s="36" t="s">
        <v>269</v>
      </c>
      <c r="D44" s="35" t="s">
        <v>3</v>
      </c>
      <c r="E44" s="35" t="s">
        <v>277</v>
      </c>
      <c r="F44" s="25" t="s">
        <v>121</v>
      </c>
      <c r="G44" s="60">
        <v>-0.84317416432003178</v>
      </c>
      <c r="H44" s="25">
        <v>134.16</v>
      </c>
      <c r="I44" s="34">
        <v>-81.888300000000001</v>
      </c>
      <c r="J44" s="34">
        <v>28.165200000000034</v>
      </c>
      <c r="K44" s="33">
        <v>370017.72022750921</v>
      </c>
      <c r="L44" s="33">
        <v>1393918.0062509791</v>
      </c>
    </row>
    <row r="45" spans="1:12" s="44" customFormat="1" x14ac:dyDescent="0.25">
      <c r="A45" s="37" t="s">
        <v>121</v>
      </c>
      <c r="B45" s="35" t="s">
        <v>254</v>
      </c>
      <c r="C45" s="36" t="s">
        <v>269</v>
      </c>
      <c r="D45" s="35" t="s">
        <v>3</v>
      </c>
      <c r="E45" s="35" t="s">
        <v>277</v>
      </c>
      <c r="F45" s="25" t="s">
        <v>121</v>
      </c>
      <c r="G45" s="60">
        <v>-0.84317416432003178</v>
      </c>
      <c r="H45" s="25">
        <v>134.43</v>
      </c>
      <c r="I45" s="34">
        <v>-81.896199999999993</v>
      </c>
      <c r="J45" s="34">
        <v>28.161000000000012</v>
      </c>
      <c r="K45" s="33">
        <v>367460.87990300928</v>
      </c>
      <c r="L45" s="33">
        <v>1392409.6870020872</v>
      </c>
    </row>
    <row r="46" spans="1:12" s="44" customFormat="1" x14ac:dyDescent="0.25">
      <c r="A46" s="37" t="s">
        <v>213</v>
      </c>
      <c r="B46" s="35" t="s">
        <v>47</v>
      </c>
      <c r="C46" s="37" t="s">
        <v>269</v>
      </c>
      <c r="D46" s="35" t="s">
        <v>41</v>
      </c>
      <c r="E46" s="35" t="s">
        <v>4</v>
      </c>
      <c r="F46" s="25">
        <v>102.81</v>
      </c>
      <c r="G46" s="25">
        <v>-0.95</v>
      </c>
      <c r="H46" s="25">
        <f>F46+G46</f>
        <v>101.86</v>
      </c>
      <c r="I46" s="34">
        <v>-81.468410000000006</v>
      </c>
      <c r="J46" s="34">
        <v>27.915700000000001</v>
      </c>
      <c r="K46" s="33">
        <v>504963.36239809258</v>
      </c>
      <c r="L46" s="33">
        <v>1302454.8363108928</v>
      </c>
    </row>
    <row r="47" spans="1:12" s="44" customFormat="1" x14ac:dyDescent="0.25">
      <c r="A47" s="37" t="s">
        <v>211</v>
      </c>
      <c r="B47" s="35" t="s">
        <v>58</v>
      </c>
      <c r="C47" s="47" t="s">
        <v>269</v>
      </c>
      <c r="D47" s="35" t="s">
        <v>41</v>
      </c>
      <c r="E47" s="35" t="s">
        <v>4</v>
      </c>
      <c r="F47" s="25">
        <v>144.37</v>
      </c>
      <c r="G47" s="25">
        <v>-0.85</v>
      </c>
      <c r="H47" s="25">
        <f>F47+G47</f>
        <v>143.52000000000001</v>
      </c>
      <c r="I47" s="34">
        <v>-81.699882000000002</v>
      </c>
      <c r="J47" s="34">
        <v>27.843913000000001</v>
      </c>
      <c r="K47" s="33">
        <v>430058.69230159314</v>
      </c>
      <c r="L47" s="33">
        <v>1276713.5100861604</v>
      </c>
    </row>
    <row r="48" spans="1:12" s="44" customFormat="1" x14ac:dyDescent="0.25">
      <c r="A48" s="43" t="s">
        <v>266</v>
      </c>
      <c r="B48" s="36" t="s">
        <v>151</v>
      </c>
      <c r="C48" s="43" t="s">
        <v>177</v>
      </c>
      <c r="D48" s="35" t="s">
        <v>41</v>
      </c>
      <c r="E48" s="42" t="s">
        <v>248</v>
      </c>
      <c r="F48" s="42" t="s">
        <v>248</v>
      </c>
      <c r="G48" s="60">
        <v>-0.90550997731586291</v>
      </c>
      <c r="H48" s="41" t="s">
        <v>248</v>
      </c>
      <c r="I48" s="40">
        <v>-81.511300000000006</v>
      </c>
      <c r="J48" s="40">
        <v>28.597750000000001</v>
      </c>
      <c r="K48" s="39">
        <v>492159.88618118543</v>
      </c>
      <c r="L48" s="39">
        <v>1550481.9505546023</v>
      </c>
    </row>
    <row r="49" spans="1:12" s="44" customFormat="1" x14ac:dyDescent="0.25">
      <c r="A49" s="37" t="s">
        <v>121</v>
      </c>
      <c r="B49" s="46" t="s">
        <v>255</v>
      </c>
      <c r="C49" s="49" t="s">
        <v>177</v>
      </c>
      <c r="D49" s="35" t="s">
        <v>3</v>
      </c>
      <c r="E49" s="42" t="s">
        <v>248</v>
      </c>
      <c r="F49" s="42" t="s">
        <v>248</v>
      </c>
      <c r="G49" s="42" t="s">
        <v>248</v>
      </c>
      <c r="H49" s="41" t="s">
        <v>248</v>
      </c>
      <c r="I49" s="48" t="s">
        <v>248</v>
      </c>
      <c r="J49" s="48" t="s">
        <v>248</v>
      </c>
      <c r="K49" s="33"/>
      <c r="L49" s="33"/>
    </row>
    <row r="50" spans="1:12" s="44" customFormat="1" x14ac:dyDescent="0.25">
      <c r="A50" s="37" t="s">
        <v>121</v>
      </c>
      <c r="B50" s="35" t="s">
        <v>262</v>
      </c>
      <c r="C50" s="46" t="s">
        <v>269</v>
      </c>
      <c r="D50" s="35" t="s">
        <v>41</v>
      </c>
      <c r="E50" s="35" t="s">
        <v>4</v>
      </c>
      <c r="F50" s="42" t="s">
        <v>248</v>
      </c>
      <c r="G50" s="60">
        <v>-0.99081162129839262</v>
      </c>
      <c r="H50" s="41" t="s">
        <v>248</v>
      </c>
      <c r="I50" s="45">
        <v>-81.578800000000001</v>
      </c>
      <c r="J50" s="45">
        <v>27.6706</v>
      </c>
      <c r="K50" s="33">
        <v>468892.56083009089</v>
      </c>
      <c r="L50" s="33">
        <v>1213502.2904156134</v>
      </c>
    </row>
    <row r="51" spans="1:12" s="44" customFormat="1" x14ac:dyDescent="0.25">
      <c r="A51" s="35" t="s">
        <v>276</v>
      </c>
      <c r="B51" s="35" t="s">
        <v>81</v>
      </c>
      <c r="C51" s="46" t="s">
        <v>177</v>
      </c>
      <c r="D51" s="35" t="s">
        <v>3</v>
      </c>
      <c r="E51" s="42" t="s">
        <v>248</v>
      </c>
      <c r="F51" s="42" t="s">
        <v>248</v>
      </c>
      <c r="G51" s="60">
        <v>-1.0269008122136196</v>
      </c>
      <c r="H51" s="41" t="s">
        <v>248</v>
      </c>
      <c r="I51" s="45">
        <v>-81.208902350000002</v>
      </c>
      <c r="J51" s="45">
        <v>28.3584259</v>
      </c>
      <c r="K51" s="39">
        <v>589048.24875975936</v>
      </c>
      <c r="L51" s="39">
        <v>1463178.3225225606</v>
      </c>
    </row>
    <row r="52" spans="1:12" s="44" customFormat="1" x14ac:dyDescent="0.25">
      <c r="A52" s="37" t="s">
        <v>212</v>
      </c>
      <c r="B52" s="35" t="s">
        <v>48</v>
      </c>
      <c r="C52" s="37" t="s">
        <v>269</v>
      </c>
      <c r="D52" s="35" t="s">
        <v>41</v>
      </c>
      <c r="E52" s="35" t="s">
        <v>4</v>
      </c>
      <c r="F52" s="25">
        <v>133.36000000000001</v>
      </c>
      <c r="G52" s="27">
        <v>-0.92500000000000004</v>
      </c>
      <c r="H52" s="25">
        <f>F52+G52</f>
        <v>132.435</v>
      </c>
      <c r="I52" s="34">
        <v>-81.691552000000001</v>
      </c>
      <c r="J52" s="34">
        <v>27.833970000000001</v>
      </c>
      <c r="K52" s="33">
        <v>432730.34189538722</v>
      </c>
      <c r="L52" s="33">
        <v>1273083.4141625015</v>
      </c>
    </row>
    <row r="53" spans="1:12" s="44" customFormat="1" x14ac:dyDescent="0.25">
      <c r="A53" s="37" t="s">
        <v>27</v>
      </c>
      <c r="B53" s="35" t="s">
        <v>195</v>
      </c>
      <c r="C53" s="37" t="s">
        <v>269</v>
      </c>
      <c r="D53" s="35" t="s">
        <v>3</v>
      </c>
      <c r="E53" s="35" t="s">
        <v>4</v>
      </c>
      <c r="F53" s="25">
        <v>102.63</v>
      </c>
      <c r="G53" s="51">
        <v>-0.87</v>
      </c>
      <c r="H53" s="25">
        <f>F53+G53</f>
        <v>101.75999999999999</v>
      </c>
      <c r="I53" s="34">
        <v>-81.537111999999993</v>
      </c>
      <c r="J53" s="34">
        <v>28.446165000000001</v>
      </c>
      <c r="K53" s="39">
        <v>483630.02271271776</v>
      </c>
      <c r="L53" s="39">
        <v>1495404.5488507326</v>
      </c>
    </row>
    <row r="54" spans="1:12" x14ac:dyDescent="0.25">
      <c r="A54" s="37" t="s">
        <v>204</v>
      </c>
      <c r="B54" s="35" t="s">
        <v>57</v>
      </c>
      <c r="C54" s="37" t="s">
        <v>269</v>
      </c>
      <c r="D54" s="35" t="s">
        <v>41</v>
      </c>
      <c r="E54" s="35" t="s">
        <v>4</v>
      </c>
      <c r="F54" s="25">
        <v>97.6</v>
      </c>
      <c r="G54" s="2">
        <v>-1.0925175140798091</v>
      </c>
      <c r="H54" s="25">
        <f>F54+G54</f>
        <v>96.507482485920178</v>
      </c>
      <c r="I54" s="34">
        <v>-81.712211999999994</v>
      </c>
      <c r="J54" s="34">
        <v>28.447998999999999</v>
      </c>
      <c r="K54" s="39">
        <v>427362.88305075461</v>
      </c>
      <c r="L54" s="39">
        <v>1496363.201209351</v>
      </c>
    </row>
    <row r="55" spans="1:12" x14ac:dyDescent="0.25">
      <c r="A55" s="37" t="s">
        <v>2</v>
      </c>
      <c r="B55" s="35" t="s">
        <v>1</v>
      </c>
      <c r="C55" s="37" t="s">
        <v>269</v>
      </c>
      <c r="D55" s="35" t="s">
        <v>3</v>
      </c>
      <c r="E55" s="35" t="s">
        <v>4</v>
      </c>
      <c r="F55" s="25">
        <v>70.44</v>
      </c>
      <c r="G55" s="2">
        <v>-1.0925175140798091</v>
      </c>
      <c r="H55" s="25">
        <f>F55+G55</f>
        <v>69.347482485920182</v>
      </c>
      <c r="I55" s="34">
        <v>-81.119699999999995</v>
      </c>
      <c r="J55" s="34">
        <v>28.566631999999998</v>
      </c>
      <c r="K55" s="39">
        <v>617813.53437641182</v>
      </c>
      <c r="L55" s="39">
        <v>1538836.6489861673</v>
      </c>
    </row>
    <row r="56" spans="1:12" x14ac:dyDescent="0.25">
      <c r="A56" s="37" t="s">
        <v>68</v>
      </c>
      <c r="B56" s="35" t="s">
        <v>268</v>
      </c>
      <c r="C56" s="37" t="s">
        <v>177</v>
      </c>
      <c r="D56" s="35" t="s">
        <v>41</v>
      </c>
      <c r="E56" s="35" t="s">
        <v>4</v>
      </c>
      <c r="F56" s="25">
        <v>69.37</v>
      </c>
      <c r="G56" s="32">
        <v>-1.030181701083978</v>
      </c>
      <c r="H56" s="25">
        <f>F56+G56</f>
        <v>68.339818298916029</v>
      </c>
      <c r="I56" s="34">
        <v>-81.360359000000003</v>
      </c>
      <c r="J56" s="34">
        <v>28.810518999999999</v>
      </c>
      <c r="K56" s="39">
        <v>540831.49298874428</v>
      </c>
      <c r="L56" s="39">
        <v>1627665.6949905395</v>
      </c>
    </row>
    <row r="57" spans="1:12" x14ac:dyDescent="0.25">
      <c r="A57" s="37" t="s">
        <v>121</v>
      </c>
      <c r="B57" s="35" t="s">
        <v>258</v>
      </c>
      <c r="C57" s="42" t="s">
        <v>248</v>
      </c>
      <c r="D57" s="35" t="s">
        <v>3</v>
      </c>
      <c r="E57" s="42" t="s">
        <v>248</v>
      </c>
      <c r="F57" s="42" t="s">
        <v>248</v>
      </c>
      <c r="G57" s="32">
        <v>-0.85957831534246598</v>
      </c>
      <c r="H57" s="41" t="s">
        <v>248</v>
      </c>
      <c r="I57" s="45">
        <v>-81.663399999999996</v>
      </c>
      <c r="J57" s="45">
        <v>28.2422</v>
      </c>
      <c r="K57" s="33">
        <v>442637.79616964306</v>
      </c>
      <c r="L57" s="33">
        <v>1421449.9096813896</v>
      </c>
    </row>
    <row r="58" spans="1:12" x14ac:dyDescent="0.25">
      <c r="A58" s="37" t="s">
        <v>20</v>
      </c>
      <c r="B58" s="35" t="s">
        <v>19</v>
      </c>
      <c r="C58" s="37" t="s">
        <v>269</v>
      </c>
      <c r="D58" s="35" t="s">
        <v>3</v>
      </c>
      <c r="E58" s="35" t="s">
        <v>4</v>
      </c>
      <c r="F58" s="25">
        <v>67.680000000000007</v>
      </c>
      <c r="G58" s="51">
        <v>-1.0695516830931107</v>
      </c>
      <c r="H58" s="25">
        <f>F58+G58</f>
        <v>66.610448316906897</v>
      </c>
      <c r="I58" s="34">
        <v>-81.404506999999995</v>
      </c>
      <c r="J58" s="34">
        <v>28.083625999999999</v>
      </c>
      <c r="K58" s="39">
        <v>525803.41571884044</v>
      </c>
      <c r="L58" s="39">
        <v>1363431.1091838388</v>
      </c>
    </row>
    <row r="59" spans="1:12" x14ac:dyDescent="0.25">
      <c r="A59" s="37" t="s">
        <v>14</v>
      </c>
      <c r="B59" s="35" t="s">
        <v>13</v>
      </c>
      <c r="C59" s="37" t="s">
        <v>269</v>
      </c>
      <c r="D59" s="35" t="s">
        <v>3</v>
      </c>
      <c r="E59" s="35" t="s">
        <v>4</v>
      </c>
      <c r="F59" s="25">
        <v>64.47</v>
      </c>
      <c r="G59" s="51">
        <v>-1.0400241721421479</v>
      </c>
      <c r="H59" s="25">
        <f>F59+G59</f>
        <v>63.429975827857852</v>
      </c>
      <c r="I59" s="34">
        <v>-81.412561999999994</v>
      </c>
      <c r="J59" s="34">
        <v>28.113903000000001</v>
      </c>
      <c r="K59" s="39">
        <v>523243.43802387459</v>
      </c>
      <c r="L59" s="39">
        <v>1374447.2871031293</v>
      </c>
    </row>
    <row r="60" spans="1:12" x14ac:dyDescent="0.25">
      <c r="A60" s="37" t="s">
        <v>12</v>
      </c>
      <c r="B60" s="35" t="s">
        <v>11</v>
      </c>
      <c r="C60" s="37" t="s">
        <v>269</v>
      </c>
      <c r="D60" s="35" t="s">
        <v>3</v>
      </c>
      <c r="E60" s="35" t="s">
        <v>4</v>
      </c>
      <c r="F60" s="25">
        <v>68.34</v>
      </c>
      <c r="G60" s="61">
        <v>-1.0400241721421479</v>
      </c>
      <c r="H60" s="25">
        <f>F60+G60</f>
        <v>67.29997582785785</v>
      </c>
      <c r="I60" s="34">
        <v>-81.418795000000003</v>
      </c>
      <c r="J60" s="34">
        <v>28.109258000000001</v>
      </c>
      <c r="K60" s="39">
        <v>521228.34694259288</v>
      </c>
      <c r="L60" s="39">
        <v>1372765.4241704538</v>
      </c>
    </row>
    <row r="61" spans="1:12" x14ac:dyDescent="0.25">
      <c r="A61" s="37" t="s">
        <v>121</v>
      </c>
      <c r="B61" s="35" t="s">
        <v>247</v>
      </c>
      <c r="C61" s="37" t="s">
        <v>269</v>
      </c>
      <c r="D61" s="35" t="s">
        <v>3</v>
      </c>
      <c r="E61" s="35" t="s">
        <v>4</v>
      </c>
      <c r="F61" s="42" t="s">
        <v>248</v>
      </c>
      <c r="G61" s="63">
        <v>-1.08</v>
      </c>
      <c r="H61" s="41" t="s">
        <v>248</v>
      </c>
      <c r="I61" s="34">
        <v>-81.390062</v>
      </c>
      <c r="J61" s="34">
        <v>28.082236000000002</v>
      </c>
      <c r="K61" s="33">
        <v>530459.58989862096</v>
      </c>
      <c r="L61" s="33">
        <v>1362910.5584671565</v>
      </c>
    </row>
    <row r="62" spans="1:12" x14ac:dyDescent="0.25">
      <c r="A62" s="37" t="s">
        <v>121</v>
      </c>
      <c r="B62" s="35" t="s">
        <v>246</v>
      </c>
      <c r="C62" s="37" t="s">
        <v>269</v>
      </c>
      <c r="D62" s="35" t="s">
        <v>3</v>
      </c>
      <c r="E62" s="35" t="s">
        <v>4</v>
      </c>
      <c r="F62" s="42" t="s">
        <v>248</v>
      </c>
      <c r="G62" s="54">
        <v>-1.0900000000000001</v>
      </c>
      <c r="H62" s="41" t="s">
        <v>248</v>
      </c>
      <c r="I62" s="55">
        <v>-81.392284000000004</v>
      </c>
      <c r="J62" s="40">
        <v>28.077793</v>
      </c>
      <c r="K62" s="33">
        <v>529737.8868357233</v>
      </c>
      <c r="L62" s="33">
        <v>1361297.5779175737</v>
      </c>
    </row>
    <row r="63" spans="1:12" ht="15.75" customHeight="1" x14ac:dyDescent="0.25"/>
    <row r="64" spans="1:12" ht="30" x14ac:dyDescent="0.25">
      <c r="A64" s="30" t="s">
        <v>265</v>
      </c>
      <c r="B64" s="31" t="s">
        <v>264</v>
      </c>
    </row>
  </sheetData>
  <autoFilter ref="A1:L62" xr:uid="{181ACA7D-21CA-45CF-9EEF-B6058F8A25A9}"/>
  <sortState ref="A2:L62">
    <sortCondition ref="B2:B62"/>
  </sortState>
  <conditionalFormatting sqref="A1:A1048576">
    <cfRule type="cellIs" dxfId="0" priority="1" operator="equal">
      <formula>"NA"</formula>
    </cfRule>
  </conditionalFormatting>
  <pageMargins left="0.7" right="0.7" top="0.75" bottom="0.75" header="0.3" footer="0.3"/>
  <pageSetup paperSize="17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2015Wetlands</vt:lpstr>
      <vt:lpstr>OldCoordinates</vt:lpstr>
      <vt:lpstr>NewP20s</vt:lpstr>
      <vt:lpstr>AllP20</vt:lpstr>
      <vt:lpstr>Crosswalk</vt:lpstr>
      <vt:lpstr>Class 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Rodberg</dc:creator>
  <cp:lastModifiedBy>Kevin Rodberg</cp:lastModifiedBy>
  <dcterms:created xsi:type="dcterms:W3CDTF">2018-08-27T12:52:00Z</dcterms:created>
  <dcterms:modified xsi:type="dcterms:W3CDTF">2018-08-30T18:55:44Z</dcterms:modified>
</cp:coreProperties>
</file>