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7b4b56219be6b/Documentos/Curso Excel/Projeto fluxo de caixa/Projeto/"/>
    </mc:Choice>
  </mc:AlternateContent>
  <xr:revisionPtr revIDLastSave="18" documentId="8_{9811C25A-D7CD-4ECC-8C5F-BE5FA7A62486}" xr6:coauthVersionLast="47" xr6:coauthVersionMax="47" xr10:uidLastSave="{BF46450A-13AE-401C-9115-1FB8209F4594}"/>
  <bookViews>
    <workbookView xWindow="-120" yWindow="-120" windowWidth="29040" windowHeight="15720" firstSheet="7" activeTab="8" xr2:uid="{ABD0BE5C-67B9-46C1-B0A0-AE4D913E4CB9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15" r:id="rId7"/>
    <sheet name="RegistroSaídas" sheetId="17" r:id="rId8"/>
    <sheet name="FluxoCaixaConsolidado" sheetId="7" r:id="rId9"/>
    <sheet name="DetalhaReceita" sheetId="8" r:id="rId10"/>
    <sheet name="DetalhaDespesa" sheetId="9" r:id="rId11"/>
    <sheet name="ContasPagar" sheetId="10" r:id="rId12"/>
    <sheet name="ContasReceber" sheetId="11" r:id="rId13"/>
    <sheet name="ContasReceberVencidas" sheetId="12" r:id="rId14"/>
    <sheet name="DashboardFinanceiroAtual" sheetId="13" r:id="rId15"/>
    <sheet name="DashboardFinanceiroAtualID" sheetId="19" state="hidden" r:id="rId16"/>
    <sheet name="DashboardFinanceiroAnual" sheetId="14" r:id="rId17"/>
    <sheet name="DashboardFinanceiroAnualID" sheetId="18" state="hidden" r:id="rId18"/>
  </sheets>
  <externalReferences>
    <externalReference r:id="rId19"/>
  </externalReferences>
  <definedNames>
    <definedName name="PCEntradasN1_Nível_1" localSheetId="7">TbPCEntradasN1[Nível 1]</definedName>
    <definedName name="PCEntradasN1_Nível_1">TbPCEntradasN1[Nível 1]</definedName>
    <definedName name="PCEntradasN2_Nível_1" localSheetId="7">TbPCEntradasN2[Nível 1]</definedName>
    <definedName name="PCEntradasN2_Nível_1">TbPCEntradasN2[Nível 1]</definedName>
    <definedName name="PCEntradasN2_Nível_2" localSheetId="7">TbPCEntradasN2[Nível 2]</definedName>
    <definedName name="PCEntradasN2_Nível_2">TbPCEntradasN2[Nível 2]</definedName>
    <definedName name="PCSaídasN1_Nível_1" localSheetId="7">TbPCSaídasN1[NÍVEL 1]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ENCIA">#N/A</definedName>
    <definedName name="SegmentaçãodeDados_ANO_COMPETÊNCIA">#N/A</definedName>
    <definedName name="SegmentaçãodeDados_ANO_COMPETENCIA1">#N/A</definedName>
    <definedName name="SegmentaçãodeDados_ANO_COMPETÊNCIA1">#N/A</definedName>
    <definedName name="SegmentaçãodeDados_ANO_COMPETENCIA2">#N/A</definedName>
    <definedName name="SegmentaçãodeDados_MÊS_COMPETENCIA">#N/A</definedName>
    <definedName name="SegmentaçãodeDados_MÊS_COMPETÊNCIA">#N/A</definedName>
    <definedName name="SegmentaçãodeDados_MÊS_PREVISTO">#N/A</definedName>
    <definedName name="SegmentaçãodeDados_MÊS_PREVISTO1">#N/A</definedName>
  </definedNames>
  <calcPr calcId="191029"/>
  <pivotCaches>
    <pivotCache cacheId="0" r:id="rId20"/>
    <pivotCache cacheId="1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3" l="1"/>
  <c r="K15" i="13"/>
  <c r="I14" i="13"/>
  <c r="B11" i="13"/>
  <c r="K8" i="13"/>
  <c r="B8" i="13"/>
  <c r="B5" i="13"/>
  <c r="H31" i="19"/>
  <c r="B22" i="19"/>
  <c r="D22" i="19" s="1"/>
  <c r="H13" i="19"/>
  <c r="G13" i="19"/>
  <c r="H10" i="19"/>
  <c r="G10" i="19"/>
  <c r="C10" i="19"/>
  <c r="G7" i="19"/>
  <c r="H6" i="19"/>
  <c r="C5" i="19"/>
  <c r="J4" i="19"/>
  <c r="C4" i="19"/>
  <c r="B32" i="19" s="1"/>
  <c r="D32" i="19" l="1"/>
  <c r="C32" i="19"/>
  <c r="E32" i="19" s="1"/>
  <c r="C22" i="19"/>
  <c r="E22" i="19" s="1"/>
  <c r="H7" i="19"/>
  <c r="D14" i="19"/>
  <c r="G14" i="19"/>
  <c r="B27" i="19"/>
  <c r="H14" i="19"/>
  <c r="L3" i="19"/>
  <c r="C8" i="19"/>
  <c r="C11" i="19" s="1"/>
  <c r="G11" i="19"/>
  <c r="J14" i="19"/>
  <c r="K14" i="19" s="1"/>
  <c r="G8" i="19"/>
  <c r="H11" i="19"/>
  <c r="H8" i="19"/>
  <c r="G15" i="19"/>
  <c r="G27" i="19"/>
  <c r="H15" i="19"/>
  <c r="G5" i="19"/>
  <c r="G12" i="19"/>
  <c r="H5" i="19"/>
  <c r="C9" i="19"/>
  <c r="H12" i="19"/>
  <c r="J5" i="19"/>
  <c r="K5" i="19" s="1"/>
  <c r="G9" i="19"/>
  <c r="J12" i="19"/>
  <c r="K12" i="19" s="1"/>
  <c r="G16" i="19"/>
  <c r="H30" i="19"/>
  <c r="H42" i="19" s="1"/>
  <c r="H9" i="19"/>
  <c r="H16" i="19"/>
  <c r="G6" i="19"/>
  <c r="J9" i="19"/>
  <c r="K9" i="19" s="1"/>
  <c r="D13" i="19"/>
  <c r="H41" i="19" l="1"/>
  <c r="J6" i="19"/>
  <c r="K6" i="19" s="1"/>
  <c r="J13" i="19"/>
  <c r="K13" i="19" s="1"/>
  <c r="H40" i="19"/>
  <c r="J15" i="19"/>
  <c r="K15" i="19" s="1"/>
  <c r="D27" i="19"/>
  <c r="C27" i="19"/>
  <c r="J7" i="19"/>
  <c r="K7" i="19" s="1"/>
  <c r="J8" i="19"/>
  <c r="K8" i="19" s="1"/>
  <c r="J10" i="19"/>
  <c r="K10" i="19" s="1"/>
  <c r="I27" i="19"/>
  <c r="H27" i="19"/>
  <c r="H39" i="19"/>
  <c r="H38" i="19"/>
  <c r="H37" i="19"/>
  <c r="H36" i="19"/>
  <c r="H35" i="19"/>
  <c r="H34" i="19"/>
  <c r="H33" i="19"/>
  <c r="H32" i="19"/>
  <c r="H44" i="19" s="1"/>
  <c r="J11" i="19"/>
  <c r="K11" i="19" s="1"/>
  <c r="H43" i="19"/>
  <c r="J16" i="19"/>
  <c r="K16" i="19" s="1"/>
  <c r="J27" i="19" l="1"/>
  <c r="E27" i="19"/>
  <c r="H30" i="18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R13" i="15"/>
  <c r="R4" i="15"/>
  <c r="R5" i="15"/>
  <c r="R6" i="15"/>
  <c r="R7" i="15"/>
  <c r="R8" i="15"/>
  <c r="R9" i="15"/>
  <c r="R10" i="15"/>
  <c r="R11" i="15"/>
  <c r="R12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P9" i="15"/>
  <c r="P12" i="15"/>
  <c r="P13" i="15"/>
  <c r="P14" i="15"/>
  <c r="P15" i="15"/>
  <c r="P25" i="15"/>
  <c r="P28" i="15"/>
  <c r="P29" i="15"/>
  <c r="P30" i="15"/>
  <c r="P31" i="15"/>
  <c r="P41" i="15"/>
  <c r="P44" i="15"/>
  <c r="P45" i="15"/>
  <c r="P46" i="15"/>
  <c r="P47" i="15"/>
  <c r="P57" i="15"/>
  <c r="P58" i="15"/>
  <c r="P61" i="15"/>
  <c r="P62" i="15"/>
  <c r="P63" i="15"/>
  <c r="P73" i="15"/>
  <c r="P74" i="15"/>
  <c r="P77" i="15"/>
  <c r="P78" i="15"/>
  <c r="P79" i="15"/>
  <c r="P89" i="15"/>
  <c r="P90" i="15"/>
  <c r="P93" i="15"/>
  <c r="P94" i="15"/>
  <c r="P95" i="15"/>
  <c r="P105" i="15"/>
  <c r="P106" i="15"/>
  <c r="P109" i="15"/>
  <c r="P110" i="15"/>
  <c r="P111" i="15"/>
  <c r="P121" i="15"/>
  <c r="P122" i="15"/>
  <c r="P125" i="15"/>
  <c r="P126" i="15"/>
  <c r="P127" i="15"/>
  <c r="P137" i="15"/>
  <c r="P138" i="15"/>
  <c r="P141" i="15"/>
  <c r="P142" i="15"/>
  <c r="P143" i="15"/>
  <c r="P153" i="15"/>
  <c r="P154" i="15"/>
  <c r="P157" i="15"/>
  <c r="P158" i="15"/>
  <c r="P159" i="15"/>
  <c r="P169" i="15"/>
  <c r="P170" i="15"/>
  <c r="P173" i="15"/>
  <c r="P174" i="15"/>
  <c r="P175" i="15"/>
  <c r="P185" i="15"/>
  <c r="P186" i="15"/>
  <c r="P189" i="15"/>
  <c r="P190" i="15"/>
  <c r="P191" i="15"/>
  <c r="P201" i="15"/>
  <c r="P202" i="15"/>
  <c r="P205" i="15"/>
  <c r="P206" i="15"/>
  <c r="P207" i="15"/>
  <c r="P217" i="15"/>
  <c r="P218" i="15"/>
  <c r="P221" i="15"/>
  <c r="P222" i="15"/>
  <c r="P223" i="15"/>
  <c r="P233" i="15"/>
  <c r="P234" i="15"/>
  <c r="Q49" i="15"/>
  <c r="P49" i="15" s="1"/>
  <c r="Q4" i="15"/>
  <c r="P4" i="15" s="1"/>
  <c r="Q5" i="15"/>
  <c r="P5" i="15" s="1"/>
  <c r="Q6" i="15"/>
  <c r="P6" i="15" s="1"/>
  <c r="Q7" i="15"/>
  <c r="P7" i="15" s="1"/>
  <c r="Q8" i="15"/>
  <c r="P8" i="15" s="1"/>
  <c r="Q9" i="15"/>
  <c r="Q10" i="15"/>
  <c r="P10" i="15" s="1"/>
  <c r="Q11" i="15"/>
  <c r="P11" i="15" s="1"/>
  <c r="Q12" i="15"/>
  <c r="Q13" i="15"/>
  <c r="Q14" i="15"/>
  <c r="Q15" i="15"/>
  <c r="Q16" i="15"/>
  <c r="P16" i="15" s="1"/>
  <c r="Q17" i="15"/>
  <c r="P17" i="15" s="1"/>
  <c r="Q18" i="15"/>
  <c r="P18" i="15" s="1"/>
  <c r="Q19" i="15"/>
  <c r="P19" i="15" s="1"/>
  <c r="Q20" i="15"/>
  <c r="P20" i="15" s="1"/>
  <c r="Q21" i="15"/>
  <c r="P21" i="15" s="1"/>
  <c r="Q22" i="15"/>
  <c r="P22" i="15" s="1"/>
  <c r="Q23" i="15"/>
  <c r="P23" i="15" s="1"/>
  <c r="Q24" i="15"/>
  <c r="P24" i="15" s="1"/>
  <c r="Q25" i="15"/>
  <c r="Q26" i="15"/>
  <c r="P26" i="15" s="1"/>
  <c r="Q27" i="15"/>
  <c r="P27" i="15" s="1"/>
  <c r="Q28" i="15"/>
  <c r="Q29" i="15"/>
  <c r="Q30" i="15"/>
  <c r="Q31" i="15"/>
  <c r="Q32" i="15"/>
  <c r="P32" i="15" s="1"/>
  <c r="Q33" i="15"/>
  <c r="P33" i="15" s="1"/>
  <c r="Q34" i="15"/>
  <c r="P34" i="15" s="1"/>
  <c r="Q35" i="15"/>
  <c r="P35" i="15" s="1"/>
  <c r="Q36" i="15"/>
  <c r="P36" i="15" s="1"/>
  <c r="Q37" i="15"/>
  <c r="P37" i="15" s="1"/>
  <c r="Q38" i="15"/>
  <c r="P38" i="15" s="1"/>
  <c r="Q39" i="15"/>
  <c r="P39" i="15" s="1"/>
  <c r="Q40" i="15"/>
  <c r="P40" i="15" s="1"/>
  <c r="Q41" i="15"/>
  <c r="Q42" i="15"/>
  <c r="P42" i="15" s="1"/>
  <c r="Q43" i="15"/>
  <c r="P43" i="15" s="1"/>
  <c r="Q44" i="15"/>
  <c r="Q45" i="15"/>
  <c r="Q46" i="15"/>
  <c r="Q47" i="15"/>
  <c r="Q48" i="15"/>
  <c r="P48" i="15" s="1"/>
  <c r="Q50" i="15"/>
  <c r="P50" i="15" s="1"/>
  <c r="Q51" i="15"/>
  <c r="P51" i="15" s="1"/>
  <c r="Q52" i="15"/>
  <c r="P52" i="15" s="1"/>
  <c r="Q53" i="15"/>
  <c r="P53" i="15" s="1"/>
  <c r="Q54" i="15"/>
  <c r="P54" i="15" s="1"/>
  <c r="Q55" i="15"/>
  <c r="P55" i="15" s="1"/>
  <c r="Q56" i="15"/>
  <c r="P56" i="15" s="1"/>
  <c r="Q57" i="15"/>
  <c r="Q58" i="15"/>
  <c r="Q59" i="15"/>
  <c r="P59" i="15" s="1"/>
  <c r="Q60" i="15"/>
  <c r="P60" i="15" s="1"/>
  <c r="Q61" i="15"/>
  <c r="Q62" i="15"/>
  <c r="Q63" i="15"/>
  <c r="Q64" i="15"/>
  <c r="P64" i="15" s="1"/>
  <c r="Q65" i="15"/>
  <c r="P65" i="15" s="1"/>
  <c r="Q66" i="15"/>
  <c r="P66" i="15" s="1"/>
  <c r="Q67" i="15"/>
  <c r="P67" i="15" s="1"/>
  <c r="Q68" i="15"/>
  <c r="P68" i="15" s="1"/>
  <c r="Q69" i="15"/>
  <c r="P69" i="15" s="1"/>
  <c r="Q70" i="15"/>
  <c r="P70" i="15" s="1"/>
  <c r="Q71" i="15"/>
  <c r="P71" i="15" s="1"/>
  <c r="Q72" i="15"/>
  <c r="P72" i="15" s="1"/>
  <c r="Q73" i="15"/>
  <c r="Q74" i="15"/>
  <c r="Q75" i="15"/>
  <c r="P75" i="15" s="1"/>
  <c r="Q76" i="15"/>
  <c r="P76" i="15" s="1"/>
  <c r="Q77" i="15"/>
  <c r="Q78" i="15"/>
  <c r="Q79" i="15"/>
  <c r="Q80" i="15"/>
  <c r="P80" i="15" s="1"/>
  <c r="Q81" i="15"/>
  <c r="P81" i="15" s="1"/>
  <c r="Q82" i="15"/>
  <c r="P82" i="15" s="1"/>
  <c r="Q83" i="15"/>
  <c r="P83" i="15" s="1"/>
  <c r="Q84" i="15"/>
  <c r="P84" i="15" s="1"/>
  <c r="Q85" i="15"/>
  <c r="P85" i="15" s="1"/>
  <c r="Q86" i="15"/>
  <c r="P86" i="15" s="1"/>
  <c r="Q87" i="15"/>
  <c r="P87" i="15" s="1"/>
  <c r="Q88" i="15"/>
  <c r="P88" i="15" s="1"/>
  <c r="Q89" i="15"/>
  <c r="Q90" i="15"/>
  <c r="Q91" i="15"/>
  <c r="P91" i="15" s="1"/>
  <c r="Q92" i="15"/>
  <c r="P92" i="15" s="1"/>
  <c r="Q93" i="15"/>
  <c r="Q94" i="15"/>
  <c r="Q95" i="15"/>
  <c r="Q96" i="15"/>
  <c r="P96" i="15" s="1"/>
  <c r="Q97" i="15"/>
  <c r="P97" i="15" s="1"/>
  <c r="Q98" i="15"/>
  <c r="P98" i="15" s="1"/>
  <c r="Q99" i="15"/>
  <c r="P99" i="15" s="1"/>
  <c r="Q100" i="15"/>
  <c r="P100" i="15" s="1"/>
  <c r="Q101" i="15"/>
  <c r="P101" i="15" s="1"/>
  <c r="Q102" i="15"/>
  <c r="P102" i="15" s="1"/>
  <c r="Q103" i="15"/>
  <c r="P103" i="15" s="1"/>
  <c r="Q104" i="15"/>
  <c r="P104" i="15" s="1"/>
  <c r="Q105" i="15"/>
  <c r="Q106" i="15"/>
  <c r="Q107" i="15"/>
  <c r="P107" i="15" s="1"/>
  <c r="Q108" i="15"/>
  <c r="P108" i="15" s="1"/>
  <c r="Q109" i="15"/>
  <c r="Q110" i="15"/>
  <c r="Q111" i="15"/>
  <c r="Q112" i="15"/>
  <c r="P112" i="15" s="1"/>
  <c r="Q113" i="15"/>
  <c r="P113" i="15" s="1"/>
  <c r="Q114" i="15"/>
  <c r="P114" i="15" s="1"/>
  <c r="Q115" i="15"/>
  <c r="P115" i="15" s="1"/>
  <c r="Q116" i="15"/>
  <c r="P116" i="15" s="1"/>
  <c r="Q117" i="15"/>
  <c r="P117" i="15" s="1"/>
  <c r="Q118" i="15"/>
  <c r="P118" i="15" s="1"/>
  <c r="Q119" i="15"/>
  <c r="P119" i="15" s="1"/>
  <c r="Q120" i="15"/>
  <c r="P120" i="15" s="1"/>
  <c r="Q121" i="15"/>
  <c r="Q122" i="15"/>
  <c r="Q123" i="15"/>
  <c r="P123" i="15" s="1"/>
  <c r="Q124" i="15"/>
  <c r="P124" i="15" s="1"/>
  <c r="Q125" i="15"/>
  <c r="Q126" i="15"/>
  <c r="Q127" i="15"/>
  <c r="Q128" i="15"/>
  <c r="P128" i="15" s="1"/>
  <c r="Q129" i="15"/>
  <c r="P129" i="15" s="1"/>
  <c r="Q130" i="15"/>
  <c r="P130" i="15" s="1"/>
  <c r="Q131" i="15"/>
  <c r="P131" i="15" s="1"/>
  <c r="Q132" i="15"/>
  <c r="P132" i="15" s="1"/>
  <c r="Q133" i="15"/>
  <c r="P133" i="15" s="1"/>
  <c r="Q134" i="15"/>
  <c r="P134" i="15" s="1"/>
  <c r="Q135" i="15"/>
  <c r="P135" i="15" s="1"/>
  <c r="Q136" i="15"/>
  <c r="P136" i="15" s="1"/>
  <c r="Q137" i="15"/>
  <c r="Q138" i="15"/>
  <c r="Q139" i="15"/>
  <c r="P139" i="15" s="1"/>
  <c r="Q140" i="15"/>
  <c r="P140" i="15" s="1"/>
  <c r="Q141" i="15"/>
  <c r="Q142" i="15"/>
  <c r="Q143" i="15"/>
  <c r="Q144" i="15"/>
  <c r="P144" i="15" s="1"/>
  <c r="Q145" i="15"/>
  <c r="P145" i="15" s="1"/>
  <c r="Q146" i="15"/>
  <c r="P146" i="15" s="1"/>
  <c r="Q147" i="15"/>
  <c r="P147" i="15" s="1"/>
  <c r="Q148" i="15"/>
  <c r="P148" i="15" s="1"/>
  <c r="Q149" i="15"/>
  <c r="P149" i="15" s="1"/>
  <c r="Q150" i="15"/>
  <c r="P150" i="15" s="1"/>
  <c r="Q151" i="15"/>
  <c r="P151" i="15" s="1"/>
  <c r="Q152" i="15"/>
  <c r="P152" i="15" s="1"/>
  <c r="Q153" i="15"/>
  <c r="Q154" i="15"/>
  <c r="Q155" i="15"/>
  <c r="P155" i="15" s="1"/>
  <c r="Q156" i="15"/>
  <c r="P156" i="15" s="1"/>
  <c r="Q157" i="15"/>
  <c r="Q158" i="15"/>
  <c r="Q159" i="15"/>
  <c r="Q160" i="15"/>
  <c r="P160" i="15" s="1"/>
  <c r="Q161" i="15"/>
  <c r="P161" i="15" s="1"/>
  <c r="Q162" i="15"/>
  <c r="P162" i="15" s="1"/>
  <c r="Q163" i="15"/>
  <c r="P163" i="15" s="1"/>
  <c r="Q164" i="15"/>
  <c r="P164" i="15" s="1"/>
  <c r="Q165" i="15"/>
  <c r="P165" i="15" s="1"/>
  <c r="Q166" i="15"/>
  <c r="P166" i="15" s="1"/>
  <c r="Q167" i="15"/>
  <c r="P167" i="15" s="1"/>
  <c r="Q168" i="15"/>
  <c r="P168" i="15" s="1"/>
  <c r="Q169" i="15"/>
  <c r="Q170" i="15"/>
  <c r="Q171" i="15"/>
  <c r="P171" i="15" s="1"/>
  <c r="Q172" i="15"/>
  <c r="P172" i="15" s="1"/>
  <c r="Q173" i="15"/>
  <c r="Q174" i="15"/>
  <c r="Q175" i="15"/>
  <c r="Q176" i="15"/>
  <c r="P176" i="15" s="1"/>
  <c r="Q177" i="15"/>
  <c r="P177" i="15" s="1"/>
  <c r="Q178" i="15"/>
  <c r="P178" i="15" s="1"/>
  <c r="Q179" i="15"/>
  <c r="P179" i="15" s="1"/>
  <c r="Q180" i="15"/>
  <c r="P180" i="15" s="1"/>
  <c r="Q181" i="15"/>
  <c r="P181" i="15" s="1"/>
  <c r="Q182" i="15"/>
  <c r="P182" i="15" s="1"/>
  <c r="Q183" i="15"/>
  <c r="P183" i="15" s="1"/>
  <c r="Q184" i="15"/>
  <c r="P184" i="15" s="1"/>
  <c r="Q185" i="15"/>
  <c r="Q186" i="15"/>
  <c r="Q187" i="15"/>
  <c r="P187" i="15" s="1"/>
  <c r="Q188" i="15"/>
  <c r="P188" i="15" s="1"/>
  <c r="Q189" i="15"/>
  <c r="Q190" i="15"/>
  <c r="Q191" i="15"/>
  <c r="Q192" i="15"/>
  <c r="P192" i="15" s="1"/>
  <c r="Q193" i="15"/>
  <c r="P193" i="15" s="1"/>
  <c r="Q194" i="15"/>
  <c r="P194" i="15" s="1"/>
  <c r="Q195" i="15"/>
  <c r="P195" i="15" s="1"/>
  <c r="Q196" i="15"/>
  <c r="P196" i="15" s="1"/>
  <c r="Q197" i="15"/>
  <c r="P197" i="15" s="1"/>
  <c r="Q198" i="15"/>
  <c r="P198" i="15" s="1"/>
  <c r="Q199" i="15"/>
  <c r="P199" i="15" s="1"/>
  <c r="Q200" i="15"/>
  <c r="P200" i="15" s="1"/>
  <c r="Q201" i="15"/>
  <c r="Q202" i="15"/>
  <c r="Q203" i="15"/>
  <c r="P203" i="15" s="1"/>
  <c r="Q204" i="15"/>
  <c r="P204" i="15" s="1"/>
  <c r="Q205" i="15"/>
  <c r="Q206" i="15"/>
  <c r="Q207" i="15"/>
  <c r="Q208" i="15"/>
  <c r="P208" i="15" s="1"/>
  <c r="Q209" i="15"/>
  <c r="P209" i="15" s="1"/>
  <c r="Q210" i="15"/>
  <c r="P210" i="15" s="1"/>
  <c r="Q211" i="15"/>
  <c r="P211" i="15" s="1"/>
  <c r="Q212" i="15"/>
  <c r="P212" i="15" s="1"/>
  <c r="Q213" i="15"/>
  <c r="P213" i="15" s="1"/>
  <c r="Q214" i="15"/>
  <c r="P214" i="15" s="1"/>
  <c r="Q215" i="15"/>
  <c r="P215" i="15" s="1"/>
  <c r="Q216" i="15"/>
  <c r="P216" i="15" s="1"/>
  <c r="Q217" i="15"/>
  <c r="Q218" i="15"/>
  <c r="Q219" i="15"/>
  <c r="P219" i="15" s="1"/>
  <c r="Q220" i="15"/>
  <c r="P220" i="15" s="1"/>
  <c r="Q221" i="15"/>
  <c r="Q222" i="15"/>
  <c r="Q223" i="15"/>
  <c r="Q224" i="15"/>
  <c r="P224" i="15" s="1"/>
  <c r="Q225" i="15"/>
  <c r="P225" i="15" s="1"/>
  <c r="Q226" i="15"/>
  <c r="P226" i="15" s="1"/>
  <c r="Q227" i="15"/>
  <c r="P227" i="15" s="1"/>
  <c r="Q228" i="15"/>
  <c r="P228" i="15" s="1"/>
  <c r="Q229" i="15"/>
  <c r="P229" i="15" s="1"/>
  <c r="Q230" i="15"/>
  <c r="P230" i="15" s="1"/>
  <c r="Q231" i="15"/>
  <c r="P231" i="15" s="1"/>
  <c r="Q232" i="15"/>
  <c r="P232" i="15" s="1"/>
  <c r="Q233" i="15"/>
  <c r="Q234" i="15"/>
  <c r="J4" i="18"/>
  <c r="C4" i="18"/>
  <c r="B32" i="18" s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N2" i="12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F16" i="13" l="1"/>
  <c r="G16" i="13"/>
  <c r="B22" i="18"/>
  <c r="D32" i="18"/>
  <c r="C32" i="18"/>
  <c r="E32" i="18" s="1"/>
  <c r="I14" i="14" s="1"/>
  <c r="H29" i="18"/>
  <c r="H31" i="18" s="1"/>
  <c r="H42" i="18"/>
  <c r="B27" i="18"/>
  <c r="C27" i="18" s="1"/>
  <c r="H35" i="18"/>
  <c r="G26" i="18"/>
  <c r="I26" i="18" s="1"/>
  <c r="H34" i="18"/>
  <c r="M17" i="7"/>
  <c r="M23" i="7" s="1"/>
  <c r="G6" i="18"/>
  <c r="D22" i="18"/>
  <c r="C22" i="18"/>
  <c r="H7" i="18"/>
  <c r="C9" i="18"/>
  <c r="H11" i="18"/>
  <c r="H10" i="18"/>
  <c r="H9" i="18"/>
  <c r="H8" i="18"/>
  <c r="H6" i="18"/>
  <c r="C8" i="18"/>
  <c r="C11" i="18" s="1"/>
  <c r="B5" i="14" s="1"/>
  <c r="L3" i="18"/>
  <c r="J9" i="18" s="1"/>
  <c r="K9" i="18" s="1"/>
  <c r="C10" i="18"/>
  <c r="H5" i="18"/>
  <c r="H16" i="18"/>
  <c r="H15" i="18"/>
  <c r="H14" i="18"/>
  <c r="H13" i="18"/>
  <c r="H12" i="18"/>
  <c r="D13" i="18"/>
  <c r="B8" i="14" s="1"/>
  <c r="D14" i="18"/>
  <c r="B11" i="14" s="1"/>
  <c r="G5" i="18"/>
  <c r="G16" i="18"/>
  <c r="G15" i="18"/>
  <c r="G14" i="18"/>
  <c r="G13" i="18"/>
  <c r="G12" i="18"/>
  <c r="G11" i="18"/>
  <c r="G10" i="18"/>
  <c r="G9" i="18"/>
  <c r="G8" i="18"/>
  <c r="G7" i="18"/>
  <c r="D16" i="7"/>
  <c r="D22" i="7" s="1"/>
  <c r="M16" i="7"/>
  <c r="M22" i="7" s="1"/>
  <c r="E16" i="7"/>
  <c r="E22" i="7" s="1"/>
  <c r="F16" i="7"/>
  <c r="F22" i="7" s="1"/>
  <c r="G16" i="7"/>
  <c r="G22" i="7" s="1"/>
  <c r="H16" i="7"/>
  <c r="H22" i="7" s="1"/>
  <c r="I9" i="7"/>
  <c r="I16" i="7"/>
  <c r="I22" i="7" s="1"/>
  <c r="J16" i="7"/>
  <c r="J22" i="7" s="1"/>
  <c r="K16" i="7"/>
  <c r="K22" i="7" s="1"/>
  <c r="C15" i="7"/>
  <c r="L16" i="7"/>
  <c r="L22" i="7" s="1"/>
  <c r="N16" i="7"/>
  <c r="N22" i="7" s="1"/>
  <c r="N25" i="7" s="1"/>
  <c r="C16" i="7"/>
  <c r="C22" i="7" s="1"/>
  <c r="N10" i="7"/>
  <c r="L17" i="7"/>
  <c r="L23" i="7" s="1"/>
  <c r="N17" i="7"/>
  <c r="N23" i="7" s="1"/>
  <c r="C8" i="7"/>
  <c r="D17" i="7"/>
  <c r="D23" i="7" s="1"/>
  <c r="E17" i="7"/>
  <c r="E23" i="7" s="1"/>
  <c r="F17" i="7"/>
  <c r="F23" i="7" s="1"/>
  <c r="C17" i="7"/>
  <c r="G17" i="7"/>
  <c r="G23" i="7" s="1"/>
  <c r="H17" i="7"/>
  <c r="H23" i="7" s="1"/>
  <c r="I17" i="7"/>
  <c r="I23" i="7" s="1"/>
  <c r="J17" i="7"/>
  <c r="J23" i="7" s="1"/>
  <c r="K17" i="7"/>
  <c r="K23" i="7" s="1"/>
  <c r="L10" i="7"/>
  <c r="M10" i="7"/>
  <c r="C10" i="7"/>
  <c r="D10" i="7"/>
  <c r="E10" i="7"/>
  <c r="F10" i="7"/>
  <c r="G10" i="7"/>
  <c r="H10" i="7"/>
  <c r="I10" i="7"/>
  <c r="J10" i="7"/>
  <c r="K10" i="7"/>
  <c r="J9" i="7"/>
  <c r="K9" i="7"/>
  <c r="L9" i="7"/>
  <c r="M9" i="7"/>
  <c r="N9" i="7"/>
  <c r="C9" i="7"/>
  <c r="D9" i="7"/>
  <c r="E9" i="7"/>
  <c r="F9" i="7"/>
  <c r="G9" i="7"/>
  <c r="H9" i="7"/>
  <c r="H33" i="18" l="1"/>
  <c r="H36" i="18"/>
  <c r="H37" i="18"/>
  <c r="H38" i="18"/>
  <c r="H39" i="18"/>
  <c r="H40" i="18"/>
  <c r="H41" i="18"/>
  <c r="D27" i="18"/>
  <c r="E27" i="18" s="1"/>
  <c r="F16" i="14" s="1"/>
  <c r="J12" i="18"/>
  <c r="K12" i="18" s="1"/>
  <c r="J13" i="18"/>
  <c r="K13" i="18" s="1"/>
  <c r="J14" i="18"/>
  <c r="K14" i="18" s="1"/>
  <c r="J15" i="18"/>
  <c r="K15" i="18" s="1"/>
  <c r="J16" i="18"/>
  <c r="K16" i="18" s="1"/>
  <c r="H32" i="18"/>
  <c r="H43" i="18" s="1"/>
  <c r="K15" i="14" s="1"/>
  <c r="J10" i="18"/>
  <c r="K10" i="18" s="1"/>
  <c r="J5" i="18"/>
  <c r="K5" i="18" s="1"/>
  <c r="H26" i="18"/>
  <c r="J26" i="18" s="1"/>
  <c r="G16" i="14" s="1"/>
  <c r="M24" i="7"/>
  <c r="E22" i="18"/>
  <c r="B16" i="14" s="1"/>
  <c r="J8" i="18"/>
  <c r="K8" i="18" s="1"/>
  <c r="J6" i="18"/>
  <c r="K6" i="18" s="1"/>
  <c r="J7" i="18"/>
  <c r="K7" i="18" s="1"/>
  <c r="J11" i="18"/>
  <c r="K11" i="18" s="1"/>
  <c r="L24" i="7"/>
  <c r="M25" i="7"/>
  <c r="N24" i="7"/>
  <c r="L25" i="7"/>
  <c r="K24" i="7"/>
  <c r="K25" i="7"/>
  <c r="I24" i="7"/>
  <c r="I25" i="7"/>
  <c r="H24" i="7"/>
  <c r="H25" i="7"/>
  <c r="G24" i="7"/>
  <c r="G25" i="7"/>
  <c r="C18" i="7"/>
  <c r="D15" i="7" s="1"/>
  <c r="D18" i="7" s="1"/>
  <c r="E15" i="7" s="1"/>
  <c r="E18" i="7" s="1"/>
  <c r="F15" i="7" s="1"/>
  <c r="F18" i="7" s="1"/>
  <c r="G15" i="7" s="1"/>
  <c r="G18" i="7" s="1"/>
  <c r="H15" i="7" s="1"/>
  <c r="H18" i="7" s="1"/>
  <c r="I15" i="7" s="1"/>
  <c r="I18" i="7" s="1"/>
  <c r="J15" i="7" s="1"/>
  <c r="J18" i="7" s="1"/>
  <c r="K15" i="7" s="1"/>
  <c r="K18" i="7" s="1"/>
  <c r="L15" i="7" s="1"/>
  <c r="L18" i="7" s="1"/>
  <c r="M15" i="7" s="1"/>
  <c r="M18" i="7" s="1"/>
  <c r="N15" i="7" s="1"/>
  <c r="N18" i="7" s="1"/>
  <c r="C23" i="7"/>
  <c r="F25" i="7"/>
  <c r="F24" i="7"/>
  <c r="J24" i="7"/>
  <c r="J25" i="7"/>
  <c r="E24" i="7"/>
  <c r="E25" i="7"/>
  <c r="D25" i="7"/>
  <c r="D24" i="7"/>
  <c r="C11" i="7"/>
  <c r="D8" i="7" s="1"/>
  <c r="D11" i="7" s="1"/>
  <c r="E8" i="7" s="1"/>
  <c r="E11" i="7" s="1"/>
  <c r="F8" i="7" s="1"/>
  <c r="F11" i="7" s="1"/>
  <c r="G8" i="7" s="1"/>
  <c r="K8" i="14" l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C24" i="7"/>
  <c r="C25" i="7"/>
  <c r="G11" i="7"/>
  <c r="H8" i="7" s="1"/>
  <c r="H11" i="7" l="1"/>
  <c r="I8" i="7" s="1"/>
  <c r="I11" i="7" l="1"/>
  <c r="J8" i="7" s="1"/>
  <c r="J11" i="7" l="1"/>
  <c r="K8" i="7" s="1"/>
  <c r="K11" i="7" l="1"/>
  <c r="L8" i="7" s="1"/>
  <c r="L11" i="7" l="1"/>
  <c r="M8" i="7" s="1"/>
  <c r="M11" i="7" l="1"/>
  <c r="N8" i="7" s="1"/>
  <c r="N11" i="7" s="1"/>
</calcChain>
</file>

<file path=xl/sharedStrings.xml><?xml version="1.0" encoding="utf-8"?>
<sst xmlns="http://schemas.openxmlformats.org/spreadsheetml/2006/main" count="1797" uniqueCount="616">
  <si>
    <t>FLUXO DE CAIXA EMPRESARIAL</t>
  </si>
  <si>
    <t>PROJETO KEVIN</t>
  </si>
  <si>
    <t>Empresa</t>
  </si>
  <si>
    <t>Lojas Kevin LTDA.</t>
  </si>
  <si>
    <t>Responsável</t>
  </si>
  <si>
    <t>TITULO</t>
  </si>
  <si>
    <t>PLANO DE CONTAS DE ENTRADA - NÍVEL 2</t>
  </si>
  <si>
    <t>PLANO DE CONTAS DE ENTRADA - NIVEL 1</t>
  </si>
  <si>
    <t>PLANO DE CONTAS DE SAÍDA - NÍVEL 1</t>
  </si>
  <si>
    <t>PLANO DE CONTAS DE SAÍDA - NÍVEL 2</t>
  </si>
  <si>
    <t>REGISTRO DE ENTRADAS DE CAIXA</t>
  </si>
  <si>
    <t>FLUXO DE CAIXA E RESULTADO MENSAL RESUMO DE CAIXA E DE COMPETÊNCIAS</t>
  </si>
  <si>
    <t>DETALHAMENTO DE RECEITA</t>
  </si>
  <si>
    <t>DETALHAMENTO DE DESPESAS</t>
  </si>
  <si>
    <t>CONTAS A PAGAR</t>
  </si>
  <si>
    <t>CONTAS A RECEBER</t>
  </si>
  <si>
    <t>CONTAS A RECEBER VENCIDAS</t>
  </si>
  <si>
    <t>DASHBOARD FINANCEIRO - POSIÇÃO ATUAL</t>
  </si>
  <si>
    <t>PLANO DE CONTAS DE ENTRADA NÍVEL 1</t>
  </si>
  <si>
    <t>Nível 1</t>
  </si>
  <si>
    <t>Vendas de mercadorias</t>
  </si>
  <si>
    <t xml:space="preserve">PLANO DE CONTAS DE ENTRADA NÍVEL 2 </t>
  </si>
  <si>
    <t>Nível 2</t>
  </si>
  <si>
    <t>Som e imagem</t>
  </si>
  <si>
    <t>PLANO DE CONTAS DE SAIDAS NÍVEL 1</t>
  </si>
  <si>
    <t>NÍVEL 1</t>
  </si>
  <si>
    <t>Impostos sobre as vendas</t>
  </si>
  <si>
    <t>PLANO DE CONTAS DE SAÍDAS NÍVEL 2</t>
  </si>
  <si>
    <t>IR sobre o lucro presumido</t>
  </si>
  <si>
    <t>DATA DO CAIXA REALIZADO</t>
  </si>
  <si>
    <t>DATA DA COMPETENCIA</t>
  </si>
  <si>
    <t>DATA DO CAIXA PREVISTA</t>
  </si>
  <si>
    <t>CONTA NÍVEL 1</t>
  </si>
  <si>
    <t>CONTA NÍVEL 2</t>
  </si>
  <si>
    <t>HISTÓRICO</t>
  </si>
  <si>
    <t>VALOR</t>
  </si>
  <si>
    <t>Móveis</t>
  </si>
  <si>
    <t>Informática</t>
  </si>
  <si>
    <t>Livros</t>
  </si>
  <si>
    <t>Venda de ativos</t>
  </si>
  <si>
    <t>Receitas Financeiras</t>
  </si>
  <si>
    <t>Financiamentos de longo prazo</t>
  </si>
  <si>
    <t>Empréstimos de curto prazo</t>
  </si>
  <si>
    <t>Empréstimos capital de giro</t>
  </si>
  <si>
    <t>Juros sobre aplicações</t>
  </si>
  <si>
    <t>Mobiliário próprio</t>
  </si>
  <si>
    <t>Eletrodomésticos</t>
  </si>
  <si>
    <t>Compra de mercadorias</t>
  </si>
  <si>
    <t>Despesas administrativas</t>
  </si>
  <si>
    <t>Despesas comerciais</t>
  </si>
  <si>
    <t>Despesas financeiras</t>
  </si>
  <si>
    <t>Imposto de renda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</si>
  <si>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</si>
  <si>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</si>
  <si>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</si>
  <si>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</si>
  <si>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</si>
  <si>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</si>
  <si>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</si>
  <si>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</si>
  <si>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</si>
  <si>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</si>
  <si>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</si>
  <si>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</si>
  <si>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</si>
  <si>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</si>
  <si>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</si>
  <si>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</si>
  <si>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</si>
  <si>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</si>
  <si>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</si>
  <si>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</si>
  <si>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</si>
  <si>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</si>
  <si>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</si>
  <si>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</si>
  <si>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</si>
  <si>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</si>
  <si>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</si>
  <si>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</si>
  <si>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</si>
  <si>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</si>
  <si>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</si>
  <si>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</si>
  <si>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</si>
  <si>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</si>
  <si>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</si>
  <si>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</si>
  <si>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</si>
  <si>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</si>
  <si>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</si>
  <si>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</si>
  <si>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</si>
  <si>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</si>
  <si>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</si>
  <si>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</si>
  <si>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</si>
  <si>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</si>
  <si>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</si>
  <si>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</si>
  <si>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</si>
  <si>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</si>
  <si>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</si>
  <si>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</si>
  <si>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</si>
  <si>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</si>
  <si>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</si>
  <si>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</si>
  <si>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</si>
  <si>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</si>
  <si>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</si>
  <si>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</si>
  <si>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</si>
  <si>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</si>
  <si>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</si>
  <si>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</si>
  <si>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</si>
  <si>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</si>
  <si>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</si>
  <si>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</si>
  <si>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</si>
  <si>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</si>
  <si>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</si>
  <si>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</si>
  <si>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</si>
  <si>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</si>
  <si>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</si>
  <si>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</si>
  <si>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</si>
  <si>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</si>
  <si>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</si>
  <si>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</si>
  <si>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</si>
  <si>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</si>
  <si>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</si>
  <si>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</si>
  <si>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</si>
  <si>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</si>
  <si>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</si>
  <si>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</si>
  <si>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</si>
  <si>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</si>
  <si>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</si>
  <si>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</si>
  <si>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</si>
  <si>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</si>
  <si>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</si>
  <si>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</si>
  <si>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</si>
  <si>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</si>
  <si>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</si>
  <si>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</si>
  <si>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</si>
  <si>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</si>
  <si>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</si>
  <si>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</si>
  <si>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</si>
  <si>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</si>
  <si>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</si>
  <si>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</si>
  <si>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</si>
  <si>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</si>
  <si>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</si>
  <si>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</si>
  <si>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</si>
  <si>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</si>
  <si>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</si>
  <si>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</si>
  <si>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</si>
  <si>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</si>
  <si>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</si>
  <si>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</si>
  <si>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</si>
  <si>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</si>
  <si>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</si>
  <si>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</si>
  <si>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</si>
  <si>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</si>
  <si>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</si>
  <si>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</si>
  <si>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</si>
  <si>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</si>
  <si>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</si>
  <si>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</si>
  <si>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</si>
  <si>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</si>
  <si>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</si>
  <si>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</si>
  <si>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</si>
  <si>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</si>
  <si>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</si>
  <si>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</si>
  <si>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</si>
  <si>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</si>
  <si>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</si>
  <si>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</si>
  <si>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</si>
  <si>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</si>
  <si>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</si>
  <si>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</si>
  <si>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</si>
  <si>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</si>
  <si>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</si>
  <si>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</si>
  <si>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</si>
  <si>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</si>
  <si>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</si>
  <si>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</si>
  <si>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</si>
  <si>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</si>
  <si>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</si>
  <si>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</si>
  <si>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</si>
  <si>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</si>
  <si>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</si>
  <si>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</si>
  <si>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</si>
  <si>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</si>
  <si>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</si>
  <si>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</si>
  <si>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</si>
  <si>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</si>
  <si>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</si>
  <si>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</si>
  <si>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</si>
  <si>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</si>
  <si>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</si>
  <si>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</si>
  <si>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</si>
  <si>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</si>
  <si>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</si>
  <si>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</si>
  <si>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</si>
  <si>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</si>
  <si>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</si>
  <si>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</si>
  <si>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</si>
  <si>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</si>
  <si>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</si>
  <si>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</si>
  <si>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</si>
  <si>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</si>
  <si>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</si>
  <si>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</si>
  <si>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</si>
  <si>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</si>
  <si>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</si>
  <si>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</si>
  <si>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</si>
  <si>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</si>
  <si>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</si>
  <si>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</si>
  <si>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</si>
  <si>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</si>
  <si>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</si>
  <si>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</si>
  <si>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</si>
  <si>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</si>
  <si>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</si>
  <si>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</si>
  <si>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</si>
  <si>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</si>
  <si>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</si>
  <si>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</si>
  <si>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</si>
  <si>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</si>
  <si>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</si>
  <si>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</si>
  <si>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</si>
  <si>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</si>
  <si>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</si>
  <si>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</si>
  <si>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</si>
  <si>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</si>
  <si>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</si>
  <si>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</si>
  <si>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</si>
  <si>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</si>
  <si>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</si>
  <si>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</si>
  <si>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</si>
  <si>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</si>
  <si>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</si>
  <si>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</si>
  <si>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</si>
  <si>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</si>
  <si>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</si>
  <si>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</si>
  <si>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</si>
  <si>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</si>
  <si>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</si>
  <si>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</si>
  <si>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</si>
  <si>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</si>
  <si>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</si>
  <si>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</si>
  <si>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</si>
  <si>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</si>
  <si>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</si>
  <si>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</si>
  <si>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</si>
  <si>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</si>
  <si>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</si>
  <si>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</si>
  <si>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</si>
  <si>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</si>
  <si>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</si>
  <si>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</si>
  <si>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</si>
  <si>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</si>
  <si>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</si>
  <si>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</si>
  <si>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</si>
  <si>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</si>
  <si>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</si>
  <si>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</si>
  <si>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</si>
  <si>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</si>
  <si>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</si>
  <si>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</si>
  <si>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</si>
  <si>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</si>
  <si>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</si>
  <si>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</si>
  <si>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</si>
  <si>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</si>
  <si>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</si>
  <si>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</si>
  <si>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</si>
  <si>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</si>
  <si>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</si>
  <si>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</si>
  <si>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</si>
  <si>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</si>
  <si>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</si>
  <si>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</si>
  <si>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</si>
  <si>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</si>
  <si>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</si>
  <si>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</si>
  <si>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</si>
  <si>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</si>
  <si>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</si>
  <si>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</si>
  <si>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</si>
  <si>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</si>
  <si>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</si>
  <si>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</si>
  <si>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</si>
  <si>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</si>
  <si>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</si>
  <si>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</si>
  <si>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</si>
  <si>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</si>
  <si>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</si>
  <si>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</si>
  <si>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</si>
  <si>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</si>
  <si>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</si>
  <si>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</si>
  <si>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</si>
  <si>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</si>
  <si>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</si>
  <si>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</si>
  <si>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</si>
  <si>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</si>
  <si>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</si>
  <si>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</si>
  <si>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</si>
  <si>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</si>
  <si>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</si>
  <si>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</si>
  <si>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</si>
  <si>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</si>
  <si>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</si>
  <si>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</si>
  <si>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</si>
  <si>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</si>
  <si>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</si>
  <si>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</si>
  <si>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</si>
  <si>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</si>
  <si>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</si>
  <si>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</si>
  <si>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</si>
  <si>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</si>
  <si>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</si>
  <si>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</si>
  <si>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</si>
  <si>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</si>
  <si>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</si>
  <si>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</si>
  <si>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</si>
  <si>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</si>
  <si>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</si>
  <si>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</si>
  <si>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</si>
  <si>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</si>
  <si>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</si>
  <si>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</si>
  <si>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</si>
  <si>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</si>
  <si>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</si>
  <si>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</si>
  <si>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</si>
  <si>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</si>
  <si>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</si>
  <si>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</si>
  <si>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</si>
  <si>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</si>
  <si>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</si>
  <si>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</si>
  <si>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</si>
  <si>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</si>
  <si>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</si>
  <si>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</si>
  <si>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</si>
  <si>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</si>
  <si>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</si>
  <si>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</si>
  <si>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</si>
  <si>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</si>
  <si>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</si>
  <si>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</si>
  <si>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</si>
  <si>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</si>
  <si>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</si>
  <si>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</si>
  <si>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</si>
  <si>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</si>
  <si>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</si>
  <si>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</si>
  <si>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</si>
  <si>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</si>
  <si>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</si>
  <si>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</si>
  <si>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</si>
  <si>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</si>
  <si>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</si>
  <si>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</si>
  <si>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</si>
  <si>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</si>
  <si>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</si>
  <si>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</si>
  <si>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</si>
  <si>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</si>
  <si>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</si>
  <si>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</si>
  <si>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</si>
  <si>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</si>
  <si>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</si>
  <si>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</si>
  <si>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</si>
  <si>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</si>
  <si>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</si>
  <si>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</si>
  <si>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</si>
  <si>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</si>
  <si>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</si>
  <si>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</si>
  <si>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</si>
  <si>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</si>
  <si>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</si>
  <si>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</si>
  <si>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</si>
  <si>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</si>
  <si>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</si>
  <si>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</si>
  <si>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</si>
  <si>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</si>
  <si>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</si>
  <si>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</si>
  <si>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</si>
  <si>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</si>
  <si>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</si>
  <si>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</si>
  <si>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</si>
  <si>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</si>
  <si>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</si>
  <si>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</si>
  <si>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</si>
  <si>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</si>
  <si>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</si>
  <si>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</si>
  <si>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</si>
  <si>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</si>
  <si>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</si>
  <si>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</si>
  <si>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</si>
  <si>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</si>
  <si>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</si>
  <si>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</si>
  <si>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</si>
  <si>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</si>
  <si>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</si>
  <si>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</si>
  <si>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</si>
  <si>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</si>
  <si>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</si>
  <si>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</si>
  <si>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</si>
  <si>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</si>
  <si>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</si>
  <si>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</si>
  <si>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</si>
  <si>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</si>
  <si>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</si>
  <si>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</si>
  <si>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</si>
  <si>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</si>
  <si>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Kevin Santos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</si>
  <si>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</si>
  <si>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</si>
  <si>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</si>
  <si>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</si>
  <si>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</si>
  <si>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</si>
  <si>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</si>
  <si>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</si>
  <si>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</si>
  <si>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</si>
  <si>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</si>
  <si>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</si>
  <si>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</si>
  <si>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</si>
  <si>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</si>
  <si>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</si>
  <si>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</si>
  <si>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</si>
  <si>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</si>
  <si>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COMPEPTÊNCIA (CONTÁBIL)</t>
  </si>
  <si>
    <t>RESULTADO MENSAL - REGIME DE COMPEPTÊNCIA (CONTÁBIL)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</si>
  <si>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</si>
  <si>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</si>
  <si>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</si>
  <si>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</si>
  <si>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</si>
  <si>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</si>
  <si>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</si>
  <si>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COMPETENCIA</t>
  </si>
  <si>
    <t>ANO COMPETENCIA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</si>
  <si>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</si>
  <si>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</si>
  <si>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</si>
  <si>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</si>
  <si>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</si>
  <si>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</si>
  <si>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</t>
  </si>
  <si>
    <t>MÊS PREVISTO</t>
  </si>
  <si>
    <t>ANO PREVISTO</t>
  </si>
  <si>
    <t>0 Total</t>
  </si>
  <si>
    <t>CONTA VENCIDA</t>
  </si>
  <si>
    <t>Vencida</t>
  </si>
  <si>
    <t>Vencida Total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</si>
  <si>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</si>
  <si>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</si>
  <si>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</si>
  <si>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</si>
  <si>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</si>
  <si>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</si>
  <si>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</si>
  <si>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</si>
  <si>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</si>
  <si>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</si>
  <si>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</si>
  <si>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</si>
  <si>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</si>
  <si>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</si>
  <si>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</si>
  <si>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</si>
  <si>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</si>
  <si>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</si>
  <si>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</si>
  <si>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</si>
  <si>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</si>
  <si>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</si>
  <si>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</si>
  <si>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</si>
  <si>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</si>
  <si>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</si>
  <si>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</si>
  <si>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</si>
  <si>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</si>
  <si>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</si>
  <si>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</si>
  <si>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</si>
  <si>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</si>
  <si>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</si>
  <si>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</si>
  <si>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</si>
  <si>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</si>
  <si>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</si>
  <si>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</si>
  <si>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</si>
  <si>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</si>
  <si>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</si>
  <si>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</si>
  <si>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</si>
  <si>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</si>
  <si>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</si>
  <si>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</si>
  <si>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</si>
  <si>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</si>
  <si>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</si>
  <si>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Resultado</t>
  </si>
  <si>
    <t>Saldo inicial</t>
  </si>
  <si>
    <r>
      <t xml:space="preserve">  </t>
    </r>
    <r>
      <rPr>
        <b/>
        <sz val="11"/>
        <color theme="2" tint="-0.749992370372631"/>
        <rFont val="Calibri"/>
        <family val="2"/>
        <scheme val="minor"/>
      </rPr>
      <t xml:space="preserve"> J     F    M     A     M     J      J      A      S     O    N     D</t>
    </r>
  </si>
  <si>
    <t>VENDA A VISTA</t>
  </si>
  <si>
    <t>DATA DO CAIXA PREVISTA INT</t>
  </si>
  <si>
    <t>DIAS DE ATRASO</t>
  </si>
  <si>
    <t>ANO</t>
  </si>
  <si>
    <t>DASHBOARD FINANCEIRO - POSIÇÃO ANUAL</t>
  </si>
  <si>
    <t>DASHBOARD ATUAL (NO ANO DADO ATÉ "HOJE")</t>
  </si>
  <si>
    <t>HOJE:</t>
  </si>
  <si>
    <t>Saldo Inicial</t>
  </si>
  <si>
    <t xml:space="preserve">  J   F  M   A   M   J    J    A   S   O   N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</si>
</sst>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_ ;[Red]\-0.0\ "/>
    <numFmt numFmtId="165" formatCode="#,##0.00_ ;\-#,##0.00\ "/>
    <numFmt numFmtId="166" formatCode="&quot;R$&quot;\ #,##0"/>
    <numFmt numFmtId="167" formatCode="&quot;R$&quot;\ #,##0.00"/>
  </numFmts>
  <fonts count="51" x14ac:knownFonts="1">
    <font>
      <sz val="11"/>
      <color theme="1"/>
      <name val="Calibri"/>
      <family val="2"/>
      <scheme val="minor"/>
    </font>
    <font>
      <b/>
      <sz val="20"/>
      <color theme="7" tint="0.79998168889431442"/>
      <name val="Arial"/>
      <family val="2"/>
    </font>
    <font>
      <b/>
      <sz val="16"/>
      <color theme="7" tint="0.79998168889431442"/>
      <name val="Arial"/>
      <family val="2"/>
    </font>
    <font>
      <sz val="11"/>
      <color theme="4" tint="-0.499984740745262"/>
      <name val="Calibri"/>
      <family val="2"/>
      <scheme val="minor"/>
    </font>
    <font>
      <b/>
      <sz val="14"/>
      <color theme="7" tint="0.79998168889431442"/>
      <name val="Arial"/>
      <family val="2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.5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sz val="11"/>
      <color rgb="FF000000"/>
      <name val="Calibri"/>
      <family val="2"/>
    </font>
    <font>
      <b/>
      <sz val="11"/>
      <color theme="2" tint="-0.749992370372631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11"/>
      <color rgb="FF757171"/>
      <name val="Calibri"/>
      <family val="2"/>
    </font>
    <font>
      <b/>
      <sz val="10.5"/>
      <color rgb="FF757171"/>
      <name val="Calibri"/>
      <family val="2"/>
    </font>
    <font>
      <b/>
      <i/>
      <sz val="11"/>
      <color rgb="FF000000"/>
      <name val="Calibri"/>
      <family val="2"/>
    </font>
    <font>
      <b/>
      <sz val="20"/>
      <color rgb="FF5B9BD5"/>
      <name val="Calibri"/>
      <family val="2"/>
    </font>
    <font>
      <sz val="11"/>
      <color rgb="FF3A3838"/>
      <name val="Calibri"/>
      <family val="2"/>
    </font>
    <font>
      <b/>
      <sz val="14"/>
      <color rgb="FF757171"/>
      <name val="Calibri"/>
      <family val="2"/>
    </font>
    <font>
      <b/>
      <sz val="20"/>
      <color rgb="FFFF0000"/>
      <name val="Calibri"/>
      <family val="2"/>
    </font>
    <font>
      <b/>
      <sz val="20"/>
      <color rgb="FF548235"/>
      <name val="Calibri"/>
      <family val="2"/>
    </font>
    <font>
      <b/>
      <sz val="20"/>
      <color rgb="FF00B050"/>
      <name val="Calibri"/>
      <family val="2"/>
    </font>
    <font>
      <b/>
      <sz val="14"/>
      <color rgb="FF5B9BD5"/>
      <name val="Calibri"/>
      <family val="2"/>
    </font>
    <font>
      <b/>
      <sz val="28"/>
      <color rgb="FFFF0000"/>
      <name val="Calibri"/>
      <family val="2"/>
    </font>
    <font>
      <b/>
      <sz val="28"/>
      <color rgb="FF548235"/>
      <name val="Calibri"/>
      <family val="2"/>
    </font>
    <font>
      <b/>
      <sz val="14"/>
      <color rgb="FFBF8F00"/>
      <name val="Calibri"/>
      <family val="2"/>
    </font>
    <font>
      <b/>
      <sz val="20"/>
      <color rgb="FF203764"/>
      <name val="Calibri"/>
      <family val="2"/>
    </font>
    <font>
      <b/>
      <sz val="14"/>
      <color rgb="FFC65911"/>
      <name val="Calibri"/>
      <family val="2"/>
    </font>
    <font>
      <b/>
      <sz val="26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3" tint="0.39994506668294322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2F2F2"/>
        <bgColor rgb="FF000000"/>
      </patternFill>
    </fill>
  </fills>
  <borders count="5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/>
      <diagonal/>
    </border>
    <border>
      <left/>
      <right style="thin">
        <color theme="3" tint="0.39988402966399123"/>
      </right>
      <top/>
      <bottom style="thin">
        <color theme="3" tint="0.39994506668294322"/>
      </bottom>
      <diagonal/>
    </border>
    <border>
      <left/>
      <right style="thin">
        <color theme="3" tint="0.39988402966399123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/>
      <top style="thin">
        <color rgb="FF8497B0"/>
      </top>
      <bottom/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/>
      <right/>
      <top/>
      <bottom style="thin">
        <color rgb="FF8497B0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3" fillId="0" borderId="0" xfId="0" applyFont="1"/>
    <xf numFmtId="0" fontId="5" fillId="4" borderId="6" xfId="0" applyFont="1" applyFill="1" applyBorder="1"/>
    <xf numFmtId="0" fontId="5" fillId="4" borderId="7" xfId="0" applyFont="1" applyFill="1" applyBorder="1"/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5" fillId="4" borderId="3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3" borderId="0" xfId="0" applyNumberFormat="1" applyFill="1"/>
    <xf numFmtId="44" fontId="0" fillId="3" borderId="0" xfId="0" applyNumberFormat="1" applyFill="1"/>
    <xf numFmtId="44" fontId="0" fillId="0" borderId="0" xfId="0" applyNumberFormat="1"/>
    <xf numFmtId="1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4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16" xfId="0" applyNumberFormat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4" fontId="0" fillId="0" borderId="19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11" fillId="3" borderId="11" xfId="0" applyNumberFormat="1" applyFont="1" applyFill="1" applyBorder="1" applyAlignment="1">
      <alignment vertical="center"/>
    </xf>
    <xf numFmtId="164" fontId="11" fillId="3" borderId="16" xfId="0" applyNumberFormat="1" applyFont="1" applyFill="1" applyBorder="1" applyAlignment="1">
      <alignment vertical="center"/>
    </xf>
    <xf numFmtId="164" fontId="11" fillId="3" borderId="22" xfId="0" applyNumberFormat="1" applyFont="1" applyFill="1" applyBorder="1" applyAlignment="1">
      <alignment vertical="center"/>
    </xf>
    <xf numFmtId="164" fontId="11" fillId="3" borderId="21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2" fontId="0" fillId="0" borderId="0" xfId="0" applyNumberFormat="1"/>
    <xf numFmtId="165" fontId="0" fillId="0" borderId="0" xfId="0" applyNumberFormat="1"/>
    <xf numFmtId="14" fontId="12" fillId="3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6" fillId="0" borderId="3" xfId="0" quotePrefix="1" applyFont="1" applyBorder="1"/>
    <xf numFmtId="0" fontId="0" fillId="0" borderId="25" xfId="0" applyBorder="1"/>
    <xf numFmtId="0" fontId="13" fillId="0" borderId="0" xfId="0" applyFont="1" applyAlignment="1">
      <alignment vertical="center"/>
    </xf>
    <xf numFmtId="0" fontId="17" fillId="0" borderId="14" xfId="0" applyFont="1" applyBorder="1" applyAlignment="1">
      <alignment vertical="center" wrapText="1"/>
    </xf>
    <xf numFmtId="6" fontId="17" fillId="0" borderId="14" xfId="0" applyNumberFormat="1" applyFont="1" applyBorder="1" applyAlignment="1">
      <alignment horizontal="center" vertical="center"/>
    </xf>
    <xf numFmtId="6" fontId="19" fillId="0" borderId="14" xfId="0" applyNumberFormat="1" applyFont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vertical="center"/>
    </xf>
    <xf numFmtId="6" fontId="19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6" fontId="21" fillId="0" borderId="30" xfId="0" applyNumberFormat="1" applyFont="1" applyBorder="1" applyAlignment="1">
      <alignment horizontal="center" vertical="center"/>
    </xf>
    <xf numFmtId="3" fontId="22" fillId="0" borderId="13" xfId="0" applyNumberFormat="1" applyFont="1" applyBorder="1" applyAlignment="1">
      <alignment vertical="center"/>
    </xf>
    <xf numFmtId="3" fontId="23" fillId="0" borderId="14" xfId="0" applyNumberFormat="1" applyFont="1" applyBorder="1" applyAlignment="1">
      <alignment vertical="center"/>
    </xf>
    <xf numFmtId="0" fontId="0" fillId="0" borderId="30" xfId="0" applyBorder="1" applyAlignment="1">
      <alignment vertical="center"/>
    </xf>
    <xf numFmtId="166" fontId="24" fillId="0" borderId="31" xfId="0" applyNumberFormat="1" applyFont="1" applyBorder="1" applyAlignment="1">
      <alignment horizontal="center" vertical="center"/>
    </xf>
    <xf numFmtId="167" fontId="25" fillId="0" borderId="13" xfId="0" applyNumberFormat="1" applyFont="1" applyBorder="1" applyAlignment="1">
      <alignment vertical="center"/>
    </xf>
    <xf numFmtId="3" fontId="18" fillId="0" borderId="13" xfId="0" applyNumberFormat="1" applyFont="1" applyBorder="1" applyAlignment="1">
      <alignment horizontal="center" vertical="center"/>
    </xf>
    <xf numFmtId="3" fontId="19" fillId="0" borderId="14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22" fillId="0" borderId="13" xfId="0" applyFont="1" applyBorder="1" applyAlignment="1">
      <alignment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167" fontId="25" fillId="0" borderId="15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4" fillId="3" borderId="31" xfId="0" applyFont="1" applyFill="1" applyBorder="1" applyAlignment="1" applyProtection="1">
      <alignment horizontal="center" vertical="center"/>
      <protection locked="0"/>
    </xf>
    <xf numFmtId="0" fontId="14" fillId="3" borderId="19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29" fillId="0" borderId="35" xfId="0" applyFont="1" applyBorder="1" applyAlignment="1">
      <alignment vertical="center"/>
    </xf>
    <xf numFmtId="0" fontId="29" fillId="0" borderId="36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28" fillId="0" borderId="0" xfId="0" applyFont="1"/>
    <xf numFmtId="0" fontId="32" fillId="0" borderId="0" xfId="0" applyFont="1" applyAlignment="1">
      <alignment horizontal="right" vertical="center"/>
    </xf>
    <xf numFmtId="0" fontId="29" fillId="8" borderId="0" xfId="0" applyFont="1" applyFill="1" applyAlignment="1">
      <alignment vertical="center"/>
    </xf>
    <xf numFmtId="0" fontId="32" fillId="9" borderId="0" xfId="0" applyFont="1" applyFill="1" applyAlignment="1">
      <alignment vertical="center"/>
    </xf>
    <xf numFmtId="0" fontId="32" fillId="0" borderId="34" xfId="0" applyFont="1" applyBorder="1" applyAlignment="1">
      <alignment horizontal="right" vertical="center"/>
    </xf>
    <xf numFmtId="0" fontId="32" fillId="0" borderId="34" xfId="0" applyFont="1" applyBorder="1" applyAlignment="1">
      <alignment horizontal="right" vertical="center" wrapText="1"/>
    </xf>
    <xf numFmtId="0" fontId="32" fillId="9" borderId="34" xfId="0" applyFont="1" applyFill="1" applyBorder="1" applyAlignment="1">
      <alignment horizontal="left" vertical="center"/>
    </xf>
    <xf numFmtId="0" fontId="32" fillId="0" borderId="35" xfId="0" applyFont="1" applyBorder="1" applyAlignment="1">
      <alignment vertical="center"/>
    </xf>
    <xf numFmtId="43" fontId="32" fillId="8" borderId="35" xfId="1" applyFont="1" applyFill="1" applyBorder="1" applyAlignment="1">
      <alignment horizontal="right" vertical="center"/>
    </xf>
    <xf numFmtId="0" fontId="32" fillId="0" borderId="35" xfId="0" applyFont="1" applyBorder="1" applyAlignment="1">
      <alignment horizontal="right" vertical="center"/>
    </xf>
    <xf numFmtId="43" fontId="32" fillId="8" borderId="0" xfId="1" applyFont="1" applyFill="1" applyBorder="1" applyAlignment="1">
      <alignment horizontal="right" vertical="center"/>
    </xf>
    <xf numFmtId="43" fontId="32" fillId="8" borderId="35" xfId="1" applyFont="1" applyFill="1" applyBorder="1" applyAlignment="1">
      <alignment vertical="center"/>
    </xf>
    <xf numFmtId="43" fontId="32" fillId="8" borderId="0" xfId="1" applyFont="1" applyFill="1" applyBorder="1" applyAlignment="1">
      <alignment vertical="center"/>
    </xf>
    <xf numFmtId="0" fontId="32" fillId="0" borderId="36" xfId="0" applyFont="1" applyBorder="1" applyAlignment="1">
      <alignment vertical="center"/>
    </xf>
    <xf numFmtId="43" fontId="30" fillId="8" borderId="36" xfId="1" applyFont="1" applyFill="1" applyBorder="1" applyAlignment="1">
      <alignment vertical="center"/>
    </xf>
    <xf numFmtId="43" fontId="32" fillId="8" borderId="36" xfId="1" applyFont="1" applyFill="1" applyBorder="1" applyAlignment="1">
      <alignment vertical="center"/>
    </xf>
    <xf numFmtId="43" fontId="32" fillId="8" borderId="36" xfId="1" applyFont="1" applyFill="1" applyBorder="1" applyAlignment="1">
      <alignment horizontal="right" vertical="center"/>
    </xf>
    <xf numFmtId="0" fontId="32" fillId="0" borderId="36" xfId="0" applyFont="1" applyBorder="1" applyAlignment="1">
      <alignment horizontal="right" vertical="center"/>
    </xf>
    <xf numFmtId="14" fontId="32" fillId="0" borderId="0" xfId="0" applyNumberFormat="1" applyFont="1" applyAlignment="1">
      <alignment vertical="center"/>
    </xf>
    <xf numFmtId="0" fontId="32" fillId="8" borderId="34" xfId="0" applyFont="1" applyFill="1" applyBorder="1" applyAlignment="1">
      <alignment vertical="center"/>
    </xf>
    <xf numFmtId="43" fontId="32" fillId="8" borderId="34" xfId="1" applyFont="1" applyFill="1" applyBorder="1" applyAlignment="1">
      <alignment horizontal="right" vertical="center"/>
    </xf>
    <xf numFmtId="3" fontId="32" fillId="8" borderId="34" xfId="0" applyNumberFormat="1" applyFont="1" applyFill="1" applyBorder="1" applyAlignment="1">
      <alignment vertical="center"/>
    </xf>
    <xf numFmtId="1" fontId="32" fillId="0" borderId="0" xfId="0" applyNumberFormat="1" applyFont="1" applyAlignment="1">
      <alignment vertical="center"/>
    </xf>
    <xf numFmtId="14" fontId="32" fillId="0" borderId="35" xfId="0" applyNumberFormat="1" applyFont="1" applyBorder="1" applyAlignment="1">
      <alignment horizontal="right" vertical="center"/>
    </xf>
    <xf numFmtId="0" fontId="32" fillId="9" borderId="34" xfId="0" applyFont="1" applyFill="1" applyBorder="1" applyAlignment="1">
      <alignment horizontal="right" vertical="center" wrapText="1"/>
    </xf>
    <xf numFmtId="166" fontId="32" fillId="8" borderId="37" xfId="0" applyNumberFormat="1" applyFont="1" applyFill="1" applyBorder="1" applyAlignment="1">
      <alignment horizontal="right" vertical="center"/>
    </xf>
    <xf numFmtId="6" fontId="31" fillId="8" borderId="37" xfId="0" applyNumberFormat="1" applyFont="1" applyFill="1" applyBorder="1" applyAlignment="1">
      <alignment horizontal="right" vertical="center"/>
    </xf>
    <xf numFmtId="166" fontId="32" fillId="8" borderId="34" xfId="0" applyNumberFormat="1" applyFont="1" applyFill="1" applyBorder="1" applyAlignment="1">
      <alignment vertical="center"/>
    </xf>
    <xf numFmtId="167" fontId="15" fillId="0" borderId="3" xfId="2" applyNumberFormat="1" applyFont="1" applyBorder="1" applyAlignment="1" applyProtection="1">
      <alignment horizontal="center" vertical="center"/>
    </xf>
    <xf numFmtId="167" fontId="18" fillId="0" borderId="3" xfId="2" applyNumberFormat="1" applyFont="1" applyBorder="1" applyAlignment="1" applyProtection="1">
      <alignment horizontal="center" vertical="center"/>
    </xf>
    <xf numFmtId="167" fontId="20" fillId="0" borderId="3" xfId="2" applyNumberFormat="1" applyFont="1" applyBorder="1" applyAlignment="1" applyProtection="1">
      <alignment horizontal="center" vertical="center"/>
    </xf>
    <xf numFmtId="43" fontId="32" fillId="8" borderId="38" xfId="1" applyFont="1" applyFill="1" applyBorder="1" applyAlignment="1">
      <alignment horizontal="right" vertical="center"/>
    </xf>
    <xf numFmtId="43" fontId="32" fillId="8" borderId="39" xfId="1" applyFont="1" applyFill="1" applyBorder="1" applyAlignment="1">
      <alignment horizontal="right" vertical="center"/>
    </xf>
    <xf numFmtId="43" fontId="32" fillId="8" borderId="40" xfId="1" applyFont="1" applyFill="1" applyBorder="1" applyAlignment="1">
      <alignment horizontal="right" vertical="center"/>
    </xf>
    <xf numFmtId="43" fontId="32" fillId="8" borderId="41" xfId="1" applyFont="1" applyFill="1" applyBorder="1" applyAlignment="1">
      <alignment horizontal="right" vertical="center"/>
    </xf>
    <xf numFmtId="43" fontId="32" fillId="8" borderId="42" xfId="1" applyFont="1" applyFill="1" applyBorder="1" applyAlignment="1">
      <alignment horizontal="right" vertical="center"/>
    </xf>
    <xf numFmtId="43" fontId="32" fillId="8" borderId="43" xfId="1" applyFont="1" applyFill="1" applyBorder="1" applyAlignment="1">
      <alignment horizontal="right" vertical="center"/>
    </xf>
    <xf numFmtId="43" fontId="19" fillId="0" borderId="14" xfId="0" applyNumberFormat="1" applyFont="1" applyBorder="1" applyAlignment="1">
      <alignment horizontal="center" vertical="center"/>
    </xf>
    <xf numFmtId="14" fontId="0" fillId="2" borderId="0" xfId="0" applyNumberFormat="1" applyFill="1" applyAlignment="1">
      <alignment horizontal="left" vertical="top"/>
    </xf>
    <xf numFmtId="1" fontId="0" fillId="0" borderId="0" xfId="0" applyNumberFormat="1"/>
    <xf numFmtId="1" fontId="0" fillId="2" borderId="0" xfId="0" applyNumberFormat="1" applyFill="1" applyAlignment="1">
      <alignment horizontal="left" vertical="top"/>
    </xf>
    <xf numFmtId="0" fontId="32" fillId="8" borderId="37" xfId="0" applyFont="1" applyFill="1" applyBorder="1" applyAlignment="1">
      <alignment horizontal="right" vertical="center"/>
    </xf>
    <xf numFmtId="14" fontId="32" fillId="9" borderId="0" xfId="0" applyNumberFormat="1" applyFont="1" applyFill="1" applyAlignment="1">
      <alignment vertical="center"/>
    </xf>
    <xf numFmtId="0" fontId="28" fillId="0" borderId="0" xfId="0" applyFont="1" applyAlignment="1">
      <alignment vertical="center"/>
    </xf>
    <xf numFmtId="0" fontId="35" fillId="0" borderId="44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vertical="center"/>
    </xf>
    <xf numFmtId="0" fontId="35" fillId="0" borderId="46" xfId="0" applyFont="1" applyBorder="1" applyAlignment="1">
      <alignment horizontal="left" vertical="center"/>
    </xf>
    <xf numFmtId="0" fontId="37" fillId="10" borderId="47" xfId="0" applyFont="1" applyFill="1" applyBorder="1" applyAlignment="1" applyProtection="1">
      <alignment horizontal="center" vertical="center"/>
      <protection locked="0"/>
    </xf>
    <xf numFmtId="6" fontId="38" fillId="0" borderId="48" xfId="2" applyNumberFormat="1" applyFont="1" applyFill="1" applyBorder="1" applyAlignment="1" applyProtection="1">
      <alignment horizontal="center" vertical="center"/>
    </xf>
    <xf numFmtId="0" fontId="39" fillId="0" borderId="48" xfId="0" quotePrefix="1" applyFont="1" applyBorder="1"/>
    <xf numFmtId="0" fontId="28" fillId="0" borderId="49" xfId="0" applyFont="1" applyBorder="1"/>
    <xf numFmtId="0" fontId="35" fillId="0" borderId="0" xfId="0" applyFont="1" applyAlignment="1">
      <alignment vertical="center"/>
    </xf>
    <xf numFmtId="0" fontId="40" fillId="0" borderId="50" xfId="0" applyFont="1" applyBorder="1" applyAlignment="1">
      <alignment vertical="center" wrapText="1"/>
    </xf>
    <xf numFmtId="6" fontId="40" fillId="0" borderId="50" xfId="0" applyNumberFormat="1" applyFont="1" applyBorder="1" applyAlignment="1">
      <alignment horizontal="center" vertical="center"/>
    </xf>
    <xf numFmtId="6" fontId="41" fillId="0" borderId="48" xfId="2" applyNumberFormat="1" applyFont="1" applyFill="1" applyBorder="1" applyAlignment="1" applyProtection="1">
      <alignment horizontal="center" vertical="center"/>
    </xf>
    <xf numFmtId="6" fontId="42" fillId="0" borderId="50" xfId="0" applyNumberFormat="1" applyFont="1" applyBorder="1" applyAlignment="1">
      <alignment horizontal="center" vertical="center"/>
    </xf>
    <xf numFmtId="6" fontId="42" fillId="0" borderId="50" xfId="0" applyNumberFormat="1" applyFont="1" applyBorder="1" applyAlignment="1">
      <alignment vertical="center"/>
    </xf>
    <xf numFmtId="6" fontId="43" fillId="0" borderId="48" xfId="2" applyNumberFormat="1" applyFont="1" applyFill="1" applyBorder="1" applyAlignment="1" applyProtection="1">
      <alignment horizontal="center" vertical="center"/>
    </xf>
    <xf numFmtId="0" fontId="28" fillId="0" borderId="51" xfId="0" applyFont="1" applyBorder="1"/>
    <xf numFmtId="0" fontId="28" fillId="0" borderId="52" xfId="0" applyFont="1" applyBorder="1"/>
    <xf numFmtId="0" fontId="28" fillId="0" borderId="52" xfId="0" applyFont="1" applyBorder="1" applyAlignment="1">
      <alignment vertical="center"/>
    </xf>
    <xf numFmtId="6" fontId="42" fillId="0" borderId="53" xfId="0" applyNumberFormat="1" applyFont="1" applyBorder="1" applyAlignment="1">
      <alignment vertical="center"/>
    </xf>
    <xf numFmtId="0" fontId="35" fillId="0" borderId="4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8" fillId="0" borderId="50" xfId="0" applyFont="1" applyBorder="1" applyAlignment="1">
      <alignment vertical="center"/>
    </xf>
    <xf numFmtId="0" fontId="35" fillId="0" borderId="50" xfId="0" applyFont="1" applyBorder="1" applyAlignment="1">
      <alignment horizontal="center" vertical="center"/>
    </xf>
    <xf numFmtId="6" fontId="44" fillId="0" borderId="54" xfId="0" applyNumberFormat="1" applyFont="1" applyBorder="1" applyAlignment="1">
      <alignment horizontal="center" vertical="center"/>
    </xf>
    <xf numFmtId="0" fontId="37" fillId="10" borderId="54" xfId="0" applyFont="1" applyFill="1" applyBorder="1" applyAlignment="1" applyProtection="1">
      <alignment horizontal="center" vertical="center"/>
      <protection locked="0"/>
    </xf>
    <xf numFmtId="3" fontId="45" fillId="0" borderId="49" xfId="0" applyNumberFormat="1" applyFont="1" applyBorder="1" applyAlignment="1">
      <alignment vertical="center"/>
    </xf>
    <xf numFmtId="3" fontId="46" fillId="0" borderId="50" xfId="0" applyNumberFormat="1" applyFont="1" applyBorder="1" applyAlignment="1">
      <alignment vertical="center"/>
    </xf>
    <xf numFmtId="0" fontId="28" fillId="0" borderId="54" xfId="0" applyFont="1" applyBorder="1" applyAlignment="1">
      <alignment vertical="center"/>
    </xf>
    <xf numFmtId="166" fontId="47" fillId="0" borderId="54" xfId="0" applyNumberFormat="1" applyFont="1" applyBorder="1" applyAlignment="1">
      <alignment horizontal="center" vertical="center"/>
    </xf>
    <xf numFmtId="167" fontId="48" fillId="0" borderId="49" xfId="0" applyNumberFormat="1" applyFont="1" applyBorder="1" applyAlignment="1">
      <alignment vertical="center"/>
    </xf>
    <xf numFmtId="3" fontId="41" fillId="0" borderId="49" xfId="0" applyNumberFormat="1" applyFont="1" applyBorder="1" applyAlignment="1">
      <alignment horizontal="center" vertical="center"/>
    </xf>
    <xf numFmtId="3" fontId="42" fillId="0" borderId="50" xfId="0" applyNumberFormat="1" applyFont="1" applyBorder="1" applyAlignment="1">
      <alignment horizontal="center" vertical="center"/>
    </xf>
    <xf numFmtId="0" fontId="45" fillId="0" borderId="49" xfId="0" applyFont="1" applyBorder="1" applyAlignment="1">
      <alignment vertical="center"/>
    </xf>
    <xf numFmtId="0" fontId="49" fillId="0" borderId="49" xfId="0" applyFont="1" applyBorder="1" applyAlignment="1">
      <alignment horizontal="center" vertical="center"/>
    </xf>
    <xf numFmtId="0" fontId="49" fillId="0" borderId="50" xfId="0" applyFont="1" applyBorder="1" applyAlignment="1">
      <alignment horizontal="center" vertical="center"/>
    </xf>
    <xf numFmtId="167" fontId="48" fillId="0" borderId="51" xfId="0" applyNumberFormat="1" applyFont="1" applyBorder="1" applyAlignment="1">
      <alignment vertical="center"/>
    </xf>
    <xf numFmtId="0" fontId="28" fillId="0" borderId="53" xfId="0" applyFont="1" applyBorder="1" applyAlignment="1">
      <alignment vertical="center"/>
    </xf>
    <xf numFmtId="0" fontId="49" fillId="0" borderId="51" xfId="0" applyFont="1" applyBorder="1" applyAlignment="1">
      <alignment vertical="center"/>
    </xf>
    <xf numFmtId="0" fontId="49" fillId="0" borderId="53" xfId="0" applyFont="1" applyBorder="1" applyAlignment="1">
      <alignment vertical="center"/>
    </xf>
    <xf numFmtId="0" fontId="28" fillId="0" borderId="48" xfId="0" applyFont="1" applyBorder="1" applyAlignment="1">
      <alignment vertical="center"/>
    </xf>
    <xf numFmtId="0" fontId="28" fillId="8" borderId="0" xfId="0" applyFont="1" applyFill="1" applyAlignment="1">
      <alignment vertical="center"/>
    </xf>
    <xf numFmtId="14" fontId="50" fillId="3" borderId="0" xfId="0" applyNumberFormat="1" applyFont="1" applyFill="1"/>
    <xf numFmtId="0" fontId="3" fillId="3" borderId="0" xfId="0" applyFont="1" applyFill="1" applyProtection="1">
      <protection locked="0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8" fillId="0" borderId="44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4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65" formatCode="#,##0.00_ ;\-#,##0.00\ 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3" tint="0.39997558519241921"/>
        </patternFill>
      </fill>
      <alignment horizontal="left" vertical="top" textRotation="0" indent="0" justifyLastLine="0" shrinkToFit="0" readingOrder="0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3" tint="0.39997558519241921"/>
        </patternFill>
      </fill>
      <alignment horizontal="left" vertical="top" textRotation="0" indent="0" justifyLastLine="0" shrinkToFit="0" readingOrder="0"/>
    </dxf>
    <dxf>
      <border>
        <bottom style="thin">
          <color theme="3" tint="0.39994506668294322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theme="3" tint="0.39991454817346722"/>
        </left>
        <right style="thin">
          <color theme="3" tint="0.39991454817346722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</dxf>
    <dxf>
      <border>
        <bottom style="thin">
          <color theme="3" tint="0.39994506668294322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theme="3" tint="0.39994506668294322"/>
        </left>
        <right style="thin">
          <color theme="3" tint="0.39994506668294322"/>
        </right>
        <top/>
        <bottom/>
      </border>
    </dxf>
    <dxf>
      <border>
        <bottom style="thin">
          <color theme="3" tint="0.39991454817346722"/>
        </bottom>
      </border>
    </dxf>
    <dxf>
      <font>
        <b/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microsoft.com/office/2007/relationships/slicerCache" Target="slicerCaches/slicerCache9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[1]DashBoardFinanceiroAtualD!$K$5:$K$16</c:f>
              <c:numCache>
                <c:formatCode>General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BF-4D82-AF09-A1975AFEA8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222240"/>
        <c:axId val="399236352"/>
      </c:lineChart>
      <c:catAx>
        <c:axId val="399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6352"/>
        <c:crosses val="autoZero"/>
        <c:auto val="1"/>
        <c:lblAlgn val="ctr"/>
        <c:lblOffset val="100"/>
        <c:noMultiLvlLbl val="0"/>
      </c:catAx>
      <c:valAx>
        <c:axId val="39923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8C-46CE-B687-4FE90C05F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8C-46CE-B687-4FE90C05F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[1]DashBoardFinanceiroAtualD!$C$22:$D$22</c:f>
              <c:numCache>
                <c:formatCode>General</c:formatCode>
                <c:ptCount val="2"/>
                <c:pt idx="0">
                  <c:v>38162</c:v>
                </c:pt>
                <c:pt idx="1">
                  <c:v>58030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8C-46CE-B687-4FE90C05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A-404F-94EC-587F592D91A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CFA-404F-94EC-587F592D91A3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FA-404F-94EC-587F592D91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[1]DashBoardFinanceiroAtualD!$C$32:$D$32</c:f>
              <c:numCache>
                <c:formatCode>General</c:formatCode>
                <c:ptCount val="2"/>
                <c:pt idx="0">
                  <c:v>96192</c:v>
                </c:pt>
                <c:pt idx="1">
                  <c:v>115511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A-404F-94EC-587F592D91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399229296"/>
        <c:axId val="399230080"/>
      </c:barChart>
      <c:catAx>
        <c:axId val="3992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0080"/>
        <c:crosses val="autoZero"/>
        <c:auto val="1"/>
        <c:lblAlgn val="ctr"/>
        <c:lblOffset val="100"/>
        <c:noMultiLvlLbl val="0"/>
      </c:catAx>
      <c:valAx>
        <c:axId val="399230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[1]DashBoardFinanceiroAtualD!$H$32:$H$43</c:f>
              <c:numCache>
                <c:formatCode>General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3-47A7-9063-895728C3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399234784"/>
        <c:axId val="399235176"/>
      </c:barChart>
      <c:catAx>
        <c:axId val="3992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5176"/>
        <c:crosses val="autoZero"/>
        <c:auto val="1"/>
        <c:lblAlgn val="ctr"/>
        <c:lblOffset val="100"/>
        <c:noMultiLvlLbl val="0"/>
      </c:catAx>
      <c:valAx>
        <c:axId val="39923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DashboardFinanceiroAnualID!$L$5:$L$16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DashboardFinanceiroAnualID!$K$5:$K$16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56-4D0E-ADC6-EEB8806D57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639775"/>
        <c:axId val="1402650815"/>
      </c:lineChart>
      <c:catAx>
        <c:axId val="14026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650815"/>
        <c:crosses val="autoZero"/>
        <c:auto val="1"/>
        <c:lblAlgn val="ctr"/>
        <c:lblOffset val="100"/>
        <c:noMultiLvlLbl val="0"/>
      </c:catAx>
      <c:valAx>
        <c:axId val="140265081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4026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E-483B-868D-32FE14430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E-483B-868D-32FE14430373}"/>
              </c:ext>
            </c:extLst>
          </c:dPt>
          <c:cat>
            <c:strRef>
              <c:f>DashboardFinanceiroAnualID!$C$21:$D$21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DashboardFinanceiroAnualID!$C$22:$D$22</c:f>
              <c:numCache>
                <c:formatCode>_(* #,##0.00_);_(* \(#,##0.00\);_(* "-"??_);_(@_)</c:formatCode>
                <c:ptCount val="2"/>
                <c:pt idx="0">
                  <c:v>4195</c:v>
                </c:pt>
                <c:pt idx="1">
                  <c:v>126464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2E-483B-868D-32FE1443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D-424D-987C-A889D88C38D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DashboardFinanceiroAnualID!$C$31:$D$31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DashboardFinanceiroAnualID!$C$32:$D$32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24D-987C-A889D88C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"/>
        <c:axId val="1485926351"/>
        <c:axId val="1485926831"/>
      </c:barChart>
      <c:catAx>
        <c:axId val="14859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926831"/>
        <c:crosses val="autoZero"/>
        <c:auto val="1"/>
        <c:lblAlgn val="ctr"/>
        <c:lblOffset val="100"/>
        <c:noMultiLvlLbl val="0"/>
      </c:catAx>
      <c:valAx>
        <c:axId val="148592683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4859263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DashboardFinanceiroAnualID!$H$31:$H$42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F-4632-8926-D69E21F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1403561727"/>
        <c:axId val="1403559807"/>
      </c:barChart>
      <c:catAx>
        <c:axId val="140356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559807"/>
        <c:crosses val="autoZero"/>
        <c:auto val="1"/>
        <c:lblAlgn val="ctr"/>
        <c:lblOffset val="100"/>
        <c:noMultiLvlLbl val="0"/>
      </c:catAx>
      <c:valAx>
        <c:axId val="14035598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4035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Despesa!A1"/><Relationship Id="rId13" Type="http://schemas.openxmlformats.org/officeDocument/2006/relationships/hyperlink" Target="#RegistroSa&#237;das!A1"/><Relationship Id="rId3" Type="http://schemas.openxmlformats.org/officeDocument/2006/relationships/hyperlink" Target="#PCSa&#237;dasN1!A1"/><Relationship Id="rId7" Type="http://schemas.openxmlformats.org/officeDocument/2006/relationships/hyperlink" Target="#DetalhaReceita!A1"/><Relationship Id="rId12" Type="http://schemas.openxmlformats.org/officeDocument/2006/relationships/hyperlink" Target="#DashboardFinanceiroAnual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FluxoCaixaConsolidado!A1"/><Relationship Id="rId11" Type="http://schemas.openxmlformats.org/officeDocument/2006/relationships/hyperlink" Target="#DashboardFinanceiroAtual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Receber!A1"/><Relationship Id="rId4" Type="http://schemas.openxmlformats.org/officeDocument/2006/relationships/hyperlink" Target="#PCSa&#237;dasN2!A1"/><Relationship Id="rId9" Type="http://schemas.openxmlformats.org/officeDocument/2006/relationships/hyperlink" Target="#ContasPagar!A1"/><Relationship Id="rId14" Type="http://schemas.openxmlformats.org/officeDocument/2006/relationships/hyperlink" Target="#ContasReceberVencida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3</xdr:row>
      <xdr:rowOff>0</xdr:rowOff>
    </xdr:from>
    <xdr:to>
      <xdr:col>6</xdr:col>
      <xdr:colOff>276226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316728F-1350-A046-DD13-6AE109EA7A41}"/>
            </a:ext>
          </a:extLst>
        </xdr:cNvPr>
        <xdr:cNvSpPr/>
      </xdr:nvSpPr>
      <xdr:spPr>
        <a:xfrm>
          <a:off x="3705226" y="1257300"/>
          <a:ext cx="2609850" cy="2571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Cadastros</a:t>
          </a:r>
        </a:p>
      </xdr:txBody>
    </xdr:sp>
    <xdr:clientData/>
  </xdr:twoCellAnchor>
  <xdr:twoCellAnchor>
    <xdr:from>
      <xdr:col>6</xdr:col>
      <xdr:colOff>566738</xdr:colOff>
      <xdr:row>3</xdr:row>
      <xdr:rowOff>0</xdr:rowOff>
    </xdr:from>
    <xdr:to>
      <xdr:col>10</xdr:col>
      <xdr:colOff>52388</xdr:colOff>
      <xdr:row>4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1267F87-A726-228C-0AF6-63723846DE35}"/>
            </a:ext>
          </a:extLst>
        </xdr:cNvPr>
        <xdr:cNvSpPr/>
      </xdr:nvSpPr>
      <xdr:spPr>
        <a:xfrm>
          <a:off x="6605588" y="1257300"/>
          <a:ext cx="2609850" cy="2571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342901</xdr:colOff>
      <xdr:row>3</xdr:row>
      <xdr:rowOff>0</xdr:rowOff>
    </xdr:from>
    <xdr:to>
      <xdr:col>13</xdr:col>
      <xdr:colOff>609601</xdr:colOff>
      <xdr:row>4</xdr:row>
      <xdr:rowOff>9525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D48AFAE-AD8B-B6ED-9337-5A3FC5F09FC5}"/>
            </a:ext>
          </a:extLst>
        </xdr:cNvPr>
        <xdr:cNvSpPr/>
      </xdr:nvSpPr>
      <xdr:spPr>
        <a:xfrm>
          <a:off x="9505951" y="1257300"/>
          <a:ext cx="2609850" cy="2571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Relatórios</a:t>
          </a:r>
        </a:p>
      </xdr:txBody>
    </xdr:sp>
    <xdr:clientData/>
  </xdr:twoCellAnchor>
  <xdr:twoCellAnchor>
    <xdr:from>
      <xdr:col>3</xdr:col>
      <xdr:colOff>9526</xdr:colOff>
      <xdr:row>5</xdr:row>
      <xdr:rowOff>9525</xdr:rowOff>
    </xdr:from>
    <xdr:to>
      <xdr:col>6</xdr:col>
      <xdr:colOff>276226</xdr:colOff>
      <xdr:row>6</xdr:row>
      <xdr:rowOff>19050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CCFA5-616B-17C9-D896-87087299BDB3}"/>
            </a:ext>
          </a:extLst>
        </xdr:cNvPr>
        <xdr:cNvSpPr/>
      </xdr:nvSpPr>
      <xdr:spPr>
        <a:xfrm>
          <a:off x="3705226" y="1762125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Plano de contas de entrada - nível 1</a:t>
          </a:r>
        </a:p>
      </xdr:txBody>
    </xdr:sp>
    <xdr:clientData/>
  </xdr:twoCellAnchor>
  <xdr:twoCellAnchor>
    <xdr:from>
      <xdr:col>3</xdr:col>
      <xdr:colOff>9526</xdr:colOff>
      <xdr:row>7</xdr:row>
      <xdr:rowOff>7144</xdr:rowOff>
    </xdr:from>
    <xdr:to>
      <xdr:col>6</xdr:col>
      <xdr:colOff>276226</xdr:colOff>
      <xdr:row>8</xdr:row>
      <xdr:rowOff>16669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BB680D-140B-2BED-EFEB-B9ABC83E797D}"/>
            </a:ext>
          </a:extLst>
        </xdr:cNvPr>
        <xdr:cNvSpPr/>
      </xdr:nvSpPr>
      <xdr:spPr>
        <a:xfrm>
          <a:off x="3705226" y="2255044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entrada - nível 2</a:t>
          </a:r>
          <a:endParaRPr lang="pt-BR" sz="1200">
            <a:effectLst/>
          </a:endParaRPr>
        </a:p>
        <a:p>
          <a:pPr algn="ctr"/>
          <a:endParaRPr lang="pt-BR" sz="1200" b="0"/>
        </a:p>
      </xdr:txBody>
    </xdr:sp>
    <xdr:clientData/>
  </xdr:twoCellAnchor>
  <xdr:twoCellAnchor>
    <xdr:from>
      <xdr:col>3</xdr:col>
      <xdr:colOff>9526</xdr:colOff>
      <xdr:row>9</xdr:row>
      <xdr:rowOff>4763</xdr:rowOff>
    </xdr:from>
    <xdr:to>
      <xdr:col>6</xdr:col>
      <xdr:colOff>276226</xdr:colOff>
      <xdr:row>10</xdr:row>
      <xdr:rowOff>14288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373925-A238-B7A4-9B82-4955B58C1553}"/>
            </a:ext>
          </a:extLst>
        </xdr:cNvPr>
        <xdr:cNvSpPr/>
      </xdr:nvSpPr>
      <xdr:spPr>
        <a:xfrm>
          <a:off x="3705226" y="2747963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Plano de contas de saída</a:t>
          </a:r>
          <a:r>
            <a:rPr lang="pt-BR" sz="1200" b="0" baseline="0"/>
            <a:t> - nível 1</a:t>
          </a:r>
          <a:endParaRPr lang="pt-BR" sz="1200" b="0"/>
        </a:p>
      </xdr:txBody>
    </xdr:sp>
    <xdr:clientData/>
  </xdr:twoCellAnchor>
  <xdr:twoCellAnchor>
    <xdr:from>
      <xdr:col>3</xdr:col>
      <xdr:colOff>9526</xdr:colOff>
      <xdr:row>11</xdr:row>
      <xdr:rowOff>2382</xdr:rowOff>
    </xdr:from>
    <xdr:to>
      <xdr:col>6</xdr:col>
      <xdr:colOff>276226</xdr:colOff>
      <xdr:row>12</xdr:row>
      <xdr:rowOff>11907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C0C728-560D-6A3A-5D78-23E5A22991FD}"/>
            </a:ext>
          </a:extLst>
        </xdr:cNvPr>
        <xdr:cNvSpPr/>
      </xdr:nvSpPr>
      <xdr:spPr>
        <a:xfrm>
          <a:off x="3705226" y="3240882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saída</a:t>
          </a:r>
          <a:r>
            <a:rPr lang="pt-BR" sz="12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nível 2</a:t>
          </a:r>
        </a:p>
      </xdr:txBody>
    </xdr:sp>
    <xdr:clientData/>
  </xdr:twoCellAnchor>
  <xdr:twoCellAnchor>
    <xdr:from>
      <xdr:col>3</xdr:col>
      <xdr:colOff>9526</xdr:colOff>
      <xdr:row>13</xdr:row>
      <xdr:rowOff>0</xdr:rowOff>
    </xdr:from>
    <xdr:to>
      <xdr:col>6</xdr:col>
      <xdr:colOff>276226</xdr:colOff>
      <xdr:row>14</xdr:row>
      <xdr:rowOff>9525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AA68B3-96CB-7034-F391-880F2F42FB63}"/>
            </a:ext>
          </a:extLst>
        </xdr:cNvPr>
        <xdr:cNvSpPr/>
      </xdr:nvSpPr>
      <xdr:spPr>
        <a:xfrm>
          <a:off x="3705226" y="3733800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Registro das entradas de caixa</a:t>
          </a:r>
          <a:endParaRPr lang="pt-BR" sz="1200">
            <a:effectLst/>
          </a:endParaRPr>
        </a:p>
      </xdr:txBody>
    </xdr:sp>
    <xdr:clientData/>
  </xdr:twoCellAnchor>
  <xdr:twoCellAnchor>
    <xdr:from>
      <xdr:col>6</xdr:col>
      <xdr:colOff>571501</xdr:colOff>
      <xdr:row>5</xdr:row>
      <xdr:rowOff>9525</xdr:rowOff>
    </xdr:from>
    <xdr:to>
      <xdr:col>10</xdr:col>
      <xdr:colOff>57151</xdr:colOff>
      <xdr:row>6</xdr:row>
      <xdr:rowOff>19050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EC20947-B8BC-A186-6903-C8301F737663}"/>
            </a:ext>
          </a:extLst>
        </xdr:cNvPr>
        <xdr:cNvSpPr/>
      </xdr:nvSpPr>
      <xdr:spPr>
        <a:xfrm>
          <a:off x="6610351" y="1762125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Fluxo de caixa e resultado mensal</a:t>
          </a:r>
        </a:p>
      </xdr:txBody>
    </xdr:sp>
    <xdr:clientData/>
  </xdr:twoCellAnchor>
  <xdr:twoCellAnchor>
    <xdr:from>
      <xdr:col>6</xdr:col>
      <xdr:colOff>571501</xdr:colOff>
      <xdr:row>7</xdr:row>
      <xdr:rowOff>7144</xdr:rowOff>
    </xdr:from>
    <xdr:to>
      <xdr:col>10</xdr:col>
      <xdr:colOff>57151</xdr:colOff>
      <xdr:row>8</xdr:row>
      <xdr:rowOff>16669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65D902-645C-49B4-C237-188F2A17F7DA}"/>
            </a:ext>
          </a:extLst>
        </xdr:cNvPr>
        <xdr:cNvSpPr/>
      </xdr:nvSpPr>
      <xdr:spPr>
        <a:xfrm>
          <a:off x="6610351" y="2255044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Detalhamento da receita</a:t>
          </a:r>
        </a:p>
      </xdr:txBody>
    </xdr:sp>
    <xdr:clientData/>
  </xdr:twoCellAnchor>
  <xdr:twoCellAnchor>
    <xdr:from>
      <xdr:col>6</xdr:col>
      <xdr:colOff>571501</xdr:colOff>
      <xdr:row>9</xdr:row>
      <xdr:rowOff>4763</xdr:rowOff>
    </xdr:from>
    <xdr:to>
      <xdr:col>10</xdr:col>
      <xdr:colOff>57151</xdr:colOff>
      <xdr:row>10</xdr:row>
      <xdr:rowOff>14288</xdr:rowOff>
    </xdr:to>
    <xdr:sp macro="" textlink="">
      <xdr:nvSpPr>
        <xdr:cNvPr id="14" name="Retângulo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BFBD635-515D-B7F6-01E3-0C465E7EFF52}"/>
            </a:ext>
          </a:extLst>
        </xdr:cNvPr>
        <xdr:cNvSpPr/>
      </xdr:nvSpPr>
      <xdr:spPr>
        <a:xfrm>
          <a:off x="6610351" y="2747963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Detalhamento da despesa</a:t>
          </a:r>
        </a:p>
      </xdr:txBody>
    </xdr:sp>
    <xdr:clientData/>
  </xdr:twoCellAnchor>
  <xdr:twoCellAnchor>
    <xdr:from>
      <xdr:col>6</xdr:col>
      <xdr:colOff>571501</xdr:colOff>
      <xdr:row>11</xdr:row>
      <xdr:rowOff>2382</xdr:rowOff>
    </xdr:from>
    <xdr:to>
      <xdr:col>10</xdr:col>
      <xdr:colOff>57151</xdr:colOff>
      <xdr:row>12</xdr:row>
      <xdr:rowOff>11907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62429E-624C-0126-9CAB-27DC3E56A85E}"/>
            </a:ext>
          </a:extLst>
        </xdr:cNvPr>
        <xdr:cNvSpPr/>
      </xdr:nvSpPr>
      <xdr:spPr>
        <a:xfrm>
          <a:off x="6610351" y="3240882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pagar</a:t>
          </a:r>
          <a:endParaRPr lang="pt-BR" sz="1200" b="0"/>
        </a:p>
      </xdr:txBody>
    </xdr:sp>
    <xdr:clientData/>
  </xdr:twoCellAnchor>
  <xdr:twoCellAnchor>
    <xdr:from>
      <xdr:col>6</xdr:col>
      <xdr:colOff>571501</xdr:colOff>
      <xdr:row>13</xdr:row>
      <xdr:rowOff>0</xdr:rowOff>
    </xdr:from>
    <xdr:to>
      <xdr:col>10</xdr:col>
      <xdr:colOff>57151</xdr:colOff>
      <xdr:row>14</xdr:row>
      <xdr:rowOff>9525</xdr:rowOff>
    </xdr:to>
    <xdr:sp macro="" textlink="">
      <xdr:nvSpPr>
        <xdr:cNvPr id="16" name="Retâ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1C36994-0274-AEC8-F6BF-B8135A08AEA2}"/>
            </a:ext>
          </a:extLst>
        </xdr:cNvPr>
        <xdr:cNvSpPr/>
      </xdr:nvSpPr>
      <xdr:spPr>
        <a:xfrm>
          <a:off x="6610351" y="3733800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receber</a:t>
          </a:r>
          <a:endParaRPr lang="pt-BR" sz="1200" b="0"/>
        </a:p>
      </xdr:txBody>
    </xdr:sp>
    <xdr:clientData/>
  </xdr:twoCellAnchor>
  <xdr:twoCellAnchor>
    <xdr:from>
      <xdr:col>10</xdr:col>
      <xdr:colOff>342901</xdr:colOff>
      <xdr:row>5</xdr:row>
      <xdr:rowOff>9525</xdr:rowOff>
    </xdr:from>
    <xdr:to>
      <xdr:col>13</xdr:col>
      <xdr:colOff>609601</xdr:colOff>
      <xdr:row>6</xdr:row>
      <xdr:rowOff>19050</xdr:rowOff>
    </xdr:to>
    <xdr:sp macro="" textlink="">
      <xdr:nvSpPr>
        <xdr:cNvPr id="17" name="Retângulo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0F3D855-BC6C-9AFB-F5E0-0DBA4A11AFA2}"/>
            </a:ext>
          </a:extLst>
        </xdr:cNvPr>
        <xdr:cNvSpPr/>
      </xdr:nvSpPr>
      <xdr:spPr>
        <a:xfrm>
          <a:off x="9505951" y="1762125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Dashboard</a:t>
          </a:r>
          <a:r>
            <a:rPr lang="pt-BR" sz="1200" b="0" baseline="0"/>
            <a:t> financeiro - posição atual</a:t>
          </a:r>
          <a:endParaRPr lang="pt-BR" sz="1200" b="0"/>
        </a:p>
      </xdr:txBody>
    </xdr:sp>
    <xdr:clientData/>
  </xdr:twoCellAnchor>
  <xdr:twoCellAnchor>
    <xdr:from>
      <xdr:col>10</xdr:col>
      <xdr:colOff>342901</xdr:colOff>
      <xdr:row>7</xdr:row>
      <xdr:rowOff>7144</xdr:rowOff>
    </xdr:from>
    <xdr:to>
      <xdr:col>13</xdr:col>
      <xdr:colOff>609601</xdr:colOff>
      <xdr:row>8</xdr:row>
      <xdr:rowOff>16669</xdr:rowOff>
    </xdr:to>
    <xdr:sp macro="" textlink="">
      <xdr:nvSpPr>
        <xdr:cNvPr id="18" name="Retângulo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AF35029-D951-0212-A559-A7BC3E82C6C3}"/>
            </a:ext>
          </a:extLst>
        </xdr:cNvPr>
        <xdr:cNvSpPr/>
      </xdr:nvSpPr>
      <xdr:spPr>
        <a:xfrm>
          <a:off x="9505951" y="2255044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Dashboard</a:t>
          </a:r>
          <a:r>
            <a:rPr lang="pt-BR" sz="1200" b="0" baseline="0"/>
            <a:t> financeiro - posição anual</a:t>
          </a:r>
        </a:p>
      </xdr:txBody>
    </xdr:sp>
    <xdr:clientData/>
  </xdr:twoCellAnchor>
  <xdr:twoCellAnchor>
    <xdr:from>
      <xdr:col>3</xdr:col>
      <xdr:colOff>9526</xdr:colOff>
      <xdr:row>15</xdr:row>
      <xdr:rowOff>9525</xdr:rowOff>
    </xdr:from>
    <xdr:to>
      <xdr:col>6</xdr:col>
      <xdr:colOff>276226</xdr:colOff>
      <xdr:row>16</xdr:row>
      <xdr:rowOff>19050</xdr:rowOff>
    </xdr:to>
    <xdr:sp macro="" textlink="">
      <xdr:nvSpPr>
        <xdr:cNvPr id="23" name="Retângulo 2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7812EC5-CC10-0432-04DE-D602AA668649}"/>
            </a:ext>
          </a:extLst>
        </xdr:cNvPr>
        <xdr:cNvSpPr/>
      </xdr:nvSpPr>
      <xdr:spPr>
        <a:xfrm>
          <a:off x="3705226" y="4238625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Registro das saídas de caixa</a:t>
          </a:r>
          <a:endParaRPr lang="pt-BR" sz="1200">
            <a:effectLst/>
          </a:endParaRPr>
        </a:p>
      </xdr:txBody>
    </xdr:sp>
    <xdr:clientData/>
  </xdr:twoCellAnchor>
  <xdr:twoCellAnchor>
    <xdr:from>
      <xdr:col>6</xdr:col>
      <xdr:colOff>571501</xdr:colOff>
      <xdr:row>15</xdr:row>
      <xdr:rowOff>9525</xdr:rowOff>
    </xdr:from>
    <xdr:to>
      <xdr:col>10</xdr:col>
      <xdr:colOff>57151</xdr:colOff>
      <xdr:row>16</xdr:row>
      <xdr:rowOff>19050</xdr:rowOff>
    </xdr:to>
    <xdr:sp macro="" textlink="">
      <xdr:nvSpPr>
        <xdr:cNvPr id="26" name="Retângulo 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30FC86A-95BC-9234-C966-B8D8F6FFB238}"/>
            </a:ext>
          </a:extLst>
        </xdr:cNvPr>
        <xdr:cNvSpPr/>
      </xdr:nvSpPr>
      <xdr:spPr>
        <a:xfrm>
          <a:off x="6610351" y="4238625"/>
          <a:ext cx="2609850" cy="257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receber vencidas</a:t>
          </a:r>
          <a:endParaRPr lang="pt-BR" sz="1200" b="0"/>
        </a:p>
      </xdr:txBody>
    </xdr:sp>
    <xdr:clientData/>
  </xdr:twoCellAnchor>
  <xdr:twoCellAnchor editAs="oneCell">
    <xdr:from>
      <xdr:col>1</xdr:col>
      <xdr:colOff>19051</xdr:colOff>
      <xdr:row>9</xdr:row>
      <xdr:rowOff>9524</xdr:rowOff>
    </xdr:from>
    <xdr:to>
      <xdr:col>2</xdr:col>
      <xdr:colOff>2120</xdr:colOff>
      <xdr:row>17</xdr:row>
      <xdr:rowOff>9525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1B8B1AC4-7D0F-7A30-A211-6F5302CF7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2752724"/>
          <a:ext cx="2697694" cy="19812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BDE5B-E3AC-4887-9391-5DE106670F40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 editAs="oneCell">
    <xdr:from>
      <xdr:col>5</xdr:col>
      <xdr:colOff>714374</xdr:colOff>
      <xdr:row>1</xdr:row>
      <xdr:rowOff>752475</xdr:rowOff>
    </xdr:from>
    <xdr:to>
      <xdr:col>9</xdr:col>
      <xdr:colOff>485775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ENCIA">
              <a:extLst>
                <a:ext uri="{FF2B5EF4-FFF2-40B4-BE49-F238E27FC236}">
                  <a16:creationId xmlns:a16="http://schemas.microsoft.com/office/drawing/2014/main" id="{053A16CD-6D38-D39E-797D-C722F1057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4" y="1257300"/>
              <a:ext cx="289560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142875</xdr:colOff>
      <xdr:row>1</xdr:row>
      <xdr:rowOff>752476</xdr:rowOff>
    </xdr:from>
    <xdr:to>
      <xdr:col>5</xdr:col>
      <xdr:colOff>695325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ENCIA">
              <a:extLst>
                <a:ext uri="{FF2B5EF4-FFF2-40B4-BE49-F238E27FC236}">
                  <a16:creationId xmlns:a16="http://schemas.microsoft.com/office/drawing/2014/main" id="{0A93C7F9-5DFB-0785-F277-28BEAF709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1257301"/>
              <a:ext cx="2114550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97109-A001-4B55-AEBE-701926B90A47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 editAs="oneCell">
    <xdr:from>
      <xdr:col>6</xdr:col>
      <xdr:colOff>542924</xdr:colOff>
      <xdr:row>1</xdr:row>
      <xdr:rowOff>742950</xdr:rowOff>
    </xdr:from>
    <xdr:to>
      <xdr:col>10</xdr:col>
      <xdr:colOff>590550</xdr:colOff>
      <xdr:row>5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984CCCBC-92F2-A6FC-7CAF-730B3766B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4" y="1247775"/>
              <a:ext cx="2600326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742950</xdr:rowOff>
    </xdr:from>
    <xdr:to>
      <xdr:col>6</xdr:col>
      <xdr:colOff>533400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13F83A60-EFF6-670F-97EA-79DB0561D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1247775"/>
              <a:ext cx="22860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7762D2-B189-4991-8A97-4F609302953C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 editAs="oneCell">
    <xdr:from>
      <xdr:col>3</xdr:col>
      <xdr:colOff>47625</xdr:colOff>
      <xdr:row>1</xdr:row>
      <xdr:rowOff>95251</xdr:rowOff>
    </xdr:from>
    <xdr:to>
      <xdr:col>5</xdr:col>
      <xdr:colOff>314325</xdr:colOff>
      <xdr:row>4</xdr:row>
      <xdr:rowOff>238126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1">
              <a:extLst>
                <a:ext uri="{FF2B5EF4-FFF2-40B4-BE49-F238E27FC236}">
                  <a16:creationId xmlns:a16="http://schemas.microsoft.com/office/drawing/2014/main" id="{CF070847-38AD-EC46-1169-45B765B8D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600076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333374</xdr:colOff>
      <xdr:row>1</xdr:row>
      <xdr:rowOff>95250</xdr:rowOff>
    </xdr:from>
    <xdr:to>
      <xdr:col>9</xdr:col>
      <xdr:colOff>266699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22AC465B-CB6E-193B-D02D-B17715D2BC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4" y="600075"/>
              <a:ext cx="305752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BD066-9130-4FC3-80A6-EFE97C79ECC3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 editAs="oneCell">
    <xdr:from>
      <xdr:col>3</xdr:col>
      <xdr:colOff>428625</xdr:colOff>
      <xdr:row>0</xdr:row>
      <xdr:rowOff>495300</xdr:rowOff>
    </xdr:from>
    <xdr:to>
      <xdr:col>5</xdr:col>
      <xdr:colOff>695325</xdr:colOff>
      <xdr:row>4</xdr:row>
      <xdr:rowOff>238125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ENCIA 1">
              <a:extLst>
                <a:ext uri="{FF2B5EF4-FFF2-40B4-BE49-F238E27FC236}">
                  <a16:creationId xmlns:a16="http://schemas.microsoft.com/office/drawing/2014/main" id="{69EBF412-CBFA-9062-CDF6-40A17AAAB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E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49530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428625</xdr:colOff>
      <xdr:row>0</xdr:row>
      <xdr:rowOff>485775</xdr:rowOff>
    </xdr:from>
    <xdr:to>
      <xdr:col>10</xdr:col>
      <xdr:colOff>581025</xdr:colOff>
      <xdr:row>4</xdr:row>
      <xdr:rowOff>228600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81B81A85-665C-E913-0EBA-67014A300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485775"/>
              <a:ext cx="32766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A6F24-CB3F-4ECB-ACED-46342CE13E0D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 editAs="oneCell">
    <xdr:from>
      <xdr:col>3</xdr:col>
      <xdr:colOff>180974</xdr:colOff>
      <xdr:row>2</xdr:row>
      <xdr:rowOff>38101</xdr:rowOff>
    </xdr:from>
    <xdr:to>
      <xdr:col>7</xdr:col>
      <xdr:colOff>228599</xdr:colOff>
      <xdr:row>4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ENCIA 2">
              <a:extLst>
                <a:ext uri="{FF2B5EF4-FFF2-40B4-BE49-F238E27FC236}">
                  <a16:creationId xmlns:a16="http://schemas.microsoft.com/office/drawing/2014/main" id="{DE1F37E5-3491-F45A-F8FA-6880D4BB5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E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599" y="1047751"/>
              <a:ext cx="3590925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D3FED-B268-4E9C-943B-F7EA91F8831E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6B9EE0-AD82-4183-8B34-B85F17D7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415BDF-EE28-405E-A137-29D9C946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73DB44-058D-4D76-9ACE-3BF1221D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3DCD9A-B91E-4B51-8E6F-603813A9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0DEE31-6A33-4CAB-8FB6-52268454146A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  <xdr:twoCellAnchor>
    <xdr:from>
      <xdr:col>5</xdr:col>
      <xdr:colOff>9524</xdr:colOff>
      <xdr:row>4</xdr:row>
      <xdr:rowOff>9526</xdr:rowOff>
    </xdr:from>
    <xdr:to>
      <xdr:col>9</xdr:col>
      <xdr:colOff>381000</xdr:colOff>
      <xdr:row>10</xdr:row>
      <xdr:rowOff>238126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7A81E2-A723-4D46-BE82-BC6C369B6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13</xdr:row>
      <xdr:rowOff>9524</xdr:rowOff>
    </xdr:from>
    <xdr:to>
      <xdr:col>3</xdr:col>
      <xdr:colOff>2705100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5A3827-4D67-42F2-A88A-1289B08E3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13</xdr:row>
      <xdr:rowOff>238126</xdr:rowOff>
    </xdr:from>
    <xdr:to>
      <xdr:col>9</xdr:col>
      <xdr:colOff>9525</xdr:colOff>
      <xdr:row>18</xdr:row>
      <xdr:rowOff>238126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966378-FAC7-4D0E-8CF6-21EF79A6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14</xdr:row>
      <xdr:rowOff>219075</xdr:rowOff>
    </xdr:from>
    <xdr:to>
      <xdr:col>11</xdr:col>
      <xdr:colOff>9525</xdr:colOff>
      <xdr:row>19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95D605-9F83-47C0-BE4C-9AAFE54E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95A29-8D03-4220-BDDC-39601E97E659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539A8F-2534-4ECF-95A6-83D0ADB33901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04A4D-91BD-4DAE-B231-3004CA578A2B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D8504-0761-4AFA-AF75-B3EE47F5E453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294F3-C95F-44CD-9655-9254D7EC7E76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91BABE-A426-4E8A-87FB-DA69579FA2B8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B7DE4D-B739-4937-9EDD-32305CE3A620}"/>
            </a:ext>
          </a:extLst>
        </xdr:cNvPr>
        <xdr:cNvSpPr/>
      </xdr:nvSpPr>
      <xdr:spPr>
        <a:xfrm>
          <a:off x="285750" y="590550"/>
          <a:ext cx="9620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85725</xdr:rowOff>
    </xdr:from>
    <xdr:to>
      <xdr:col>1</xdr:col>
      <xdr:colOff>1314450</xdr:colOff>
      <xdr:row>1</xdr:row>
      <xdr:rowOff>428624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C8DB6-598F-4E85-BE40-1FE83AF71259}"/>
            </a:ext>
          </a:extLst>
        </xdr:cNvPr>
        <xdr:cNvSpPr/>
      </xdr:nvSpPr>
      <xdr:spPr>
        <a:xfrm>
          <a:off x="285750" y="590550"/>
          <a:ext cx="1228725" cy="3428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INÍCIO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ab7b4b56219be6b/Documentos/Curso%20Excel/Projeto%20fluxo%20de%20caixa/projeto-fluxo-de-caixa-30.xlsx" TargetMode="External"/><Relationship Id="rId1" Type="http://schemas.openxmlformats.org/officeDocument/2006/relationships/externalLinkPath" Target="/bab7b4b56219be6b/Documentos/Curso%20Excel/Projeto%20fluxo%20de%20caixa/projeto-fluxo-de-caixa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atriz"/>
      <sheetName val="PCEntradasN1"/>
      <sheetName val="PCEntradasN2"/>
      <sheetName val="PCSaídasN1"/>
      <sheetName val="PCSaídasN2"/>
      <sheetName val="RegistroEntradas"/>
      <sheetName val="RegistroSaídas"/>
      <sheetName val="FluxoCaixaConsolidado"/>
      <sheetName val="DetalhaReceita"/>
      <sheetName val="DetalhaDespesa"/>
      <sheetName val="ContasPagar"/>
      <sheetName val="ContasReceber"/>
      <sheetName val="ContasReceberVencidas"/>
      <sheetName val="DashBoardFinanceiroAnual"/>
      <sheetName val="DashBoardFinanceiroAnualD"/>
      <sheetName val="DashBoardFinanceiroAtual"/>
      <sheetName val="DashBoardFinanceiroAtualD"/>
      <sheetName val="projeto-fluxo-de-caixa-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K2">
            <v>43585</v>
          </cell>
        </row>
        <row r="4">
          <cell r="K4" t="str">
            <v>Livros</v>
          </cell>
        </row>
        <row r="14">
          <cell r="K14" t="str">
            <v>Vestuário</v>
          </cell>
        </row>
      </sheetData>
      <sheetData sheetId="17">
        <row r="5">
          <cell r="G5">
            <v>3042</v>
          </cell>
          <cell r="H5">
            <v>1209</v>
          </cell>
          <cell r="J5">
            <v>6759</v>
          </cell>
          <cell r="K5">
            <v>6759</v>
          </cell>
          <cell r="L5" t="str">
            <v>Jan</v>
          </cell>
        </row>
        <row r="6">
          <cell r="G6">
            <v>7524</v>
          </cell>
          <cell r="H6">
            <v>1992</v>
          </cell>
          <cell r="J6">
            <v>8187</v>
          </cell>
          <cell r="K6">
            <v>8187</v>
          </cell>
          <cell r="L6" t="str">
            <v>Fev</v>
          </cell>
        </row>
        <row r="7">
          <cell r="G7">
            <v>0</v>
          </cell>
          <cell r="H7">
            <v>0</v>
          </cell>
          <cell r="J7">
            <v>5918</v>
          </cell>
          <cell r="K7">
            <v>5918</v>
          </cell>
          <cell r="L7" t="str">
            <v>Mar</v>
          </cell>
        </row>
        <row r="8">
          <cell r="G8">
            <v>3690</v>
          </cell>
          <cell r="H8">
            <v>4797</v>
          </cell>
          <cell r="J8">
            <v>1620</v>
          </cell>
          <cell r="K8">
            <v>1620</v>
          </cell>
          <cell r="L8" t="str">
            <v>Abr</v>
          </cell>
        </row>
        <row r="9">
          <cell r="G9">
            <v>0</v>
          </cell>
          <cell r="H9">
            <v>0</v>
          </cell>
          <cell r="J9">
            <v>0</v>
          </cell>
          <cell r="K9" t="e">
            <v>#N/A</v>
          </cell>
          <cell r="L9" t="str">
            <v>Mai</v>
          </cell>
        </row>
        <row r="10">
          <cell r="G10">
            <v>0</v>
          </cell>
          <cell r="H10">
            <v>0</v>
          </cell>
          <cell r="J10">
            <v>0</v>
          </cell>
          <cell r="K10" t="e">
            <v>#N/A</v>
          </cell>
          <cell r="L10" t="str">
            <v>Jun</v>
          </cell>
        </row>
        <row r="11">
          <cell r="C11">
            <v>39267</v>
          </cell>
          <cell r="G11">
            <v>0</v>
          </cell>
          <cell r="H11">
            <v>0</v>
          </cell>
          <cell r="J11">
            <v>0</v>
          </cell>
          <cell r="K11" t="e">
            <v>#N/A</v>
          </cell>
          <cell r="L11" t="str">
            <v>Jul</v>
          </cell>
        </row>
        <row r="12">
          <cell r="G12">
            <v>0</v>
          </cell>
          <cell r="H12">
            <v>0</v>
          </cell>
          <cell r="J12">
            <v>0</v>
          </cell>
          <cell r="K12" t="e">
            <v>#N/A</v>
          </cell>
          <cell r="L12" t="str">
            <v>Ago</v>
          </cell>
        </row>
        <row r="13">
          <cell r="D13">
            <v>14256</v>
          </cell>
          <cell r="G13">
            <v>0</v>
          </cell>
          <cell r="H13">
            <v>0</v>
          </cell>
          <cell r="J13">
            <v>0</v>
          </cell>
          <cell r="K13" t="e">
            <v>#N/A</v>
          </cell>
          <cell r="L13" t="str">
            <v>Set</v>
          </cell>
        </row>
        <row r="14">
          <cell r="D14">
            <v>7998</v>
          </cell>
          <cell r="G14">
            <v>0</v>
          </cell>
          <cell r="H14">
            <v>0</v>
          </cell>
          <cell r="J14">
            <v>0</v>
          </cell>
          <cell r="K14" t="e">
            <v>#N/A</v>
          </cell>
          <cell r="L14" t="str">
            <v>Out</v>
          </cell>
        </row>
        <row r="15">
          <cell r="G15">
            <v>0</v>
          </cell>
          <cell r="H15">
            <v>0</v>
          </cell>
          <cell r="J15">
            <v>0</v>
          </cell>
          <cell r="K15" t="e">
            <v>#N/A</v>
          </cell>
          <cell r="L15" t="str">
            <v>Nov</v>
          </cell>
        </row>
        <row r="16">
          <cell r="G16">
            <v>0</v>
          </cell>
          <cell r="H16">
            <v>0</v>
          </cell>
          <cell r="J16">
            <v>0</v>
          </cell>
          <cell r="K16" t="e">
            <v>#N/A</v>
          </cell>
          <cell r="L16" t="str">
            <v>Dez</v>
          </cell>
        </row>
        <row r="21">
          <cell r="C21" t="str">
            <v>À Vista</v>
          </cell>
          <cell r="D21" t="str">
            <v>A Prazo</v>
          </cell>
        </row>
        <row r="22">
          <cell r="C22">
            <v>38162</v>
          </cell>
          <cell r="D22">
            <v>58030</v>
          </cell>
          <cell r="E22">
            <v>96192</v>
          </cell>
        </row>
        <row r="27">
          <cell r="E27">
            <v>930.8</v>
          </cell>
          <cell r="J27">
            <v>1379.6</v>
          </cell>
        </row>
        <row r="31">
          <cell r="C31" t="str">
            <v>Entradas</v>
          </cell>
          <cell r="D31" t="str">
            <v>Saídas</v>
          </cell>
        </row>
        <row r="32">
          <cell r="C32">
            <v>96192</v>
          </cell>
          <cell r="D32">
            <v>115511</v>
          </cell>
          <cell r="E32">
            <v>-19319</v>
          </cell>
          <cell r="G32">
            <v>1</v>
          </cell>
          <cell r="H32">
            <v>14690</v>
          </cell>
        </row>
        <row r="33">
          <cell r="G33">
            <v>2</v>
          </cell>
          <cell r="H33">
            <v>6991</v>
          </cell>
        </row>
        <row r="34">
          <cell r="G34">
            <v>3</v>
          </cell>
          <cell r="H34">
            <v>8219</v>
          </cell>
        </row>
        <row r="35">
          <cell r="G35">
            <v>4</v>
          </cell>
          <cell r="H35">
            <v>19692</v>
          </cell>
        </row>
        <row r="36">
          <cell r="G36">
            <v>5</v>
          </cell>
          <cell r="H36">
            <v>0</v>
          </cell>
        </row>
        <row r="37">
          <cell r="G37">
            <v>6</v>
          </cell>
          <cell r="H37">
            <v>0</v>
          </cell>
        </row>
        <row r="38">
          <cell r="G38">
            <v>7</v>
          </cell>
          <cell r="H38">
            <v>0</v>
          </cell>
        </row>
        <row r="39">
          <cell r="G39">
            <v>8</v>
          </cell>
          <cell r="H39">
            <v>0</v>
          </cell>
        </row>
        <row r="40">
          <cell r="G40">
            <v>9</v>
          </cell>
          <cell r="H40">
            <v>0</v>
          </cell>
        </row>
        <row r="41">
          <cell r="G41">
            <v>10</v>
          </cell>
          <cell r="H41">
            <v>0</v>
          </cell>
        </row>
        <row r="42">
          <cell r="G42">
            <v>11</v>
          </cell>
          <cell r="H42">
            <v>0</v>
          </cell>
        </row>
        <row r="43">
          <cell r="G43">
            <v>12</v>
          </cell>
          <cell r="H43">
            <v>0</v>
          </cell>
        </row>
        <row r="44">
          <cell r="H44">
            <v>49592</v>
          </cell>
        </row>
      </sheetData>
      <sheetData sheetId="1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antos" refreshedDate="45823.000994560185" createdVersion="8" refreshedVersion="8" minRefreshableVersion="3" recordCount="231" xr:uid="{7B06D557-D374-457E-9054-A81EF6892906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ENCIA" numFmtId="14">
      <sharedItems containsSemiMixedTypes="0" containsNonDate="0" containsDate="1" containsString="0" minDate="2017-08-10T00:00:00" maxDate="2019-06-30T00:00:00"/>
    </cacheField>
    <cacheField name="DATA DO CAIXA PREVISTA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E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E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634403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antos" refreshedDate="45823.436401041668" createdVersion="8" refreshedVersion="8" minRefreshableVersion="3" recordCount="229" xr:uid="{6D15F246-F3D7-4D4B-9DFC-A67A5F3DA0C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ENCIA" numFmtId="14">
      <sharedItems containsSemiMixedTypes="0" containsNonDate="0" containsDate="1" containsString="0" minDate="2017-08-10T00:00:00" maxDate="2019-07-01T00:00:00"/>
    </cacheField>
    <cacheField name="DATA DO CAIXA PREVISTA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1076777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s v=""/>
    <d v="2017-10-09T00:00:00"/>
    <d v="2017-11-04T07:09:50"/>
    <x v="0"/>
    <x v="0"/>
    <s v="NF5012"/>
    <n v="1171"/>
    <x v="4"/>
    <n v="0"/>
    <x v="2"/>
    <x v="0"/>
    <x v="3"/>
    <n v="2017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  <x v="0"/>
  </r>
  <r>
    <s v=""/>
    <d v="2017-11-29T00:00:00"/>
    <d v="2018-01-26T12:01:24"/>
    <x v="0"/>
    <x v="3"/>
    <s v="NF4129"/>
    <n v="1284"/>
    <x v="4"/>
    <n v="0"/>
    <x v="3"/>
    <x v="0"/>
    <x v="5"/>
    <n v="2018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  <x v="0"/>
  </r>
  <r>
    <s v=""/>
    <d v="2018-03-23T00:00:00"/>
    <d v="2018-04-09T01:30:48"/>
    <x v="0"/>
    <x v="0"/>
    <s v="NF2814"/>
    <n v="2388"/>
    <x v="4"/>
    <n v="0"/>
    <x v="7"/>
    <x v="1"/>
    <x v="8"/>
    <n v="201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  <x v="0"/>
  </r>
  <r>
    <s v=""/>
    <d v="2018-04-19T00:00:00"/>
    <d v="2018-06-15T08:09:46"/>
    <x v="0"/>
    <x v="1"/>
    <s v="NF9381"/>
    <n v="2224"/>
    <x v="4"/>
    <n v="0"/>
    <x v="8"/>
    <x v="1"/>
    <x v="10"/>
    <n v="2018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  <x v="0"/>
  </r>
  <r>
    <s v=""/>
    <d v="2018-05-24T00:00:00"/>
    <d v="2018-06-24T10:58:45"/>
    <x v="0"/>
    <x v="3"/>
    <s v="NF7741"/>
    <n v="3878"/>
    <x v="4"/>
    <n v="0"/>
    <x v="9"/>
    <x v="1"/>
    <x v="10"/>
    <n v="2018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  <x v="0"/>
  </r>
  <r>
    <s v=""/>
    <d v="2018-06-24T00:00:00"/>
    <d v="2018-08-01T15:18:17"/>
    <x v="0"/>
    <x v="2"/>
    <s v="NF1725"/>
    <n v="770"/>
    <x v="4"/>
    <n v="0"/>
    <x v="10"/>
    <x v="1"/>
    <x v="0"/>
    <n v="2018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  <x v="0"/>
  </r>
  <r>
    <s v=""/>
    <d v="2018-09-01T00:00:00"/>
    <d v="2018-09-27T15:55:52"/>
    <x v="0"/>
    <x v="1"/>
    <s v="NF6643"/>
    <n v="4253"/>
    <x v="4"/>
    <n v="0"/>
    <x v="1"/>
    <x v="1"/>
    <x v="1"/>
    <n v="2018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s v=""/>
    <d v="2018-10-05T00:00:00"/>
    <d v="2018-10-26T19:35:25"/>
    <x v="0"/>
    <x v="3"/>
    <s v="NF3137"/>
    <n v="4922"/>
    <x v="4"/>
    <n v="0"/>
    <x v="2"/>
    <x v="1"/>
    <x v="2"/>
    <n v="2018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  <x v="0"/>
  </r>
  <r>
    <s v=""/>
    <d v="2018-11-23T00:00:00"/>
    <d v="2018-12-31T01:31:16"/>
    <x v="0"/>
    <x v="1"/>
    <s v="NF5107"/>
    <n v="1414"/>
    <x v="4"/>
    <n v="0"/>
    <x v="3"/>
    <x v="1"/>
    <x v="4"/>
    <n v="2018"/>
    <x v="1"/>
  </r>
  <r>
    <s v=""/>
    <d v="2018-11-26T00:00:00"/>
    <d v="2018-12-13T21:21:29"/>
    <x v="0"/>
    <x v="3"/>
    <s v="NF4367"/>
    <n v="919"/>
    <x v="4"/>
    <n v="0"/>
    <x v="3"/>
    <x v="1"/>
    <x v="4"/>
    <n v="2018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  <x v="0"/>
  </r>
  <r>
    <s v=""/>
    <d v="2018-11-30T00:00:00"/>
    <d v="2018-12-21T06:25:18"/>
    <x v="0"/>
    <x v="2"/>
    <s v="NF5922"/>
    <n v="4639"/>
    <x v="4"/>
    <n v="0"/>
    <x v="3"/>
    <x v="1"/>
    <x v="4"/>
    <n v="2018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  <x v="0"/>
  </r>
  <r>
    <s v=""/>
    <d v="2018-12-10T00:00:00"/>
    <d v="2019-01-12T04:05:06"/>
    <x v="0"/>
    <x v="2"/>
    <s v="NF1938"/>
    <n v="483"/>
    <x v="4"/>
    <n v="0"/>
    <x v="4"/>
    <x v="1"/>
    <x v="5"/>
    <n v="2019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  <x v="0"/>
  </r>
  <r>
    <s v=""/>
    <d v="2019-02-16T00:00:00"/>
    <d v="2019-04-15T04:56:28"/>
    <x v="0"/>
    <x v="1"/>
    <s v="NF4097"/>
    <n v="928"/>
    <x v="4"/>
    <n v="0"/>
    <x v="6"/>
    <x v="2"/>
    <x v="8"/>
    <n v="2019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  <x v="0"/>
  </r>
  <r>
    <s v=""/>
    <d v="2019-03-28T00:00:00"/>
    <d v="2019-05-01T21:23:18"/>
    <x v="0"/>
    <x v="2"/>
    <s v="NF2352"/>
    <n v="1348"/>
    <x v="4"/>
    <n v="0"/>
    <x v="7"/>
    <x v="2"/>
    <x v="9"/>
    <n v="2019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  <x v="0"/>
  </r>
  <r>
    <s v=""/>
    <d v="2019-05-12T00:00:00"/>
    <d v="2019-05-20T09:30:20"/>
    <x v="0"/>
    <x v="1"/>
    <s v="NF7868"/>
    <n v="667"/>
    <x v="4"/>
    <n v="0"/>
    <x v="9"/>
    <x v="2"/>
    <x v="9"/>
    <n v="2019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  <x v="0"/>
  </r>
  <r>
    <s v=""/>
    <d v="2019-06-13T00:00:00"/>
    <d v="2019-07-22T22:11:49"/>
    <x v="0"/>
    <x v="3"/>
    <s v="NF8169"/>
    <n v="508"/>
    <x v="4"/>
    <n v="0"/>
    <x v="10"/>
    <x v="2"/>
    <x v="11"/>
    <n v="2019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  <x v="0"/>
  </r>
  <r>
    <s v=""/>
    <d v="2019-06-28T00:00:00"/>
    <d v="2019-07-16T06:26:47"/>
    <x v="0"/>
    <x v="1"/>
    <s v="NF6344"/>
    <n v="1479"/>
    <x v="4"/>
    <n v="0"/>
    <x v="10"/>
    <x v="2"/>
    <x v="11"/>
    <n v="2019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BA61E-0F96-4D22-917F-1BA02D97DBB5}" name="TdDetalhaReceit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0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9D54E-9DCC-49FD-88F9-74F779186C77}" name="TdDetalhaDespes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896E-143B-41EF-BB9D-2F6616586276}" name="TdContasPagar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 v="3"/>
    </i>
    <i r="1">
      <x v="6"/>
    </i>
    <i r="1">
      <x v="7"/>
    </i>
    <i t="default">
      <x/>
    </i>
    <i t="grand">
      <x/>
    </i>
  </colItems>
  <pageFields count="1">
    <pageField fld="10" item="2" hier="-1"/>
  </pageFields>
  <dataFields count="1">
    <dataField name="Soma de VALOR" fld="6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3C769-F252-4F83-9AD8-9E740037BF2F}" name="TdContasReceber" cacheId="0" applyNumberFormats="0" applyBorderFormats="0" applyFontFormats="0" applyPatternFormats="0" applyAlignmentFormats="0" applyWidthHeightFormats="1" dataCaption="Valores" showError="1" updatedVersion="8" minRefreshableVersion="3" itemPrintTitles="1" createdVersion="8" indent="0" outline="1" outlineData="1" multipleFieldFilters="0">
  <location ref="B6:N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2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pageFields count="1">
    <pageField fld="10" hier="-1"/>
  </pageFields>
  <dataFields count="1">
    <dataField name="Soma de VALOR" fld="6" baseField="4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44722-FE1E-4B7E-B26C-AAB2B6D52EBB}" name="TdContasReceber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2">
    <field x="3"/>
    <field x="4"/>
  </rowFields>
  <rowItems count="5">
    <i>
      <x/>
    </i>
    <i r="1">
      <x/>
    </i>
    <i r="1">
      <x v="1"/>
    </i>
    <i r="1">
      <x v="3"/>
    </i>
    <i t="grand">
      <x/>
    </i>
  </rowItems>
  <colFields count="2">
    <field x="13"/>
    <field x="9"/>
  </colFields>
  <colItems count="5">
    <i>
      <x v="1"/>
      <x v="8"/>
    </i>
    <i r="1">
      <x v="9"/>
    </i>
    <i r="1">
      <x v="10"/>
    </i>
    <i t="default">
      <x v="1"/>
    </i>
    <i t="grand">
      <x/>
    </i>
  </colItems>
  <pageFields count="1">
    <pageField fld="10" item="0" hier="-1"/>
  </pageFields>
  <dataFields count="1">
    <dataField name="Soma de VALOR" fld="6" baseField="4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ENCIA" xr10:uid="{915CF1B3-418E-4369-AB7C-420360F49E09}" sourceName="MÊS COMPETENCIA">
  <pivotTables>
    <pivotTable tabId="8" name="TdDetalhaReceita"/>
  </pivotTables>
  <data>
    <tabular pivotCacheId="63440384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ENCIA" xr10:uid="{68E76585-E7A2-407D-AD98-429900BB051E}" sourceName="ANO COMPETENCIA">
  <pivotTables>
    <pivotTable tabId="8" name="TdDetalhaReceita"/>
  </pivotTables>
  <data>
    <tabular pivotCacheId="63440384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255C07BD-68DF-4ECD-82A0-C7B919C942B6}" sourceName="MÊS COMPETÊNCIA">
  <pivotTables>
    <pivotTable tabId="9" name="TdDetalhaDespesa"/>
  </pivotTables>
  <data>
    <tabular pivotCacheId="1076777787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CE2729CC-F920-451A-849B-52548B67DC9A}" sourceName="ANO COMPETÊNCIA">
  <pivotTables>
    <pivotTable tabId="9" name="TdDetalhaDespesa"/>
  </pivotTables>
  <data>
    <tabular pivotCacheId="1076777787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854290B1-0658-4F35-9310-B30BD13BF42B}" sourceName="ANO COMPETÊNCIA">
  <pivotTables>
    <pivotTable tabId="10" name="TdContasPagar"/>
  </pivotTables>
  <data>
    <tabular pivotCacheId="1076777787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BBB000F6-FDC1-4A2B-99EC-F98F87D97EC9}" sourceName="MÊS PREVISTO">
  <pivotTables>
    <pivotTable tabId="10" name="TdContasPagar"/>
  </pivotTables>
  <data>
    <tabular pivotCacheId="1076777787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ENCIA1" xr10:uid="{EAB9A713-467E-48F8-9A26-457AF17C1248}" sourceName="ANO COMPETENCIA">
  <pivotTables>
    <pivotTable tabId="11" name="TdContasReceber"/>
  </pivotTables>
  <data>
    <tabular pivotCacheId="63440384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14E5C3B1-B2F6-48A4-9EA2-B189F663C23E}" sourceName="MÊS PREVISTO">
  <pivotTables>
    <pivotTable tabId="11" name="TdContasReceber"/>
  </pivotTables>
  <data>
    <tabular pivotCacheId="63440384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ENCIA2" xr10:uid="{E95880EC-334C-45A3-A495-9F0702EFE170}" sourceName="ANO COMPETENCIA">
  <pivotTables>
    <pivotTable tabId="12" name="TdContasReceber"/>
  </pivotTables>
  <data>
    <tabular pivotCacheId="6344038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ENCIA" xr10:uid="{D5696171-875B-49E4-AC84-14455A92FC61}" cache="SegmentaçãodeDados_MÊS_COMPETENCIA" caption="MÊS COMPETENCIA" columnCount="6" rowHeight="241300"/>
  <slicer name="ANO COMPETENCIA" xr10:uid="{1E2E16F4-F670-4A99-95C6-57CFEF0821D0}" cache="SegmentaçãodeDados_ANO_COMPETENCIA" caption="ANO COMPETENCIA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8B385D5C-92DE-404A-8426-58EFB2ACBBE4}" cache="SegmentaçãodeDados_MÊS_COMPETÊNCIA" caption="MÊS COMPETÊNCIA" columnCount="6" rowHeight="241300"/>
  <slicer name="ANO COMPETÊNCIA" xr10:uid="{458FBD67-A5D6-409A-B8E7-C7E97357B431}" cache="SegmentaçãodeDados_ANO_COMPETÊNCIA" caption="ANO COMPETÊNCIA" columnCount="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1" xr10:uid="{FF25D468-ECA1-4492-A9AC-6628BC1EC19F}" cache="SegmentaçãodeDados_ANO_COMPETÊNCIA1" caption="ANO COMPETÊNCIA" rowHeight="241300"/>
  <slicer name="MÊS PREVISTO" xr10:uid="{2B242C05-71AD-41E8-B0BD-BE3444F06B98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ENCIA 1" xr10:uid="{21EA0FBB-4EE5-417D-9E3A-806351BCF569}" cache="SegmentaçãodeDados_ANO_COMPETENCIA1" caption="ANO COMPETENCIA" rowHeight="241300"/>
  <slicer name="MÊS PREVISTO 1" xr10:uid="{C738A250-A73F-4FE1-8894-4A0BBED2E044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ENCIA 2" xr10:uid="{3C5AF5E8-CC2B-4EFB-8C67-F05DB75BD447}" cache="SegmentaçãodeDados_ANO_COMPETENCIA2" caption="ANO COMPETE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6C9D3-0BC1-4C81-BCF3-4555E98E68EF}" name="TbPCEntradasN1" displayName="TbPCEntradasN1" ref="B4:B9" totalsRowShown="0" headerRowDxfId="39" headerRowBorderDxfId="38">
  <autoFilter ref="B4:B9" xr:uid="{A8E6C9D3-0BC1-4C81-BCF3-4555E98E68EF}"/>
  <tableColumns count="1">
    <tableColumn id="1" xr3:uid="{7CC46929-90D4-406F-BD8F-ACE74221F061}" name="Nível 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7C99B-5FF5-4421-A1D8-11273CFEFA7E}" name="TbPCEntradasN2" displayName="TbPCEntradasN2" ref="B4:C13" totalsRowShown="0" headerRowDxfId="37" headerRowBorderDxfId="36">
  <autoFilter ref="B4:C13" xr:uid="{9C37C99B-5FF5-4421-A1D8-11273CFEFA7E}"/>
  <tableColumns count="2">
    <tableColumn id="1" xr3:uid="{B61875AE-4A5E-40EB-A14F-4E935CD7ABEF}" name="Nível 1"/>
    <tableColumn id="2" xr3:uid="{077EEA83-DE1D-4EA8-B9AB-4A0102647128}" name="Níve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3EE63-AF81-4697-A37B-C60D4D8A38A2}" name="TbPCSaídasN1" displayName="TbPCSaídasN1" ref="B4:B10" totalsRowShown="0" headerRowDxfId="35">
  <autoFilter ref="B4:B10" xr:uid="{B9B3EE63-AF81-4697-A37B-C60D4D8A38A2}"/>
  <tableColumns count="1">
    <tableColumn id="1" xr3:uid="{2144CE65-7BE4-4EF0-A334-EBE9AF3FBFBD}" name="NÍVEL 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62F31F-3BC1-46FA-A47C-12C65865CC42}" name="TbPCSaídasN2" displayName="TbPCSaídasN2" ref="B4:C16" totalsRowShown="0" headerRowDxfId="34" headerRowBorderDxfId="33">
  <autoFilter ref="B4:C16" xr:uid="{D062F31F-3BC1-46FA-A47C-12C65865CC42}"/>
  <tableColumns count="2">
    <tableColumn id="1" xr3:uid="{6B2C899C-8BD0-41B1-AF59-E9C3A58E6F39}" name="Nível 1"/>
    <tableColumn id="2" xr3:uid="{345EAAF8-FFBB-409E-864B-2AAAA440F839}" name="Nível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F5A105-3862-411F-B182-E5F18B0A5D8C}" name="TbRegistroEntradas" displayName="TbRegistroEntradas" ref="B3:R234" totalsRowShown="0" headerRowDxfId="32">
  <autoFilter ref="B3:R234" xr:uid="{B4F5A105-3862-411F-B182-E5F18B0A5D8C}"/>
  <tableColumns count="17">
    <tableColumn id="1" xr3:uid="{1272ACA1-8FAD-42C1-9D41-495456D3A061}" name="DATA DO CAIXA REALIZADO" dataDxfId="31"/>
    <tableColumn id="2" xr3:uid="{A125107B-0C49-4435-9E55-C25BB26321F0}" name="DATA DA COMPETENCIA" dataDxfId="30"/>
    <tableColumn id="3" xr3:uid="{7AD935A6-234C-44F9-B930-FE788E90A215}" name="DATA DO CAIXA PREVISTA" dataDxfId="29"/>
    <tableColumn id="4" xr3:uid="{CBA4165A-BA9C-482E-8360-62429DC8DAD1}" name="CONTA NÍVEL 1"/>
    <tableColumn id="5" xr3:uid="{8F97C5BA-D27F-4F26-93E7-DB7C251801D7}" name="CONTA NÍVEL 2"/>
    <tableColumn id="6" xr3:uid="{52AD4806-3048-4FA1-8533-B031A1916A7F}" name="HISTÓRICO"/>
    <tableColumn id="7" xr3:uid="{3014A888-60A4-4382-9EBD-AFABB8EFBEFF}" name="VALOR" dataDxfId="28"/>
    <tableColumn id="8" xr3:uid="{6F48FB95-6F68-4BB0-8CD8-F28CB59F42C0}" name="MÊS CAIXA" dataDxfId="27">
      <calculatedColumnFormula>IF(TbRegistroEntradas[[#This Row],[DATA DO CAIXA REALIZADO]]="",0,MONTH(TbRegistroEntradas[[#This Row],[DATA DO CAIXA REALIZADO]]))</calculatedColumnFormula>
    </tableColumn>
    <tableColumn id="9" xr3:uid="{CFCA6D26-4C34-4058-B5DE-889868556E19}" name="ANO CAIXA" dataDxfId="26">
      <calculatedColumnFormula>IF(TbRegistroEntradas[[#This Row],[DATA DO CAIXA REALIZADO]]="",0,YEAR(TbRegistroEntradas[[#This Row],[DATA DO CAIXA REALIZADO]]))</calculatedColumnFormula>
    </tableColumn>
    <tableColumn id="10" xr3:uid="{0D160E15-B73E-4400-BF4F-D73BEC1416A3}" name="MÊS COMPETENCIA" dataDxfId="25">
      <calculatedColumnFormula>IF(TbRegistroEntradas[[#This Row],[DATA DA COMPETENCIA]]="",0,MONTH(TbRegistroEntradas[[#This Row],[DATA DA COMPETENCIA]]))</calculatedColumnFormula>
    </tableColumn>
    <tableColumn id="11" xr3:uid="{6F763350-23B9-4809-9E15-3E92A4FA407D}" name="ANO COMPETENCIA" dataDxfId="24">
      <calculatedColumnFormula>IF(TbRegistroEntradas[[#This Row],[DATA DA COMPETENCIA]]="",0,YEAR(TbRegistroEntradas[[#This Row],[DATA DA COMPETENCIA]]))</calculatedColumnFormula>
    </tableColumn>
    <tableColumn id="12" xr3:uid="{E8C2D46F-7B24-43A8-87C0-497A9DF8AFA0}" name="MÊS PREVISTO" dataDxfId="23">
      <calculatedColumnFormula>IF(TbRegistroEntradas[[#This Row],[DATA DO CAIXA PREVISTA]]="",0,MONTH(TbRegistroEntradas[[#This Row],[DATA DO CAIXA PREVISTA]]))</calculatedColumnFormula>
    </tableColumn>
    <tableColumn id="13" xr3:uid="{3FE1BD44-1EDD-4811-B69A-D6816BDAABE2}" name="ANO PREVISTO" dataDxfId="22">
      <calculatedColumnFormula>IF(TbRegistroEntradas[[#This Row],[DATA DO CAIXA PREVISTA]]="",0,YEAR(TbRegistroEntradas[[#This Row],[DATA DO CAIXA PREVISTA]]))</calculatedColumnFormula>
    </tableColumn>
    <tableColumn id="14" xr3:uid="{9914B1D2-01D4-4E0E-BA44-850FEE2FAD6D}" name="CONTA VENCIDA" dataDxfId="21">
      <calculatedColumnFormula>IF(AND(TbRegistroEntradas[[#This Row],[DATA DO CAIXA PREVISTA]]&lt;TODAY(),TbRegistroEntradas[[#This Row],[DATA DO CAIXA REALIZADO]]=""),"Vencida","Não Vencida")</calculatedColumnFormula>
    </tableColumn>
    <tableColumn id="15" xr3:uid="{03244E34-290B-474F-80D5-767BEB94BD29}" name="VENDA A VISTA" dataDxfId="20">
      <calculatedColumnFormula>IF(TbRegistroEntradas[[#This Row],[DATA DA COMPETENCIA]]=TbRegistroEntradas[[#This Row],[DATA DO CAIXA PREVISTA INT]],"VISTA","PRAZO")</calculatedColumnFormula>
    </tableColumn>
    <tableColumn id="16" xr3:uid="{C97468BC-A517-47F0-9DDD-0C4F1057BA24}" name="DATA DO CAIXA PREVISTA INT" dataDxfId="19">
      <calculatedColumnFormula>INT(TbRegistroEntradas[[#This Row],[DATA DO CAIXA PREVISTA]])</calculatedColumnFormula>
    </tableColumn>
    <tableColumn id="17" xr3:uid="{9EA4CB1C-E40B-497D-BF82-CCB7D510E77D}" name="DIAS DE ATRASO" dataDxfId="18">
      <calculatedColumnFormula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141E63-A9CE-4E24-9154-C53A322F3477}" name="TbRegistroSaídas" displayName="TbRegistroSaídas" ref="B3:O232" totalsRowShown="0" headerRowDxfId="17">
  <autoFilter ref="B3:O232" xr:uid="{B4F5A105-3862-411F-B182-E5F18B0A5D8C}"/>
  <tableColumns count="14">
    <tableColumn id="1" xr3:uid="{858187D4-F98C-4649-A28B-008B62C6DFE1}" name="DATA DO CAIXA REALIZADO" dataDxfId="16"/>
    <tableColumn id="2" xr3:uid="{EA30FFF6-B00D-4E90-98DA-9014CFE5434D}" name="DATA DA COMPETENCIA" dataDxfId="15"/>
    <tableColumn id="3" xr3:uid="{DF56CAF2-A6FC-4149-BC1E-435F2C6930AB}" name="DATA DO CAIXA PREVISTA" dataDxfId="14"/>
    <tableColumn id="4" xr3:uid="{CBD10251-C846-4600-B003-2110D496C048}" name="CONTA NÍVEL 1"/>
    <tableColumn id="5" xr3:uid="{73674FE5-B569-415F-8FCD-A678E7293128}" name="CONTA NÍVEL 2"/>
    <tableColumn id="6" xr3:uid="{CEE5E6F9-D413-475B-97F7-C156658BE6CA}" name="HISTÓRICO"/>
    <tableColumn id="7" xr3:uid="{C9A40831-2FDF-48F9-B74A-CDA7BA434746}" name="VALOR" dataDxfId="13"/>
    <tableColumn id="8" xr3:uid="{7572E933-59B1-4D5B-9728-F196BBB0BDFF}" name="MÊS CAIXA" dataDxfId="12">
      <calculatedColumnFormula>IF(TbRegistroSaídas[[#This Row],[DATA DO CAIXA REALIZADO]]="",0,MONTH(TbRegistroSaídas[[#This Row],[DATA DO CAIXA REALIZADO]]))</calculatedColumnFormula>
    </tableColumn>
    <tableColumn id="9" xr3:uid="{6FF16585-CA2A-41DD-926C-1F6D676C229E}" name="ANO CAIXA" dataDxfId="11">
      <calculatedColumnFormula>IF(TbRegistroSaídas[[#This Row],[DATA DO CAIXA REALIZADO]]="",0,YEAR(TbRegistroSaídas[[#This Row],[DATA DO CAIXA REALIZADO]]))</calculatedColumnFormula>
    </tableColumn>
    <tableColumn id="10" xr3:uid="{3B58BBEE-EDD2-458A-89E5-150079B7047F}" name="MÊS COMPETÊNCIA" dataDxfId="10">
      <calculatedColumnFormula>IF(TbRegistroSaídas[[#This Row],[DATA DA COMPETENCIA]]="",0,MONTH(TbRegistroSaídas[[#This Row],[DATA DA COMPETENCIA]]))</calculatedColumnFormula>
    </tableColumn>
    <tableColumn id="11" xr3:uid="{6B20A5C6-0DE4-4266-ADE3-295C16CB2B98}" name="ANO COMPETÊNCIA" dataDxfId="9">
      <calculatedColumnFormula>IF(TbRegistroSaídas[[#This Row],[DATA DA COMPETENCIA]]="",0,YEAR(TbRegistroSaídas[[#This Row],[DATA DA COMPETENCIA]]))</calculatedColumnFormula>
    </tableColumn>
    <tableColumn id="12" xr3:uid="{D3709DE5-9FF2-45E3-B8EC-9C4DCA3B67C1}" name="MÊS PREVISTO" dataDxfId="8">
      <calculatedColumnFormula>IF(TbRegistroSaídas[[#This Row],[DATA DO CAIXA PREVISTA]]="",0,MONTH(TbRegistroSaídas[[#This Row],[DATA DO CAIXA PREVISTA]]))</calculatedColumnFormula>
    </tableColumn>
    <tableColumn id="13" xr3:uid="{D4FFA35C-F908-438E-A62B-DBBA66B90E61}" name="ANO PREVISTO" dataDxfId="7">
      <calculatedColumnFormula>IF(TbRegistroSaídas[[#This Row],[DATA DO CAIXA PREVISTA]]="",0,YEAR(TbRegistroSaídas[[#This Row],[DATA DO CAIXA PREVISTA]]))</calculatedColumnFormula>
    </tableColumn>
    <tableColumn id="14" xr3:uid="{11ADBBE5-12F8-4A05-8F26-7CF97F541F5C}" name="DIAS DE ATRASO" dataDxfId="6">
      <calculatedColumnFormula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2824-7A53-4B4F-BACA-8A38C436C4CB}">
  <dimension ref="A1:O39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3" customWidth="1"/>
    <col min="2" max="2" width="40.7109375" customWidth="1"/>
    <col min="3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39.950000000000003" customHeight="1" x14ac:dyDescent="0.25"/>
    <row r="3" spans="2:14" ht="20.100000000000001" customHeight="1" x14ac:dyDescent="0.25">
      <c r="B3" s="5" t="s">
        <v>2</v>
      </c>
    </row>
    <row r="4" spans="2:14" ht="20.100000000000001" customHeight="1" x14ac:dyDescent="0.25">
      <c r="B4" s="185" t="s">
        <v>3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s="5" t="s">
        <v>4</v>
      </c>
    </row>
    <row r="8" spans="2:14" ht="20.100000000000001" customHeight="1" x14ac:dyDescent="0.25">
      <c r="B8" s="185" t="s">
        <v>510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20.100000000000001" customHeight="1" x14ac:dyDescent="0.25"/>
    <row r="19" spans="4:14" ht="20.100000000000001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4" ht="20.100000000000001" customHeigh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842-8A1B-45C5-A44C-90901593DBDB}">
  <dimension ref="A1:XFC20"/>
  <sheetViews>
    <sheetView showGridLines="0" showRowColHeaders="0" workbookViewId="0"/>
  </sheetViews>
  <sheetFormatPr defaultColWidth="0" defaultRowHeight="15" x14ac:dyDescent="0.25"/>
  <cols>
    <col min="1" max="1" width="3" customWidth="1"/>
    <col min="2" max="2" width="32.7109375" customWidth="1"/>
    <col min="3" max="15" width="11.7109375" customWidth="1"/>
    <col min="16" max="16383" width="9.140625" hidden="1"/>
    <col min="16384" max="16384" width="0.140625" hidden="1" customWidth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12</v>
      </c>
    </row>
    <row r="2" spans="2:15" ht="74.2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0.100000000000001" customHeight="1" x14ac:dyDescent="0.25"/>
    <row r="4" spans="2:15" ht="20.100000000000001" customHeight="1" x14ac:dyDescent="0.25">
      <c r="B4" s="43" t="s">
        <v>540</v>
      </c>
      <c r="C4" t="s">
        <v>543</v>
      </c>
    </row>
    <row r="5" spans="2:15" ht="20.100000000000001" customHeight="1" x14ac:dyDescent="0.25"/>
    <row r="6" spans="2:15" ht="20.100000000000001" customHeight="1" x14ac:dyDescent="0.25">
      <c r="B6" s="43" t="s">
        <v>547</v>
      </c>
      <c r="C6" s="43" t="s">
        <v>546</v>
      </c>
    </row>
    <row r="7" spans="2:15" ht="20.100000000000001" customHeight="1" x14ac:dyDescent="0.25">
      <c r="B7" s="43" t="s">
        <v>544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545</v>
      </c>
    </row>
    <row r="8" spans="2:15" ht="20.100000000000001" customHeight="1" x14ac:dyDescent="0.25">
      <c r="B8" s="24" t="s">
        <v>20</v>
      </c>
      <c r="C8" s="45">
        <v>43479</v>
      </c>
      <c r="D8" s="45">
        <v>56516</v>
      </c>
      <c r="E8" s="45">
        <v>56059</v>
      </c>
      <c r="F8" s="45">
        <v>53165</v>
      </c>
      <c r="G8" s="45">
        <v>41611</v>
      </c>
      <c r="H8" s="45">
        <v>40576</v>
      </c>
      <c r="I8" s="45">
        <v>33298</v>
      </c>
      <c r="J8" s="45">
        <v>32438</v>
      </c>
      <c r="K8" s="45">
        <v>57887</v>
      </c>
      <c r="L8" s="45">
        <v>60137</v>
      </c>
      <c r="M8" s="45">
        <v>62513</v>
      </c>
      <c r="N8" s="45">
        <v>50431</v>
      </c>
      <c r="O8" s="45">
        <v>588110</v>
      </c>
    </row>
    <row r="9" spans="2:15" ht="20.100000000000001" customHeight="1" x14ac:dyDescent="0.25">
      <c r="B9" s="44" t="s">
        <v>46</v>
      </c>
      <c r="C9" s="45">
        <v>6857</v>
      </c>
      <c r="D9" s="45">
        <v>4461</v>
      </c>
      <c r="E9" s="45">
        <v>4800</v>
      </c>
      <c r="F9" s="45"/>
      <c r="G9" s="45">
        <v>10875</v>
      </c>
      <c r="H9" s="45">
        <v>9700</v>
      </c>
      <c r="I9" s="45">
        <v>2713</v>
      </c>
      <c r="J9" s="45">
        <v>3080</v>
      </c>
      <c r="K9" s="45">
        <v>2502</v>
      </c>
      <c r="L9" s="45">
        <v>7137</v>
      </c>
      <c r="M9" s="45">
        <v>7046</v>
      </c>
      <c r="N9" s="45">
        <v>4559</v>
      </c>
      <c r="O9" s="45">
        <v>63730</v>
      </c>
    </row>
    <row r="10" spans="2:15" ht="20.100000000000001" customHeight="1" x14ac:dyDescent="0.25">
      <c r="B10" s="44" t="s">
        <v>37</v>
      </c>
      <c r="C10" s="45">
        <v>3843</v>
      </c>
      <c r="D10" s="45">
        <v>11762</v>
      </c>
      <c r="E10" s="45">
        <v>9651</v>
      </c>
      <c r="F10" s="45">
        <v>14524</v>
      </c>
      <c r="G10" s="45">
        <v>5167</v>
      </c>
      <c r="H10" s="45">
        <v>2114</v>
      </c>
      <c r="I10" s="45">
        <v>8337</v>
      </c>
      <c r="J10" s="45">
        <v>7817</v>
      </c>
      <c r="K10" s="45">
        <v>14528</v>
      </c>
      <c r="L10" s="45">
        <v>10422</v>
      </c>
      <c r="M10" s="45">
        <v>10619</v>
      </c>
      <c r="N10" s="45">
        <v>16304</v>
      </c>
      <c r="O10" s="45">
        <v>115088</v>
      </c>
    </row>
    <row r="11" spans="2:15" ht="20.100000000000001" customHeight="1" x14ac:dyDescent="0.25">
      <c r="B11" s="44" t="s">
        <v>38</v>
      </c>
      <c r="C11" s="45">
        <v>6759</v>
      </c>
      <c r="D11" s="45">
        <v>13905</v>
      </c>
      <c r="E11" s="45">
        <v>10836</v>
      </c>
      <c r="F11" s="45">
        <v>5066</v>
      </c>
      <c r="G11" s="45">
        <v>2805</v>
      </c>
      <c r="H11" s="45">
        <v>4706</v>
      </c>
      <c r="I11" s="45">
        <v>1306</v>
      </c>
      <c r="J11" s="45"/>
      <c r="K11" s="45">
        <v>10681</v>
      </c>
      <c r="L11" s="45">
        <v>6465</v>
      </c>
      <c r="M11" s="45">
        <v>7373</v>
      </c>
      <c r="N11" s="45"/>
      <c r="O11" s="45">
        <v>69902</v>
      </c>
    </row>
    <row r="12" spans="2:15" ht="20.100000000000001" customHeight="1" x14ac:dyDescent="0.25">
      <c r="B12" s="44" t="s">
        <v>36</v>
      </c>
      <c r="C12" s="45">
        <v>18745</v>
      </c>
      <c r="D12" s="45">
        <v>20692</v>
      </c>
      <c r="E12" s="45">
        <v>13156</v>
      </c>
      <c r="F12" s="45">
        <v>32957</v>
      </c>
      <c r="G12" s="45">
        <v>13902</v>
      </c>
      <c r="H12" s="45">
        <v>19226</v>
      </c>
      <c r="I12" s="45">
        <v>12594</v>
      </c>
      <c r="J12" s="45">
        <v>11590</v>
      </c>
      <c r="K12" s="45">
        <v>27785</v>
      </c>
      <c r="L12" s="45">
        <v>20341</v>
      </c>
      <c r="M12" s="45">
        <v>28005</v>
      </c>
      <c r="N12" s="45">
        <v>17080</v>
      </c>
      <c r="O12" s="45">
        <v>236073</v>
      </c>
    </row>
    <row r="13" spans="2:15" ht="20.100000000000001" customHeight="1" x14ac:dyDescent="0.25">
      <c r="B13" s="44" t="s">
        <v>23</v>
      </c>
      <c r="C13" s="45">
        <v>7275</v>
      </c>
      <c r="D13" s="45">
        <v>5696</v>
      </c>
      <c r="E13" s="45">
        <v>17616</v>
      </c>
      <c r="F13" s="45">
        <v>618</v>
      </c>
      <c r="G13" s="45">
        <v>8862</v>
      </c>
      <c r="H13" s="45">
        <v>4830</v>
      </c>
      <c r="I13" s="45">
        <v>8348</v>
      </c>
      <c r="J13" s="45">
        <v>9951</v>
      </c>
      <c r="K13" s="45">
        <v>2391</v>
      </c>
      <c r="L13" s="45">
        <v>15772</v>
      </c>
      <c r="M13" s="45">
        <v>9470</v>
      </c>
      <c r="N13" s="45">
        <v>12488</v>
      </c>
      <c r="O13" s="45">
        <v>103317</v>
      </c>
    </row>
    <row r="14" spans="2:15" ht="20.100000000000001" customHeight="1" x14ac:dyDescent="0.25">
      <c r="B14" s="24" t="s">
        <v>545</v>
      </c>
      <c r="C14" s="45">
        <v>43479</v>
      </c>
      <c r="D14" s="45">
        <v>56516</v>
      </c>
      <c r="E14" s="45">
        <v>56059</v>
      </c>
      <c r="F14" s="45">
        <v>53165</v>
      </c>
      <c r="G14" s="45">
        <v>41611</v>
      </c>
      <c r="H14" s="45">
        <v>40576</v>
      </c>
      <c r="I14" s="45">
        <v>33298</v>
      </c>
      <c r="J14" s="45">
        <v>32438</v>
      </c>
      <c r="K14" s="45">
        <v>57887</v>
      </c>
      <c r="L14" s="45">
        <v>60137</v>
      </c>
      <c r="M14" s="45">
        <v>62513</v>
      </c>
      <c r="N14" s="45">
        <v>50431</v>
      </c>
      <c r="O14" s="45">
        <v>588110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3A8A-74AD-49EA-83B6-46B072173E97}">
  <dimension ref="A1:O20"/>
  <sheetViews>
    <sheetView showGridLines="0" showRowColHeaders="0" workbookViewId="0">
      <selection activeCell="M3" sqref="M3"/>
    </sheetView>
  </sheetViews>
  <sheetFormatPr defaultColWidth="0" defaultRowHeight="15" x14ac:dyDescent="0.25"/>
  <cols>
    <col min="1" max="1" width="3" customWidth="1"/>
    <col min="2" max="2" width="24.140625" bestFit="1" customWidth="1"/>
    <col min="3" max="3" width="19.5703125" bestFit="1" customWidth="1"/>
    <col min="4" max="14" width="9.5703125" bestFit="1" customWidth="1"/>
    <col min="15" max="15" width="10.7109375" bestFit="1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2:15" ht="72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0.100000000000001" customHeight="1" x14ac:dyDescent="0.25"/>
    <row r="4" spans="2:15" ht="20.100000000000001" customHeight="1" x14ac:dyDescent="0.25">
      <c r="B4" s="43" t="s">
        <v>542</v>
      </c>
      <c r="C4" t="s">
        <v>543</v>
      </c>
    </row>
    <row r="5" spans="2:15" ht="20.100000000000001" customHeight="1" x14ac:dyDescent="0.25"/>
    <row r="6" spans="2:15" ht="20.100000000000001" customHeight="1" x14ac:dyDescent="0.25">
      <c r="B6" s="43" t="s">
        <v>547</v>
      </c>
      <c r="C6" s="43" t="s">
        <v>546</v>
      </c>
    </row>
    <row r="7" spans="2:15" ht="20.100000000000001" customHeight="1" x14ac:dyDescent="0.25">
      <c r="B7" s="43" t="s">
        <v>544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545</v>
      </c>
    </row>
    <row r="8" spans="2:15" ht="20.100000000000001" customHeight="1" x14ac:dyDescent="0.25">
      <c r="B8" s="24" t="s">
        <v>47</v>
      </c>
      <c r="C8" s="46">
        <v>72353</v>
      </c>
      <c r="D8" s="46">
        <v>51906</v>
      </c>
      <c r="E8" s="46">
        <v>55619</v>
      </c>
      <c r="F8" s="46">
        <v>41790</v>
      </c>
      <c r="G8" s="46">
        <v>62092</v>
      </c>
      <c r="H8" s="46">
        <v>41896</v>
      </c>
      <c r="I8" s="46">
        <v>34065</v>
      </c>
      <c r="J8" s="46">
        <v>32710</v>
      </c>
      <c r="K8" s="46">
        <v>42011</v>
      </c>
      <c r="L8" s="46">
        <v>46262</v>
      </c>
      <c r="M8" s="46">
        <v>48607</v>
      </c>
      <c r="N8" s="46">
        <v>55563</v>
      </c>
      <c r="O8" s="46">
        <v>584874</v>
      </c>
    </row>
    <row r="9" spans="2:15" ht="20.100000000000001" customHeight="1" x14ac:dyDescent="0.25">
      <c r="B9" s="44" t="s">
        <v>46</v>
      </c>
      <c r="C9" s="46">
        <v>7953</v>
      </c>
      <c r="D9" s="46">
        <v>4012</v>
      </c>
      <c r="E9" s="46">
        <v>15192</v>
      </c>
      <c r="F9" s="46">
        <v>6213</v>
      </c>
      <c r="G9" s="46">
        <v>6400</v>
      </c>
      <c r="H9" s="46">
        <v>1613</v>
      </c>
      <c r="I9" s="46"/>
      <c r="J9" s="46">
        <v>9987</v>
      </c>
      <c r="K9" s="46">
        <v>5001</v>
      </c>
      <c r="L9" s="46">
        <v>13446</v>
      </c>
      <c r="M9" s="46">
        <v>1542</v>
      </c>
      <c r="N9" s="46">
        <v>16042</v>
      </c>
      <c r="O9" s="46">
        <v>87401</v>
      </c>
    </row>
    <row r="10" spans="2:15" ht="20.100000000000001" customHeight="1" x14ac:dyDescent="0.25">
      <c r="B10" s="44" t="s">
        <v>37</v>
      </c>
      <c r="C10" s="46">
        <v>6054</v>
      </c>
      <c r="D10" s="46">
        <v>15916</v>
      </c>
      <c r="E10" s="46">
        <v>474</v>
      </c>
      <c r="F10" s="46">
        <v>3722</v>
      </c>
      <c r="G10" s="46">
        <v>18195</v>
      </c>
      <c r="H10" s="46">
        <v>10540</v>
      </c>
      <c r="I10" s="46">
        <v>14461</v>
      </c>
      <c r="J10" s="46">
        <v>4383</v>
      </c>
      <c r="K10" s="46">
        <v>3022</v>
      </c>
      <c r="L10" s="46">
        <v>1158</v>
      </c>
      <c r="M10" s="46">
        <v>7204</v>
      </c>
      <c r="N10" s="46">
        <v>5768</v>
      </c>
      <c r="O10" s="46">
        <v>90897</v>
      </c>
    </row>
    <row r="11" spans="2:15" ht="20.100000000000001" customHeight="1" x14ac:dyDescent="0.25">
      <c r="B11" s="44" t="s">
        <v>38</v>
      </c>
      <c r="C11" s="46">
        <v>2247</v>
      </c>
      <c r="D11" s="46">
        <v>10721</v>
      </c>
      <c r="E11" s="46">
        <v>8747</v>
      </c>
      <c r="F11" s="46">
        <v>7574</v>
      </c>
      <c r="G11" s="46"/>
      <c r="H11" s="46"/>
      <c r="I11" s="46">
        <v>1108</v>
      </c>
      <c r="J11" s="46">
        <v>4462</v>
      </c>
      <c r="K11" s="46">
        <v>7143</v>
      </c>
      <c r="L11" s="46">
        <v>14837</v>
      </c>
      <c r="M11" s="46">
        <v>5208</v>
      </c>
      <c r="N11" s="46">
        <v>8248</v>
      </c>
      <c r="O11" s="46">
        <v>70295</v>
      </c>
    </row>
    <row r="12" spans="2:15" ht="20.100000000000001" customHeight="1" x14ac:dyDescent="0.25">
      <c r="B12" s="44" t="s">
        <v>23</v>
      </c>
      <c r="C12" s="46">
        <v>23815</v>
      </c>
      <c r="D12" s="46">
        <v>4148</v>
      </c>
      <c r="E12" s="46">
        <v>9064</v>
      </c>
      <c r="F12" s="46"/>
      <c r="G12" s="46">
        <v>9140</v>
      </c>
      <c r="H12" s="46">
        <v>15271</v>
      </c>
      <c r="I12" s="46">
        <v>7688</v>
      </c>
      <c r="J12" s="46">
        <v>7095</v>
      </c>
      <c r="K12" s="46">
        <v>9665</v>
      </c>
      <c r="L12" s="46">
        <v>1260</v>
      </c>
      <c r="M12" s="46">
        <v>5147</v>
      </c>
      <c r="N12" s="46">
        <v>6405</v>
      </c>
      <c r="O12" s="46">
        <v>98698</v>
      </c>
    </row>
    <row r="13" spans="2:15" ht="20.100000000000001" customHeight="1" x14ac:dyDescent="0.25">
      <c r="B13" s="44" t="s">
        <v>52</v>
      </c>
      <c r="C13" s="46">
        <v>32284</v>
      </c>
      <c r="D13" s="46">
        <v>17109</v>
      </c>
      <c r="E13" s="46">
        <v>22142</v>
      </c>
      <c r="F13" s="46">
        <v>24281</v>
      </c>
      <c r="G13" s="46">
        <v>28357</v>
      </c>
      <c r="H13" s="46">
        <v>14472</v>
      </c>
      <c r="I13" s="46">
        <v>10808</v>
      </c>
      <c r="J13" s="46">
        <v>6783</v>
      </c>
      <c r="K13" s="46">
        <v>17180</v>
      </c>
      <c r="L13" s="46">
        <v>15561</v>
      </c>
      <c r="M13" s="46">
        <v>29506</v>
      </c>
      <c r="N13" s="46">
        <v>19100</v>
      </c>
      <c r="O13" s="46">
        <v>237583</v>
      </c>
    </row>
    <row r="14" spans="2:15" ht="20.100000000000001" customHeight="1" x14ac:dyDescent="0.25">
      <c r="B14" s="24" t="s">
        <v>545</v>
      </c>
      <c r="C14" s="46">
        <v>72353</v>
      </c>
      <c r="D14" s="46">
        <v>51906</v>
      </c>
      <c r="E14" s="46">
        <v>55619</v>
      </c>
      <c r="F14" s="46">
        <v>41790</v>
      </c>
      <c r="G14" s="46">
        <v>62092</v>
      </c>
      <c r="H14" s="46">
        <v>41896</v>
      </c>
      <c r="I14" s="46">
        <v>34065</v>
      </c>
      <c r="J14" s="46">
        <v>32710</v>
      </c>
      <c r="K14" s="46">
        <v>42011</v>
      </c>
      <c r="L14" s="46">
        <v>46262</v>
      </c>
      <c r="M14" s="46">
        <v>48607</v>
      </c>
      <c r="N14" s="46">
        <v>55563</v>
      </c>
      <c r="O14" s="46">
        <v>584874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EFBE-2FDE-414D-802B-6FABB92BA3FF}">
  <dimension ref="A1:O20"/>
  <sheetViews>
    <sheetView showGridLines="0" showRowColHeaders="0" workbookViewId="0">
      <selection activeCell="M15" sqref="M15"/>
    </sheetView>
  </sheetViews>
  <sheetFormatPr defaultColWidth="0" defaultRowHeight="15" x14ac:dyDescent="0.25"/>
  <cols>
    <col min="1" max="1" width="3" customWidth="1"/>
    <col min="2" max="2" width="40.7109375" customWidth="1"/>
    <col min="3" max="15" width="11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0.100000000000001" customHeight="1" x14ac:dyDescent="0.25"/>
    <row r="4" spans="2:15" ht="20.100000000000001" customHeight="1" x14ac:dyDescent="0.25">
      <c r="B4" s="43" t="s">
        <v>542</v>
      </c>
      <c r="C4" s="24">
        <v>2019</v>
      </c>
    </row>
    <row r="5" spans="2:15" ht="20.100000000000001" customHeight="1" x14ac:dyDescent="0.25"/>
    <row r="6" spans="2:15" ht="20.100000000000001" customHeight="1" x14ac:dyDescent="0.25">
      <c r="B6" s="43" t="s">
        <v>547</v>
      </c>
      <c r="C6" s="43" t="s">
        <v>546</v>
      </c>
    </row>
    <row r="7" spans="2:15" ht="20.100000000000001" customHeight="1" x14ac:dyDescent="0.25">
      <c r="C7">
        <v>0</v>
      </c>
      <c r="F7" t="s">
        <v>550</v>
      </c>
      <c r="G7" t="s">
        <v>545</v>
      </c>
    </row>
    <row r="8" spans="2:15" ht="20.100000000000001" customHeight="1" x14ac:dyDescent="0.25">
      <c r="B8" s="43" t="s">
        <v>544</v>
      </c>
      <c r="C8">
        <v>4</v>
      </c>
      <c r="D8">
        <v>7</v>
      </c>
      <c r="E8">
        <v>8</v>
      </c>
    </row>
    <row r="9" spans="2:15" ht="20.100000000000001" customHeight="1" x14ac:dyDescent="0.25">
      <c r="B9" s="24" t="s">
        <v>47</v>
      </c>
      <c r="C9" s="46">
        <v>1753</v>
      </c>
      <c r="D9" s="46">
        <v>2338</v>
      </c>
      <c r="E9" s="46">
        <v>2759</v>
      </c>
      <c r="F9" s="46">
        <v>6850</v>
      </c>
      <c r="G9" s="46">
        <v>6850</v>
      </c>
    </row>
    <row r="10" spans="2:15" ht="20.100000000000001" customHeight="1" x14ac:dyDescent="0.25">
      <c r="B10" s="44" t="s">
        <v>23</v>
      </c>
      <c r="C10" s="46">
        <v>1753</v>
      </c>
      <c r="D10" s="46"/>
      <c r="E10" s="46">
        <v>2759</v>
      </c>
      <c r="F10" s="46">
        <v>4512</v>
      </c>
      <c r="G10" s="46">
        <v>4512</v>
      </c>
    </row>
    <row r="11" spans="2:15" ht="20.100000000000001" customHeight="1" x14ac:dyDescent="0.25">
      <c r="B11" s="44" t="s">
        <v>52</v>
      </c>
      <c r="C11" s="46"/>
      <c r="D11" s="46">
        <v>2338</v>
      </c>
      <c r="E11" s="46"/>
      <c r="F11" s="46">
        <v>2338</v>
      </c>
      <c r="G11" s="46">
        <v>2338</v>
      </c>
    </row>
    <row r="12" spans="2:15" ht="20.100000000000001" customHeight="1" x14ac:dyDescent="0.25">
      <c r="B12" s="24" t="s">
        <v>545</v>
      </c>
      <c r="C12" s="46">
        <v>1753</v>
      </c>
      <c r="D12" s="46">
        <v>2338</v>
      </c>
      <c r="E12" s="46">
        <v>2759</v>
      </c>
      <c r="F12" s="46">
        <v>6850</v>
      </c>
      <c r="G12" s="46">
        <v>6850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E5B7-9BFC-463B-B90B-B67A7433110F}">
  <dimension ref="A1:O20"/>
  <sheetViews>
    <sheetView showGridLines="0" showRowColHeaders="0" workbookViewId="0"/>
  </sheetViews>
  <sheetFormatPr defaultColWidth="0" defaultRowHeight="15" x14ac:dyDescent="0.25"/>
  <cols>
    <col min="1" max="1" width="3" customWidth="1"/>
    <col min="2" max="2" width="23.85546875" bestFit="1" customWidth="1"/>
    <col min="3" max="3" width="19.5703125" bestFit="1" customWidth="1"/>
    <col min="4" max="15" width="11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2:15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0.100000000000001" customHeight="1" x14ac:dyDescent="0.25"/>
    <row r="4" spans="2:15" ht="20.100000000000001" customHeight="1" x14ac:dyDescent="0.25">
      <c r="B4" s="43" t="s">
        <v>540</v>
      </c>
      <c r="C4" t="s">
        <v>543</v>
      </c>
    </row>
    <row r="5" spans="2:15" ht="20.100000000000001" customHeight="1" x14ac:dyDescent="0.25"/>
    <row r="6" spans="2:15" ht="20.100000000000001" customHeight="1" x14ac:dyDescent="0.25">
      <c r="B6" s="43" t="s">
        <v>547</v>
      </c>
      <c r="C6" s="43" t="s">
        <v>546</v>
      </c>
    </row>
    <row r="7" spans="2:15" ht="20.100000000000001" customHeight="1" x14ac:dyDescent="0.25">
      <c r="C7">
        <v>0</v>
      </c>
      <c r="M7" t="s">
        <v>550</v>
      </c>
      <c r="N7" t="s">
        <v>545</v>
      </c>
    </row>
    <row r="8" spans="2:15" ht="20.100000000000001" customHeight="1" x14ac:dyDescent="0.25">
      <c r="B8" s="43" t="s">
        <v>544</v>
      </c>
      <c r="C8">
        <v>1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</row>
    <row r="9" spans="2:15" ht="20.100000000000001" customHeight="1" x14ac:dyDescent="0.25">
      <c r="B9" s="24" t="s">
        <v>20</v>
      </c>
      <c r="C9" s="46">
        <v>1767</v>
      </c>
      <c r="D9" s="46">
        <v>3316</v>
      </c>
      <c r="E9" s="46">
        <v>2015</v>
      </c>
      <c r="F9" s="46">
        <v>6102</v>
      </c>
      <c r="G9" s="46">
        <v>1987</v>
      </c>
      <c r="H9" s="46">
        <v>770</v>
      </c>
      <c r="I9" s="46">
        <v>4253</v>
      </c>
      <c r="J9" s="46">
        <v>9905</v>
      </c>
      <c r="K9" s="46">
        <v>1171</v>
      </c>
      <c r="L9" s="46">
        <v>6972</v>
      </c>
      <c r="M9" s="46">
        <v>38258</v>
      </c>
      <c r="N9" s="46">
        <v>38258</v>
      </c>
    </row>
    <row r="10" spans="2:15" ht="20.100000000000001" customHeight="1" x14ac:dyDescent="0.25">
      <c r="B10" s="44" t="s">
        <v>46</v>
      </c>
      <c r="C10" s="46">
        <v>1284</v>
      </c>
      <c r="D10" s="46"/>
      <c r="E10" s="46"/>
      <c r="F10" s="46">
        <v>3878</v>
      </c>
      <c r="G10" s="46">
        <v>508</v>
      </c>
      <c r="H10" s="46"/>
      <c r="I10" s="46"/>
      <c r="J10" s="46">
        <v>4922</v>
      </c>
      <c r="K10" s="46"/>
      <c r="L10" s="46">
        <v>919</v>
      </c>
      <c r="M10" s="46">
        <v>11511</v>
      </c>
      <c r="N10" s="46">
        <v>11511</v>
      </c>
    </row>
    <row r="11" spans="2:15" ht="20.100000000000001" customHeight="1" x14ac:dyDescent="0.25">
      <c r="B11" s="44" t="s">
        <v>37</v>
      </c>
      <c r="C11" s="46"/>
      <c r="D11" s="46">
        <v>2388</v>
      </c>
      <c r="E11" s="46"/>
      <c r="F11" s="46"/>
      <c r="G11" s="46"/>
      <c r="H11" s="46"/>
      <c r="I11" s="46"/>
      <c r="J11" s="46"/>
      <c r="K11" s="46">
        <v>1171</v>
      </c>
      <c r="L11" s="46"/>
      <c r="M11" s="46">
        <v>3559</v>
      </c>
      <c r="N11" s="46">
        <v>3559</v>
      </c>
    </row>
    <row r="12" spans="2:15" ht="20.100000000000001" customHeight="1" x14ac:dyDescent="0.25">
      <c r="B12" s="44" t="s">
        <v>36</v>
      </c>
      <c r="C12" s="46"/>
      <c r="D12" s="46">
        <v>928</v>
      </c>
      <c r="E12" s="46">
        <v>667</v>
      </c>
      <c r="F12" s="46">
        <v>2224</v>
      </c>
      <c r="G12" s="46">
        <v>1479</v>
      </c>
      <c r="H12" s="46"/>
      <c r="I12" s="46">
        <v>4253</v>
      </c>
      <c r="J12" s="46">
        <v>4983</v>
      </c>
      <c r="K12" s="46"/>
      <c r="L12" s="46">
        <v>1414</v>
      </c>
      <c r="M12" s="46">
        <v>15948</v>
      </c>
      <c r="N12" s="46">
        <v>15948</v>
      </c>
    </row>
    <row r="13" spans="2:15" ht="20.100000000000001" customHeight="1" x14ac:dyDescent="0.25">
      <c r="B13" s="44" t="s">
        <v>23</v>
      </c>
      <c r="C13" s="46">
        <v>483</v>
      </c>
      <c r="D13" s="46"/>
      <c r="E13" s="46">
        <v>1348</v>
      </c>
      <c r="F13" s="46"/>
      <c r="G13" s="46"/>
      <c r="H13" s="46">
        <v>770</v>
      </c>
      <c r="I13" s="46"/>
      <c r="J13" s="46"/>
      <c r="K13" s="46"/>
      <c r="L13" s="46">
        <v>4639</v>
      </c>
      <c r="M13" s="46">
        <v>7240</v>
      </c>
      <c r="N13" s="46">
        <v>7240</v>
      </c>
    </row>
    <row r="14" spans="2:15" ht="20.100000000000001" customHeight="1" x14ac:dyDescent="0.25">
      <c r="B14" s="24" t="s">
        <v>545</v>
      </c>
      <c r="C14" s="46">
        <v>1767</v>
      </c>
      <c r="D14" s="46">
        <v>3316</v>
      </c>
      <c r="E14" s="46">
        <v>2015</v>
      </c>
      <c r="F14" s="46">
        <v>6102</v>
      </c>
      <c r="G14" s="46">
        <v>1987</v>
      </c>
      <c r="H14" s="46">
        <v>770</v>
      </c>
      <c r="I14" s="46">
        <v>4253</v>
      </c>
      <c r="J14" s="46">
        <v>9905</v>
      </c>
      <c r="K14" s="46">
        <v>1171</v>
      </c>
      <c r="L14" s="46">
        <v>6972</v>
      </c>
      <c r="M14" s="46">
        <v>38258</v>
      </c>
      <c r="N14" s="46">
        <v>38258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C74C-8CAD-4710-AD3B-23A72E7B7213}">
  <dimension ref="A1:O20"/>
  <sheetViews>
    <sheetView showGridLines="0" showRowColHeaders="0" workbookViewId="0">
      <selection activeCell="B3" sqref="B3"/>
    </sheetView>
  </sheetViews>
  <sheetFormatPr defaultColWidth="0" defaultRowHeight="15" x14ac:dyDescent="0.25"/>
  <cols>
    <col min="1" max="1" width="3" customWidth="1"/>
    <col min="2" max="2" width="23.85546875" bestFit="1" customWidth="1"/>
    <col min="3" max="3" width="19.5703125" bestFit="1" customWidth="1"/>
    <col min="4" max="14" width="13.28515625" bestFit="1" customWidth="1"/>
    <col min="15" max="15" width="17.28515625" bestFit="1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7">
        <f ca="1">TODAY()</f>
        <v>45823</v>
      </c>
    </row>
    <row r="3" spans="2:14" ht="20.100000000000001" customHeight="1" x14ac:dyDescent="0.25"/>
    <row r="4" spans="2:14" ht="20.100000000000001" customHeight="1" x14ac:dyDescent="0.25">
      <c r="B4" s="43" t="s">
        <v>540</v>
      </c>
      <c r="C4" s="24">
        <v>2017</v>
      </c>
    </row>
    <row r="5" spans="2:14" ht="20.100000000000001" customHeight="1" x14ac:dyDescent="0.25"/>
    <row r="6" spans="2:14" ht="20.100000000000001" customHeight="1" x14ac:dyDescent="0.25">
      <c r="B6" s="43" t="s">
        <v>547</v>
      </c>
      <c r="C6" s="43" t="s">
        <v>546</v>
      </c>
    </row>
    <row r="7" spans="2:14" ht="20.100000000000001" customHeight="1" x14ac:dyDescent="0.25">
      <c r="C7" t="s">
        <v>552</v>
      </c>
      <c r="F7" t="s">
        <v>553</v>
      </c>
      <c r="G7" t="s">
        <v>545</v>
      </c>
    </row>
    <row r="8" spans="2:14" ht="20.100000000000001" customHeight="1" x14ac:dyDescent="0.25">
      <c r="B8" s="43" t="s">
        <v>544</v>
      </c>
      <c r="C8">
        <v>9</v>
      </c>
      <c r="D8">
        <v>10</v>
      </c>
      <c r="E8">
        <v>11</v>
      </c>
    </row>
    <row r="9" spans="2:14" ht="20.100000000000001" customHeight="1" x14ac:dyDescent="0.25">
      <c r="B9" s="24" t="s">
        <v>20</v>
      </c>
      <c r="C9" s="46">
        <v>4983</v>
      </c>
      <c r="D9" s="46">
        <v>1171</v>
      </c>
      <c r="E9" s="46">
        <v>1284</v>
      </c>
      <c r="F9" s="46">
        <v>7438</v>
      </c>
      <c r="G9" s="46">
        <v>7438</v>
      </c>
    </row>
    <row r="10" spans="2:14" ht="20.100000000000001" customHeight="1" x14ac:dyDescent="0.25">
      <c r="B10" s="44" t="s">
        <v>46</v>
      </c>
      <c r="C10" s="46"/>
      <c r="D10" s="46"/>
      <c r="E10" s="46">
        <v>1284</v>
      </c>
      <c r="F10" s="46">
        <v>1284</v>
      </c>
      <c r="G10" s="46">
        <v>1284</v>
      </c>
    </row>
    <row r="11" spans="2:14" ht="20.100000000000001" customHeight="1" x14ac:dyDescent="0.25">
      <c r="B11" s="44" t="s">
        <v>37</v>
      </c>
      <c r="C11" s="46"/>
      <c r="D11" s="46">
        <v>1171</v>
      </c>
      <c r="E11" s="46"/>
      <c r="F11" s="46">
        <v>1171</v>
      </c>
      <c r="G11" s="46">
        <v>1171</v>
      </c>
    </row>
    <row r="12" spans="2:14" ht="20.100000000000001" customHeight="1" x14ac:dyDescent="0.25">
      <c r="B12" s="44" t="s">
        <v>36</v>
      </c>
      <c r="C12" s="46">
        <v>4983</v>
      </c>
      <c r="D12" s="46"/>
      <c r="E12" s="46"/>
      <c r="F12" s="46">
        <v>4983</v>
      </c>
      <c r="G12" s="46">
        <v>4983</v>
      </c>
    </row>
    <row r="13" spans="2:14" ht="20.100000000000001" customHeight="1" x14ac:dyDescent="0.25">
      <c r="B13" s="24" t="s">
        <v>545</v>
      </c>
      <c r="C13" s="46">
        <v>4983</v>
      </c>
      <c r="D13" s="46">
        <v>1171</v>
      </c>
      <c r="E13" s="46">
        <v>1284</v>
      </c>
      <c r="F13" s="46">
        <v>7438</v>
      </c>
      <c r="G13" s="46">
        <v>7438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C621-B4E6-4BC5-9B86-3153B7EFAE42}">
  <dimension ref="A1:O21"/>
  <sheetViews>
    <sheetView showGridLines="0" showRowColHeaders="0" workbookViewId="0"/>
  </sheetViews>
  <sheetFormatPr defaultColWidth="0" defaultRowHeight="15" x14ac:dyDescent="0.25"/>
  <cols>
    <col min="1" max="1" width="3" customWidth="1"/>
    <col min="2" max="2" width="32.140625" customWidth="1"/>
    <col min="3" max="3" width="2.42578125" customWidth="1"/>
    <col min="4" max="4" width="32.85546875" customWidth="1"/>
    <col min="5" max="5" width="5.5703125" customWidth="1"/>
    <col min="6" max="6" width="17.140625" customWidth="1"/>
    <col min="7" max="7" width="17.42578125" customWidth="1"/>
    <col min="8" max="8" width="4" customWidth="1"/>
    <col min="9" max="9" width="29.28515625" customWidth="1"/>
    <col min="10" max="10" width="3.7109375" customWidth="1"/>
    <col min="11" max="11" width="35" customWidth="1"/>
    <col min="12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2:14" ht="39.950000000000003" customHeight="1" x14ac:dyDescent="0.5">
      <c r="B2" s="4"/>
      <c r="C2" s="4"/>
      <c r="D2" s="4"/>
      <c r="E2" s="4"/>
      <c r="F2" s="4"/>
      <c r="G2" s="4"/>
      <c r="H2" s="4"/>
      <c r="I2" s="4"/>
      <c r="J2" s="4"/>
      <c r="K2" s="184">
        <v>43585</v>
      </c>
      <c r="L2" s="4"/>
      <c r="M2" s="4"/>
      <c r="N2" s="4"/>
    </row>
    <row r="3" spans="2:14" ht="20.100000000000001" customHeight="1" x14ac:dyDescent="0.25">
      <c r="B3" s="141"/>
      <c r="C3" s="141"/>
      <c r="D3" s="141"/>
      <c r="E3" s="141"/>
      <c r="F3" s="141"/>
      <c r="G3" s="141"/>
      <c r="H3" s="141"/>
      <c r="I3" s="141"/>
      <c r="J3" s="141"/>
      <c r="K3" s="141"/>
    </row>
    <row r="4" spans="2:14" ht="20.100000000000001" customHeight="1" x14ac:dyDescent="0.25">
      <c r="B4" s="142" t="s">
        <v>554</v>
      </c>
      <c r="C4" s="141"/>
      <c r="D4" s="143" t="s">
        <v>555</v>
      </c>
      <c r="E4" s="141"/>
      <c r="F4" s="144"/>
      <c r="G4" s="145"/>
      <c r="H4" s="145"/>
      <c r="I4" s="146" t="s">
        <v>556</v>
      </c>
      <c r="J4" s="145"/>
      <c r="K4" s="147" t="s">
        <v>38</v>
      </c>
    </row>
    <row r="5" spans="2:14" ht="20.100000000000001" customHeight="1" x14ac:dyDescent="0.25">
      <c r="B5" s="148">
        <f>[1]DashBoardFinanceiroAtualD!C11</f>
        <v>39267</v>
      </c>
      <c r="C5" s="141"/>
      <c r="D5" s="149" t="s">
        <v>615</v>
      </c>
      <c r="E5" s="141"/>
      <c r="F5" s="150"/>
      <c r="G5" s="98"/>
      <c r="H5" s="98"/>
      <c r="I5" s="141"/>
      <c r="J5" s="151"/>
      <c r="K5" s="152"/>
    </row>
    <row r="6" spans="2:14" ht="20.100000000000001" customHeight="1" x14ac:dyDescent="0.25">
      <c r="B6" s="141"/>
      <c r="C6" s="141"/>
      <c r="D6" s="141"/>
      <c r="E6" s="141"/>
      <c r="F6" s="150"/>
      <c r="G6" s="98"/>
      <c r="H6" s="98"/>
      <c r="I6" s="141"/>
      <c r="J6" s="141"/>
      <c r="K6" s="152"/>
    </row>
    <row r="7" spans="2:14" ht="20.100000000000001" customHeight="1" x14ac:dyDescent="0.25">
      <c r="B7" s="142" t="s">
        <v>557</v>
      </c>
      <c r="C7" s="141"/>
      <c r="D7" s="192"/>
      <c r="E7" s="141"/>
      <c r="F7" s="150"/>
      <c r="G7" s="98"/>
      <c r="H7" s="98"/>
      <c r="I7" s="141"/>
      <c r="J7" s="141"/>
      <c r="K7" s="153" t="s">
        <v>558</v>
      </c>
    </row>
    <row r="8" spans="2:14" ht="20.100000000000001" customHeight="1" x14ac:dyDescent="0.25">
      <c r="B8" s="154">
        <f>[1]DashBoardFinanceiroAtualD!D13</f>
        <v>14256</v>
      </c>
      <c r="C8" s="141"/>
      <c r="D8" s="193"/>
      <c r="E8" s="141"/>
      <c r="F8" s="150"/>
      <c r="G8" s="98"/>
      <c r="H8" s="98"/>
      <c r="I8" s="141"/>
      <c r="J8" s="141"/>
      <c r="K8" s="155">
        <f>SUM([1]DashBoardFinanceiroAtualD!J5:J16)</f>
        <v>22484</v>
      </c>
    </row>
    <row r="9" spans="2:14" ht="20.100000000000001" customHeight="1" x14ac:dyDescent="0.25">
      <c r="B9" s="141"/>
      <c r="C9" s="141"/>
      <c r="D9" s="141"/>
      <c r="E9" s="141"/>
      <c r="F9" s="150"/>
      <c r="G9" s="98"/>
      <c r="H9" s="98"/>
      <c r="I9" s="141"/>
      <c r="J9" s="141"/>
      <c r="K9" s="156"/>
    </row>
    <row r="10" spans="2:14" ht="20.100000000000001" customHeight="1" x14ac:dyDescent="0.25">
      <c r="B10" s="142" t="s">
        <v>559</v>
      </c>
      <c r="C10" s="141"/>
      <c r="D10" s="192"/>
      <c r="E10" s="141"/>
      <c r="F10" s="150"/>
      <c r="G10" s="98"/>
      <c r="H10" s="98"/>
      <c r="I10" s="141"/>
      <c r="J10" s="141"/>
      <c r="K10" s="156"/>
    </row>
    <row r="11" spans="2:14" ht="20.100000000000001" customHeight="1" x14ac:dyDescent="0.25">
      <c r="B11" s="157">
        <f>[1]DashBoardFinanceiroAtualD!D14</f>
        <v>7998</v>
      </c>
      <c r="C11" s="141"/>
      <c r="D11" s="193"/>
      <c r="E11" s="141"/>
      <c r="F11" s="158"/>
      <c r="G11" s="159"/>
      <c r="H11" s="159"/>
      <c r="I11" s="160"/>
      <c r="J11" s="160"/>
      <c r="K11" s="161"/>
    </row>
    <row r="12" spans="2:14" ht="20.100000000000001" customHeight="1" x14ac:dyDescent="0.25">
      <c r="B12" s="141"/>
      <c r="C12" s="141"/>
      <c r="D12" s="141"/>
      <c r="E12" s="141"/>
      <c r="F12" s="98"/>
      <c r="G12" s="98"/>
      <c r="H12" s="98"/>
      <c r="I12" s="141"/>
      <c r="J12" s="141"/>
      <c r="K12" s="141"/>
    </row>
    <row r="13" spans="2:14" ht="20.100000000000001" customHeight="1" x14ac:dyDescent="0.25">
      <c r="B13" s="194" t="s">
        <v>560</v>
      </c>
      <c r="C13" s="195"/>
      <c r="D13" s="196"/>
      <c r="E13" s="141"/>
      <c r="F13" s="194" t="s">
        <v>561</v>
      </c>
      <c r="G13" s="196"/>
      <c r="H13" s="98"/>
      <c r="I13" s="142" t="s">
        <v>562</v>
      </c>
      <c r="J13" s="141"/>
      <c r="K13" s="142" t="s">
        <v>563</v>
      </c>
    </row>
    <row r="14" spans="2:14" ht="20.100000000000001" customHeight="1" x14ac:dyDescent="0.25">
      <c r="B14" s="162"/>
      <c r="C14" s="163"/>
      <c r="D14" s="164"/>
      <c r="E14" s="141"/>
      <c r="F14" s="162" t="s">
        <v>564</v>
      </c>
      <c r="G14" s="165" t="s">
        <v>565</v>
      </c>
      <c r="H14" s="98"/>
      <c r="I14" s="166">
        <f>[1]DashBoardFinanceiroAtualD!E32</f>
        <v>-19319</v>
      </c>
      <c r="J14" s="141"/>
      <c r="K14" s="167" t="s">
        <v>52</v>
      </c>
    </row>
    <row r="15" spans="2:14" ht="20.100000000000001" customHeight="1" x14ac:dyDescent="0.25">
      <c r="B15" s="162"/>
      <c r="C15" s="141"/>
      <c r="D15" s="164"/>
      <c r="E15" s="141"/>
      <c r="F15" s="168"/>
      <c r="G15" s="169"/>
      <c r="H15" s="98"/>
      <c r="I15" s="170"/>
      <c r="J15" s="141"/>
      <c r="K15" s="171">
        <f>[1]DashBoardFinanceiroAtualD!H44</f>
        <v>49592</v>
      </c>
    </row>
    <row r="16" spans="2:14" ht="20.100000000000001" customHeight="1" x14ac:dyDescent="0.25">
      <c r="B16" s="172">
        <f>[1]DashBoardFinanceiroAtualD!E22</f>
        <v>96192</v>
      </c>
      <c r="C16" s="141"/>
      <c r="D16" s="164"/>
      <c r="E16" s="141"/>
      <c r="F16" s="173">
        <f>[1]DashBoardFinanceiroAtualD!E27</f>
        <v>930.8</v>
      </c>
      <c r="G16" s="174">
        <f>[1]DashBoardFinanceiroAtualD!J27</f>
        <v>1379.6</v>
      </c>
      <c r="H16" s="98"/>
      <c r="I16" s="170"/>
      <c r="J16" s="141"/>
      <c r="K16" s="170"/>
    </row>
    <row r="17" spans="2:11" ht="20.100000000000001" customHeight="1" x14ac:dyDescent="0.25">
      <c r="B17" s="172"/>
      <c r="C17" s="141"/>
      <c r="D17" s="164"/>
      <c r="E17" s="141"/>
      <c r="F17" s="175"/>
      <c r="G17" s="169"/>
      <c r="H17" s="98"/>
      <c r="I17" s="170"/>
      <c r="J17" s="141"/>
      <c r="K17" s="170"/>
    </row>
    <row r="18" spans="2:11" ht="20.100000000000001" customHeight="1" x14ac:dyDescent="0.25">
      <c r="B18" s="162"/>
      <c r="C18" s="141"/>
      <c r="D18" s="164"/>
      <c r="E18" s="141"/>
      <c r="F18" s="176" t="s">
        <v>566</v>
      </c>
      <c r="G18" s="177" t="s">
        <v>566</v>
      </c>
      <c r="H18" s="98"/>
      <c r="I18" s="170"/>
      <c r="J18" s="141"/>
      <c r="K18" s="170"/>
    </row>
    <row r="19" spans="2:11" ht="20.100000000000001" customHeight="1" x14ac:dyDescent="0.25">
      <c r="B19" s="178"/>
      <c r="C19" s="160"/>
      <c r="D19" s="179"/>
      <c r="E19" s="141"/>
      <c r="F19" s="180"/>
      <c r="G19" s="181"/>
      <c r="H19" s="98"/>
      <c r="I19" s="182"/>
      <c r="J19" s="141"/>
      <c r="K19" s="182"/>
    </row>
    <row r="20" spans="2:11" ht="20.100000000000001" customHeight="1" x14ac:dyDescent="0.25">
      <c r="B20" s="141"/>
      <c r="C20" s="141"/>
      <c r="D20" s="141"/>
      <c r="E20" s="141"/>
      <c r="F20" s="98"/>
      <c r="G20" s="98"/>
      <c r="H20" s="98"/>
      <c r="I20" s="141"/>
      <c r="J20" s="141"/>
      <c r="K20" s="141"/>
    </row>
    <row r="21" spans="2:11" x14ac:dyDescent="0.25">
      <c r="B21" s="183"/>
      <c r="C21" s="183"/>
      <c r="D21" s="183"/>
      <c r="E21" s="183"/>
      <c r="F21" s="183"/>
      <c r="G21" s="183"/>
      <c r="H21" s="183"/>
      <c r="I21" s="183"/>
      <c r="J21" s="183"/>
      <c r="K21" s="183"/>
    </row>
  </sheetData>
  <mergeCells count="4">
    <mergeCell ref="D7:D8"/>
    <mergeCell ref="D10:D11"/>
    <mergeCell ref="B13:D13"/>
    <mergeCell ref="F13:G13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C9C16A1D-1004-4279-B30E-AEC83A1BA08C}">
      <formula1>PCEntradasN2_Nível_2</formula1>
    </dataValidation>
    <dataValidation type="list" allowBlank="1" showInputMessage="1" showErrorMessage="1" errorTitle="Conta Inexistente!" error="Selecione uma conta da lista." sqref="K14" xr:uid="{BD80351C-1862-4A2B-AC00-FFDF099339BC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AF5D1D-03AE-4002-9B06-55D1F67969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[1]DashBoardFinanceiroAtualD!H5:H16</xm:f>
              <xm:sqref>D10</xm:sqref>
            </x14:sparkline>
          </x14:sparklines>
        </x14:sparklineGroup>
        <x14:sparklineGroup type="column" displayEmptyCellsAs="gap" xr2:uid="{6EFF7F21-2AF5-4946-8D73-9A0A7032C3A1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[1]DashBoardFinanceiroAtualD!G5:G16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D549-52CA-41EB-92E4-E309F6138F25}">
  <dimension ref="A1:R44"/>
  <sheetViews>
    <sheetView workbookViewId="0">
      <selection activeCell="F30" sqref="F30"/>
    </sheetView>
  </sheetViews>
  <sheetFormatPr defaultRowHeight="15" x14ac:dyDescent="0.25"/>
  <cols>
    <col min="2" max="2" width="45.140625" bestFit="1" customWidth="1"/>
    <col min="3" max="3" width="11.5703125" bestFit="1" customWidth="1"/>
    <col min="4" max="5" width="10.5703125" bestFit="1" customWidth="1"/>
    <col min="6" max="6" width="39.28515625" bestFit="1" customWidth="1"/>
    <col min="7" max="7" width="29.85546875" bestFit="1" customWidth="1"/>
    <col min="8" max="8" width="15.28515625" bestFit="1" customWidth="1"/>
    <col min="9" max="9" width="6.5703125" bestFit="1" customWidth="1"/>
    <col min="10" max="10" width="19.28515625" bestFit="1" customWidth="1"/>
    <col min="11" max="11" width="9.5703125" bestFit="1" customWidth="1"/>
    <col min="12" max="12" width="5" bestFit="1" customWidth="1"/>
  </cols>
  <sheetData>
    <row r="1" spans="1:18" x14ac:dyDescent="0.25">
      <c r="A1" s="97"/>
      <c r="B1" s="93" t="s">
        <v>612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8"/>
      <c r="N1" s="98"/>
      <c r="O1" s="98"/>
      <c r="P1" s="98"/>
      <c r="Q1" s="98"/>
      <c r="R1" s="98"/>
    </row>
    <row r="2" spans="1:18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98"/>
      <c r="O2" s="98"/>
      <c r="P2" s="98"/>
      <c r="Q2" s="98"/>
      <c r="R2" s="98"/>
    </row>
    <row r="3" spans="1:18" x14ac:dyDescent="0.25">
      <c r="A3" s="97"/>
      <c r="B3" s="97"/>
      <c r="C3" s="97"/>
      <c r="D3" s="97"/>
      <c r="E3" s="97"/>
      <c r="F3" s="94" t="s">
        <v>568</v>
      </c>
      <c r="G3" s="97"/>
      <c r="H3" s="97"/>
      <c r="I3" s="97"/>
      <c r="J3" s="94" t="s">
        <v>569</v>
      </c>
      <c r="K3" s="99" t="s">
        <v>570</v>
      </c>
      <c r="L3" s="100">
        <f>C4</f>
        <v>2019</v>
      </c>
      <c r="M3" s="98"/>
      <c r="N3" s="98"/>
      <c r="O3" s="98"/>
      <c r="P3" s="98"/>
      <c r="Q3" s="98"/>
      <c r="R3" s="98"/>
    </row>
    <row r="4" spans="1:18" x14ac:dyDescent="0.25">
      <c r="A4" s="97"/>
      <c r="B4" s="99" t="s">
        <v>571</v>
      </c>
      <c r="C4" s="101">
        <f>YEAR([1]DashBoardFinanceiroAtual!K2)</f>
        <v>2019</v>
      </c>
      <c r="D4" s="97"/>
      <c r="E4" s="97"/>
      <c r="F4" s="102" t="s">
        <v>572</v>
      </c>
      <c r="G4" s="103" t="s">
        <v>573</v>
      </c>
      <c r="H4" s="102" t="s">
        <v>574</v>
      </c>
      <c r="I4" s="97"/>
      <c r="J4" s="104" t="str">
        <f>[1]DashBoardFinanceiroAtual!K4</f>
        <v>Livros</v>
      </c>
      <c r="K4" s="102" t="s">
        <v>575</v>
      </c>
      <c r="L4" s="102" t="s">
        <v>572</v>
      </c>
      <c r="M4" s="98"/>
      <c r="N4" s="98"/>
      <c r="O4" s="98"/>
      <c r="P4" s="98"/>
      <c r="Q4" s="98"/>
      <c r="R4" s="98"/>
    </row>
    <row r="5" spans="1:18" x14ac:dyDescent="0.25">
      <c r="A5" s="97"/>
      <c r="B5" s="99" t="s">
        <v>613</v>
      </c>
      <c r="C5" s="140">
        <f>[1]DashBoardFinanceiroAtual!K2</f>
        <v>43585</v>
      </c>
      <c r="D5" s="97"/>
      <c r="E5" s="97"/>
      <c r="F5" s="105">
        <v>1</v>
      </c>
      <c r="G5" s="106">
        <f>SUMIFS([1]!TbRegistroSaídas[Valor],[1]!TbRegistroSaídas[Mês Previsto],F5,[1]!TbRegistroSaídas[Ano Previsto],$C$4,[1]!TbRegistroSaídas[Data do Caixa Realizado],"",[1]!TbRegistroSaídas[Data do Caixa Previsto],"&lt;="&amp;$C$5)</f>
        <v>3042</v>
      </c>
      <c r="H5" s="106">
        <f>SUMIFS([1]!TbRegistroEntradas[Valor],[1]!TbRegistroEntradas[Mês Previsto],F5,[1]!TbRegistroEntradas[Ano Previsto],$C$4,[1]!TbRegistroEntradas[Data do Caixa Realizado],"",[1]!TbRegistroEntradas[Data do Caixa Previsto],"&lt;="&amp;$C$5)</f>
        <v>1209</v>
      </c>
      <c r="I5" s="97"/>
      <c r="J5" s="106">
        <f>SUMIFS([1]!TbRegistroEntradas[Valor],[1]!TbRegistroEntradas[Conta Nível 2],$J$4,[1]!TbRegistroEntradas[Ano Competência],$L$3,[1]!TbRegistroEntradas[Mês Competência],F5,[1]!TbRegistroEntradas[Data da Competência],"&lt;="&amp;$C$5)</f>
        <v>6759</v>
      </c>
      <c r="K5" s="106">
        <f>IF(J5=0,NA(),J5)</f>
        <v>6759</v>
      </c>
      <c r="L5" s="107" t="s">
        <v>576</v>
      </c>
      <c r="M5" s="98"/>
      <c r="N5" s="98"/>
      <c r="O5" s="98"/>
      <c r="P5" s="98"/>
      <c r="Q5" s="98"/>
      <c r="R5" s="98"/>
    </row>
    <row r="6" spans="1:18" x14ac:dyDescent="0.25">
      <c r="A6" s="97"/>
      <c r="B6" s="97"/>
      <c r="C6" s="97"/>
      <c r="D6" s="97"/>
      <c r="E6" s="97"/>
      <c r="F6" s="97">
        <v>2</v>
      </c>
      <c r="G6" s="108">
        <f>SUMIFS([1]!TbRegistroSaídas[Valor],[1]!TbRegistroSaídas[Mês Previsto],F6,[1]!TbRegistroSaídas[Ano Previsto],$C$4,[1]!TbRegistroSaídas[Data do Caixa Realizado],"",[1]!TbRegistroSaídas[Data do Caixa Previsto],"&lt;="&amp;$C$5)</f>
        <v>7524</v>
      </c>
      <c r="H6" s="108">
        <f>SUMIFS([1]!TbRegistroEntradas[Valor],[1]!TbRegistroEntradas[Mês Previsto],F6,[1]!TbRegistroEntradas[Ano Previsto],$C$4,[1]!TbRegistroEntradas[Data do Caixa Realizado],"",[1]!TbRegistroEntradas[Data do Caixa Previsto],"&lt;="&amp;$C$5)</f>
        <v>1992</v>
      </c>
      <c r="I6" s="97"/>
      <c r="J6" s="108">
        <f>SUMIFS([1]!TbRegistroEntradas[Valor],[1]!TbRegistroEntradas[Conta Nível 2],$J$4,[1]!TbRegistroEntradas[Ano Competência],$L$3,[1]!TbRegistroEntradas[Mês Competência],F6,[1]!TbRegistroEntradas[Data da Competência],"&lt;="&amp;$C$5)</f>
        <v>8187</v>
      </c>
      <c r="K6" s="108">
        <f t="shared" ref="K6:K16" si="0">IF(J6=0,NA(),J6)</f>
        <v>8187</v>
      </c>
      <c r="L6" s="99" t="s">
        <v>577</v>
      </c>
      <c r="M6" s="98"/>
      <c r="N6" s="98"/>
      <c r="O6" s="98"/>
      <c r="P6" s="98"/>
      <c r="Q6" s="98"/>
      <c r="R6" s="98"/>
    </row>
    <row r="7" spans="1:18" x14ac:dyDescent="0.25">
      <c r="A7" s="97"/>
      <c r="B7" s="94" t="s">
        <v>578</v>
      </c>
      <c r="C7" s="97"/>
      <c r="D7" s="97"/>
      <c r="E7" s="97"/>
      <c r="F7" s="97">
        <v>3</v>
      </c>
      <c r="G7" s="108">
        <f>SUMIFS([1]!TbRegistroSaídas[Valor],[1]!TbRegistroSaídas[Mês Previsto],F7,[1]!TbRegistroSaídas[Ano Previsto],$C$4,[1]!TbRegistroSaídas[Data do Caixa Realizado],"",[1]!TbRegistroSaídas[Data do Caixa Previsto],"&lt;="&amp;$C$5)</f>
        <v>0</v>
      </c>
      <c r="H7" s="108">
        <f>SUMIFS([1]!TbRegistroEntradas[Valor],[1]!TbRegistroEntradas[Mês Previsto],F7,[1]!TbRegistroEntradas[Ano Previsto],$C$4,[1]!TbRegistroEntradas[Data do Caixa Realizado],"",[1]!TbRegistroEntradas[Data do Caixa Previsto],"&lt;="&amp;$C$5)</f>
        <v>0</v>
      </c>
      <c r="I7" s="97"/>
      <c r="J7" s="108">
        <f>SUMIFS([1]!TbRegistroEntradas[Valor],[1]!TbRegistroEntradas[Conta Nível 2],$J$4,[1]!TbRegistroEntradas[Ano Competência],$L$3,[1]!TbRegistroEntradas[Mês Competência],F7,[1]!TbRegistroEntradas[Data da Competência],"&lt;="&amp;$C$5)</f>
        <v>5918</v>
      </c>
      <c r="K7" s="108">
        <f t="shared" si="0"/>
        <v>5918</v>
      </c>
      <c r="L7" s="99" t="s">
        <v>579</v>
      </c>
      <c r="M7" s="98"/>
      <c r="N7" s="98"/>
      <c r="O7" s="98"/>
      <c r="P7" s="98"/>
      <c r="Q7" s="98"/>
      <c r="R7" s="98"/>
    </row>
    <row r="8" spans="1:18" x14ac:dyDescent="0.25">
      <c r="A8" s="97"/>
      <c r="B8" s="105" t="s">
        <v>614</v>
      </c>
      <c r="C8" s="109">
        <f>SUMIFS([1]!TbRegistroEntradas[Valor],[1]!TbRegistroEntradas[Ano Caixa],"&lt;"&amp;C4,[1]!TbRegistroEntradas[Ano Caixa],"&lt;&gt;0")-SUMIFS([1]!TbRegistroSaídas[Valor],[1]!TbRegistroSaídas[Ano Caixa],"&lt;"&amp;C4,[1]!TbRegistroSaídas[Ano Caixa],"&lt;&gt;0")</f>
        <v>55108</v>
      </c>
      <c r="D8" s="97"/>
      <c r="E8" s="97"/>
      <c r="F8" s="97">
        <v>4</v>
      </c>
      <c r="G8" s="108">
        <f>SUMIFS([1]!TbRegistroSaídas[Valor],[1]!TbRegistroSaídas[Mês Previsto],F8,[1]!TbRegistroSaídas[Ano Previsto],$C$4,[1]!TbRegistroSaídas[Data do Caixa Realizado],"",[1]!TbRegistroSaídas[Data do Caixa Previsto],"&lt;="&amp;$C$5)</f>
        <v>3690</v>
      </c>
      <c r="H8" s="108">
        <f>SUMIFS([1]!TbRegistroEntradas[Valor],[1]!TbRegistroEntradas[Mês Previsto],F8,[1]!TbRegistroEntradas[Ano Previsto],$C$4,[1]!TbRegistroEntradas[Data do Caixa Realizado],"",[1]!TbRegistroEntradas[Data do Caixa Previsto],"&lt;="&amp;$C$5)</f>
        <v>4797</v>
      </c>
      <c r="I8" s="97"/>
      <c r="J8" s="108">
        <f>SUMIFS([1]!TbRegistroEntradas[Valor],[1]!TbRegistroEntradas[Conta Nível 2],$J$4,[1]!TbRegistroEntradas[Ano Competência],$L$3,[1]!TbRegistroEntradas[Mês Competência],F8,[1]!TbRegistroEntradas[Data da Competência],"&lt;="&amp;$C$5)</f>
        <v>1620</v>
      </c>
      <c r="K8" s="108">
        <f t="shared" si="0"/>
        <v>1620</v>
      </c>
      <c r="L8" s="99" t="s">
        <v>581</v>
      </c>
      <c r="M8" s="98"/>
      <c r="N8" s="98"/>
      <c r="O8" s="98"/>
      <c r="P8" s="98"/>
      <c r="Q8" s="98"/>
      <c r="R8" s="98"/>
    </row>
    <row r="9" spans="1:18" x14ac:dyDescent="0.25">
      <c r="A9" s="97"/>
      <c r="B9" s="97" t="s">
        <v>580</v>
      </c>
      <c r="C9" s="110">
        <f>SUMIFS([1]!TbRegistroEntradas[Valor],[1]!TbRegistroEntradas[Ano Caixa],"="&amp;C4,[1]!TbRegistroEntradas[Data do Caixa Realizado],"&lt;="&amp;C5)</f>
        <v>90998</v>
      </c>
      <c r="D9" s="97"/>
      <c r="E9" s="97"/>
      <c r="F9" s="97">
        <v>5</v>
      </c>
      <c r="G9" s="108">
        <f>SUMIFS([1]!TbRegistroSaídas[Valor],[1]!TbRegistroSaídas[Mês Previsto],F9,[1]!TbRegistroSaídas[Ano Previsto],$C$4,[1]!TbRegistroSaídas[Data do Caixa Realizado],"",[1]!TbRegistroSaídas[Data do Caixa Previsto],"&lt;="&amp;$C$5)</f>
        <v>0</v>
      </c>
      <c r="H9" s="108">
        <f>SUMIFS([1]!TbRegistroEntradas[Valor],[1]!TbRegistroEntradas[Mês Previsto],F9,[1]!TbRegistroEntradas[Ano Previsto],$C$4,[1]!TbRegistroEntradas[Data do Caixa Realizado],"",[1]!TbRegistroEntradas[Data do Caixa Previsto],"&lt;="&amp;$C$5)</f>
        <v>0</v>
      </c>
      <c r="I9" s="97"/>
      <c r="J9" s="108">
        <f>SUMIFS([1]!TbRegistroEntradas[Valor],[1]!TbRegistroEntradas[Conta Nível 2],$J$4,[1]!TbRegistroEntradas[Ano Competência],$L$3,[1]!TbRegistroEntradas[Mês Competência],F9,[1]!TbRegistroEntradas[Data da Competência],"&lt;="&amp;$C$5)</f>
        <v>0</v>
      </c>
      <c r="K9" s="108" t="e">
        <f t="shared" si="0"/>
        <v>#N/A</v>
      </c>
      <c r="L9" s="99" t="s">
        <v>583</v>
      </c>
      <c r="M9" s="98"/>
      <c r="N9" s="98"/>
      <c r="O9" s="98"/>
      <c r="P9" s="98"/>
      <c r="Q9" s="98"/>
      <c r="R9" s="98"/>
    </row>
    <row r="10" spans="1:18" x14ac:dyDescent="0.25">
      <c r="A10" s="97"/>
      <c r="B10" s="97" t="s">
        <v>582</v>
      </c>
      <c r="C10" s="110">
        <f>SUMIFS([1]!TbRegistroSaídas[Valor],[1]!TbRegistroSaídas[Ano Caixa],"="&amp;C4,[1]!TbRegistroSaídas[Data do Caixa Realizado],"&lt;="&amp;C5)</f>
        <v>106839</v>
      </c>
      <c r="D10" s="97"/>
      <c r="E10" s="97"/>
      <c r="F10" s="97">
        <v>6</v>
      </c>
      <c r="G10" s="108">
        <f>SUMIFS([1]!TbRegistroSaídas[Valor],[1]!TbRegistroSaídas[Mês Previsto],F10,[1]!TbRegistroSaídas[Ano Previsto],$C$4,[1]!TbRegistroSaídas[Data do Caixa Realizado],"",[1]!TbRegistroSaídas[Data do Caixa Previsto],"&lt;="&amp;$C$5)</f>
        <v>0</v>
      </c>
      <c r="H10" s="108">
        <f>SUMIFS([1]!TbRegistroEntradas[Valor],[1]!TbRegistroEntradas[Mês Previsto],F10,[1]!TbRegistroEntradas[Ano Previsto],$C$4,[1]!TbRegistroEntradas[Data do Caixa Realizado],"",[1]!TbRegistroEntradas[Data do Caixa Previsto],"&lt;="&amp;$C$5)</f>
        <v>0</v>
      </c>
      <c r="I10" s="97"/>
      <c r="J10" s="108">
        <f>SUMIFS([1]!TbRegistroEntradas[Valor],[1]!TbRegistroEntradas[Conta Nível 2],$J$4,[1]!TbRegistroEntradas[Ano Competência],$L$3,[1]!TbRegistroEntradas[Mês Competência],F10,[1]!TbRegistroEntradas[Data da Competência],"&lt;="&amp;$C$5)</f>
        <v>0</v>
      </c>
      <c r="K10" s="108" t="e">
        <f t="shared" si="0"/>
        <v>#N/A</v>
      </c>
      <c r="L10" s="99" t="s">
        <v>585</v>
      </c>
      <c r="M10" s="98"/>
      <c r="N10" s="98"/>
      <c r="O10" s="98"/>
      <c r="P10" s="98"/>
      <c r="Q10" s="98"/>
      <c r="R10" s="98"/>
    </row>
    <row r="11" spans="1:18" x14ac:dyDescent="0.25">
      <c r="A11" s="97"/>
      <c r="B11" s="111" t="s">
        <v>584</v>
      </c>
      <c r="C11" s="112">
        <f>C8+C9-C10</f>
        <v>39267</v>
      </c>
      <c r="D11" s="97"/>
      <c r="E11" s="97"/>
      <c r="F11" s="97">
        <v>7</v>
      </c>
      <c r="G11" s="108">
        <f>SUMIFS([1]!TbRegistroSaídas[Valor],[1]!TbRegistroSaídas[Mês Previsto],F11,[1]!TbRegistroSaídas[Ano Previsto],$C$4,[1]!TbRegistroSaídas[Data do Caixa Realizado],"",[1]!TbRegistroSaídas[Data do Caixa Previsto],"&lt;="&amp;$C$5)</f>
        <v>0</v>
      </c>
      <c r="H11" s="108">
        <f>SUMIFS([1]!TbRegistroEntradas[Valor],[1]!TbRegistroEntradas[Mês Previsto],F11,[1]!TbRegistroEntradas[Ano Previsto],$C$4,[1]!TbRegistroEntradas[Data do Caixa Realizado],"",[1]!TbRegistroEntradas[Data do Caixa Previsto],"&lt;="&amp;$C$5)</f>
        <v>0</v>
      </c>
      <c r="I11" s="97"/>
      <c r="J11" s="108">
        <f>SUMIFS([1]!TbRegistroEntradas[Valor],[1]!TbRegistroEntradas[Conta Nível 2],$J$4,[1]!TbRegistroEntradas[Ano Competência],$L$3,[1]!TbRegistroEntradas[Mês Competência],F11,[1]!TbRegistroEntradas[Data da Competência],"&lt;="&amp;$C$5)</f>
        <v>0</v>
      </c>
      <c r="K11" s="108" t="e">
        <f t="shared" si="0"/>
        <v>#N/A</v>
      </c>
      <c r="L11" s="99" t="s">
        <v>586</v>
      </c>
      <c r="M11" s="98"/>
      <c r="N11" s="98"/>
      <c r="O11" s="98"/>
      <c r="P11" s="98"/>
      <c r="Q11" s="98"/>
      <c r="R11" s="98"/>
    </row>
    <row r="12" spans="1:18" x14ac:dyDescent="0.25">
      <c r="A12" s="97"/>
      <c r="B12" s="97"/>
      <c r="C12" s="97"/>
      <c r="D12" s="97"/>
      <c r="E12" s="97"/>
      <c r="F12" s="97">
        <v>8</v>
      </c>
      <c r="G12" s="108">
        <f>SUMIFS([1]!TbRegistroSaídas[Valor],[1]!TbRegistroSaídas[Mês Previsto],F12,[1]!TbRegistroSaídas[Ano Previsto],$C$4,[1]!TbRegistroSaídas[Data do Caixa Realizado],"",[1]!TbRegistroSaídas[Data do Caixa Previsto],"&lt;="&amp;$C$5)</f>
        <v>0</v>
      </c>
      <c r="H12" s="108">
        <f>SUMIFS([1]!TbRegistroEntradas[Valor],[1]!TbRegistroEntradas[Mês Previsto],F12,[1]!TbRegistroEntradas[Ano Previsto],$C$4,[1]!TbRegistroEntradas[Data do Caixa Realizado],"",[1]!TbRegistroEntradas[Data do Caixa Previsto],"&lt;="&amp;$C$5)</f>
        <v>0</v>
      </c>
      <c r="I12" s="97"/>
      <c r="J12" s="108">
        <f>SUMIFS([1]!TbRegistroEntradas[Valor],[1]!TbRegistroEntradas[Conta Nível 2],$J$4,[1]!TbRegistroEntradas[Ano Competência],$L$3,[1]!TbRegistroEntradas[Mês Competência],F12,[1]!TbRegistroEntradas[Data da Competência],"&lt;="&amp;$C$5)</f>
        <v>0</v>
      </c>
      <c r="K12" s="108" t="e">
        <f t="shared" si="0"/>
        <v>#N/A</v>
      </c>
      <c r="L12" s="99" t="s">
        <v>588</v>
      </c>
      <c r="M12" s="98"/>
      <c r="N12" s="98"/>
      <c r="O12" s="98"/>
      <c r="P12" s="98"/>
      <c r="Q12" s="98"/>
      <c r="R12" s="98"/>
    </row>
    <row r="13" spans="1:18" x14ac:dyDescent="0.25">
      <c r="A13" s="97"/>
      <c r="B13" s="95" t="s">
        <v>587</v>
      </c>
      <c r="C13" s="95"/>
      <c r="D13" s="109">
        <f>SUMIFS([1]!TbRegistroSaídas[Valor],[1]!TbRegistroSaídas[Data do Caixa Realizado],"",[1]!TbRegistroSaídas[Ano Previsto],C4,[1]!TbRegistroSaídas[Data do Caixa Previsto],"&lt;="&amp;C5)</f>
        <v>14256</v>
      </c>
      <c r="E13" s="97"/>
      <c r="F13" s="97">
        <v>9</v>
      </c>
      <c r="G13" s="108">
        <f>SUMIFS([1]!TbRegistroSaídas[Valor],[1]!TbRegistroSaídas[Mês Previsto],F13,[1]!TbRegistroSaídas[Ano Previsto],$C$4,[1]!TbRegistroSaídas[Data do Caixa Realizado],"",[1]!TbRegistroSaídas[Data do Caixa Previsto],"&lt;="&amp;$C$5)</f>
        <v>0</v>
      </c>
      <c r="H13" s="108">
        <f>SUMIFS([1]!TbRegistroEntradas[Valor],[1]!TbRegistroEntradas[Mês Previsto],F13,[1]!TbRegistroEntradas[Ano Previsto],$C$4,[1]!TbRegistroEntradas[Data do Caixa Realizado],"",[1]!TbRegistroEntradas[Data do Caixa Previsto],"&lt;="&amp;$C$5)</f>
        <v>0</v>
      </c>
      <c r="I13" s="97"/>
      <c r="J13" s="108">
        <f>SUMIFS([1]!TbRegistroEntradas[Valor],[1]!TbRegistroEntradas[Conta Nível 2],$J$4,[1]!TbRegistroEntradas[Ano Competência],$L$3,[1]!TbRegistroEntradas[Mês Competência],F13,[1]!TbRegistroEntradas[Data da Competência],"&lt;="&amp;$C$5)</f>
        <v>0</v>
      </c>
      <c r="K13" s="108" t="e">
        <f t="shared" si="0"/>
        <v>#N/A</v>
      </c>
      <c r="L13" s="99" t="s">
        <v>590</v>
      </c>
      <c r="M13" s="98"/>
      <c r="N13" s="98"/>
      <c r="O13" s="98"/>
      <c r="P13" s="98"/>
      <c r="Q13" s="98"/>
      <c r="R13" s="98"/>
    </row>
    <row r="14" spans="1:18" x14ac:dyDescent="0.25">
      <c r="A14" s="97"/>
      <c r="B14" s="96" t="s">
        <v>589</v>
      </c>
      <c r="C14" s="96"/>
      <c r="D14" s="113">
        <f>SUMIFS([1]!TbRegistroEntradas[Valor],[1]!TbRegistroEntradas[Data do Caixa Realizado],"",[1]!TbRegistroEntradas[Ano Previsto],C4,[1]!TbRegistroEntradas[Data do Caixa Previsto],"&lt;="&amp;C5)</f>
        <v>7998</v>
      </c>
      <c r="E14" s="97"/>
      <c r="F14" s="97">
        <v>10</v>
      </c>
      <c r="G14" s="108">
        <f>SUMIFS([1]!TbRegistroSaídas[Valor],[1]!TbRegistroSaídas[Mês Previsto],F14,[1]!TbRegistroSaídas[Ano Previsto],$C$4,[1]!TbRegistroSaídas[Data do Caixa Realizado],"",[1]!TbRegistroSaídas[Data do Caixa Previsto],"&lt;="&amp;$C$5)</f>
        <v>0</v>
      </c>
      <c r="H14" s="108">
        <f>SUMIFS([1]!TbRegistroEntradas[Valor],[1]!TbRegistroEntradas[Mês Previsto],F14,[1]!TbRegistroEntradas[Ano Previsto],$C$4,[1]!TbRegistroEntradas[Data do Caixa Realizado],"",[1]!TbRegistroEntradas[Data do Caixa Previsto],"&lt;="&amp;$C$5)</f>
        <v>0</v>
      </c>
      <c r="I14" s="97"/>
      <c r="J14" s="108">
        <f>SUMIFS([1]!TbRegistroEntradas[Valor],[1]!TbRegistroEntradas[Conta Nível 2],$J$4,[1]!TbRegistroEntradas[Ano Competência],$L$3,[1]!TbRegistroEntradas[Mês Competência],F14,[1]!TbRegistroEntradas[Data da Competência],"&lt;="&amp;$C$5)</f>
        <v>0</v>
      </c>
      <c r="K14" s="108" t="e">
        <f t="shared" si="0"/>
        <v>#N/A</v>
      </c>
      <c r="L14" s="99" t="s">
        <v>591</v>
      </c>
      <c r="M14" s="98"/>
      <c r="N14" s="98"/>
      <c r="O14" s="98"/>
      <c r="P14" s="98"/>
      <c r="Q14" s="98"/>
      <c r="R14" s="98"/>
    </row>
    <row r="15" spans="1:18" x14ac:dyDescent="0.25">
      <c r="A15" s="97"/>
      <c r="B15" s="97"/>
      <c r="C15" s="97"/>
      <c r="D15" s="97"/>
      <c r="E15" s="97"/>
      <c r="F15" s="97">
        <v>11</v>
      </c>
      <c r="G15" s="108">
        <f>SUMIFS([1]!TbRegistroSaídas[Valor],[1]!TbRegistroSaídas[Mês Previsto],F15,[1]!TbRegistroSaídas[Ano Previsto],$C$4,[1]!TbRegistroSaídas[Data do Caixa Realizado],"",[1]!TbRegistroSaídas[Data do Caixa Previsto],"&lt;="&amp;$C$5)</f>
        <v>0</v>
      </c>
      <c r="H15" s="108">
        <f>SUMIFS([1]!TbRegistroEntradas[Valor],[1]!TbRegistroEntradas[Mês Previsto],F15,[1]!TbRegistroEntradas[Ano Previsto],$C$4,[1]!TbRegistroEntradas[Data do Caixa Realizado],"",[1]!TbRegistroEntradas[Data do Caixa Previsto],"&lt;="&amp;$C$5)</f>
        <v>0</v>
      </c>
      <c r="I15" s="97"/>
      <c r="J15" s="108">
        <f>SUMIFS([1]!TbRegistroEntradas[Valor],[1]!TbRegistroEntradas[Conta Nível 2],$J$4,[1]!TbRegistroEntradas[Ano Competência],$L$3,[1]!TbRegistroEntradas[Mês Competência],F15,[1]!TbRegistroEntradas[Data da Competência],"&lt;="&amp;$C$5)</f>
        <v>0</v>
      </c>
      <c r="K15" s="108" t="e">
        <f t="shared" si="0"/>
        <v>#N/A</v>
      </c>
      <c r="L15" s="99" t="s">
        <v>592</v>
      </c>
      <c r="M15" s="98"/>
      <c r="N15" s="98"/>
      <c r="O15" s="98"/>
      <c r="P15" s="98"/>
      <c r="Q15" s="98"/>
      <c r="R15" s="98"/>
    </row>
    <row r="16" spans="1:18" x14ac:dyDescent="0.25">
      <c r="A16" s="97"/>
      <c r="B16" s="97"/>
      <c r="C16" s="97"/>
      <c r="D16" s="97"/>
      <c r="E16" s="97"/>
      <c r="F16" s="111">
        <v>12</v>
      </c>
      <c r="G16" s="114">
        <f>SUMIFS([1]!TbRegistroSaídas[Valor],[1]!TbRegistroSaídas[Mês Previsto],F16,[1]!TbRegistroSaídas[Ano Previsto],$C$4,[1]!TbRegistroSaídas[Data do Caixa Realizado],"",[1]!TbRegistroSaídas[Data do Caixa Previsto],"&lt;="&amp;$C$5)</f>
        <v>0</v>
      </c>
      <c r="H16" s="114">
        <f>SUMIFS([1]!TbRegistroEntradas[Valor],[1]!TbRegistroEntradas[Mês Previsto],F16,[1]!TbRegistroEntradas[Ano Previsto],$C$4,[1]!TbRegistroEntradas[Data do Caixa Realizado],"",[1]!TbRegistroEntradas[Data do Caixa Previsto],"&lt;="&amp;$C$5)</f>
        <v>0</v>
      </c>
      <c r="I16" s="97"/>
      <c r="J16" s="114">
        <f>SUMIFS([1]!TbRegistroEntradas[Valor],[1]!TbRegistroEntradas[Conta Nível 2],$J$4,[1]!TbRegistroEntradas[Ano Competência],$L$3,[1]!TbRegistroEntradas[Mês Competência],F16,[1]!TbRegistroEntradas[Data da Competência],"&lt;="&amp;$C$5)</f>
        <v>0</v>
      </c>
      <c r="K16" s="114" t="e">
        <f t="shared" si="0"/>
        <v>#N/A</v>
      </c>
      <c r="L16" s="115" t="s">
        <v>593</v>
      </c>
      <c r="M16" s="98"/>
      <c r="N16" s="98"/>
      <c r="O16" s="98"/>
      <c r="P16" s="98"/>
      <c r="Q16" s="98"/>
      <c r="R16" s="98"/>
    </row>
    <row r="17" spans="1:18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8"/>
      <c r="N17" s="98"/>
      <c r="O17" s="98"/>
      <c r="P17" s="98"/>
      <c r="Q17" s="98"/>
      <c r="R17" s="98"/>
    </row>
    <row r="18" spans="1:18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8"/>
      <c r="N18" s="98"/>
      <c r="O18" s="98"/>
      <c r="P18" s="98"/>
      <c r="Q18" s="98"/>
      <c r="R18" s="98"/>
    </row>
    <row r="19" spans="1:18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8"/>
      <c r="N19" s="98"/>
      <c r="O19" s="98"/>
      <c r="P19" s="98"/>
      <c r="Q19" s="98"/>
      <c r="R19" s="98"/>
    </row>
    <row r="20" spans="1:18" x14ac:dyDescent="0.25">
      <c r="A20" s="97"/>
      <c r="B20" s="94" t="s">
        <v>594</v>
      </c>
      <c r="C20" s="97"/>
      <c r="D20" s="97"/>
      <c r="E20" s="116"/>
      <c r="F20" s="97"/>
      <c r="G20" s="97"/>
      <c r="H20" s="97"/>
      <c r="I20" s="97"/>
      <c r="J20" s="97"/>
      <c r="K20" s="97"/>
      <c r="L20" s="97"/>
      <c r="M20" s="98"/>
      <c r="N20" s="98"/>
      <c r="O20" s="98"/>
      <c r="P20" s="98"/>
      <c r="Q20" s="98"/>
      <c r="R20" s="98"/>
    </row>
    <row r="21" spans="1:18" x14ac:dyDescent="0.25">
      <c r="A21" s="97"/>
      <c r="B21" s="102" t="s">
        <v>595</v>
      </c>
      <c r="C21" s="103" t="s">
        <v>596</v>
      </c>
      <c r="D21" s="103" t="s">
        <v>597</v>
      </c>
      <c r="E21" s="103" t="s">
        <v>558</v>
      </c>
      <c r="F21" s="97"/>
      <c r="G21" s="97"/>
      <c r="H21" s="97"/>
      <c r="I21" s="97"/>
      <c r="J21" s="97"/>
      <c r="K21" s="97"/>
      <c r="L21" s="97"/>
      <c r="M21" s="98"/>
      <c r="N21" s="98"/>
      <c r="O21" s="98"/>
      <c r="P21" s="98"/>
      <c r="Q21" s="98"/>
      <c r="R21" s="98"/>
    </row>
    <row r="22" spans="1:18" x14ac:dyDescent="0.25">
      <c r="A22" s="97"/>
      <c r="B22" s="117">
        <f>C4</f>
        <v>2019</v>
      </c>
      <c r="C22" s="118">
        <f>SUMIFS([1]!TbRegistroEntradas[Valor],[1]!TbRegistroEntradas[Venda à Vista],"Vista",[1]!TbRegistroEntradas[Ano Competência],B22,[1]!TbRegistroEntradas[Data da Competência],"&lt;="&amp;C5)</f>
        <v>38162</v>
      </c>
      <c r="D22" s="118">
        <f>SUMIFS([1]!TbRegistroEntradas[Valor],[1]!TbRegistroEntradas[Venda à Vista],"Prazo",[1]!TbRegistroEntradas[Ano Competência],B22,[1]!TbRegistroEntradas[Data da Competência],"&lt;="&amp;C5)</f>
        <v>58030</v>
      </c>
      <c r="E22" s="118">
        <f>C22+D22</f>
        <v>96192</v>
      </c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8"/>
      <c r="R22" s="98"/>
    </row>
    <row r="23" spans="1:18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8"/>
      <c r="N23" s="98"/>
      <c r="O23" s="98"/>
      <c r="P23" s="98"/>
      <c r="Q23" s="98"/>
      <c r="R23" s="98"/>
    </row>
    <row r="24" spans="1:18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8"/>
      <c r="N24" s="98"/>
      <c r="O24" s="98"/>
      <c r="P24" s="98"/>
      <c r="Q24" s="98"/>
      <c r="R24" s="98"/>
    </row>
    <row r="25" spans="1:18" x14ac:dyDescent="0.25">
      <c r="A25" s="97"/>
      <c r="B25" s="94" t="s">
        <v>598</v>
      </c>
      <c r="C25" s="97"/>
      <c r="D25" s="97"/>
      <c r="E25" s="97"/>
      <c r="F25" s="97"/>
      <c r="G25" s="94" t="s">
        <v>599</v>
      </c>
      <c r="H25" s="97"/>
      <c r="I25" s="97"/>
      <c r="J25" s="97"/>
      <c r="K25" s="97"/>
      <c r="L25" s="97"/>
      <c r="M25" s="98"/>
      <c r="N25" s="98"/>
      <c r="O25" s="98"/>
      <c r="P25" s="98"/>
      <c r="Q25" s="98"/>
      <c r="R25" s="98"/>
    </row>
    <row r="26" spans="1:18" x14ac:dyDescent="0.25">
      <c r="A26" s="97"/>
      <c r="B26" s="102" t="s">
        <v>595</v>
      </c>
      <c r="C26" s="103" t="s">
        <v>600</v>
      </c>
      <c r="D26" s="103" t="s">
        <v>566</v>
      </c>
      <c r="E26" s="103" t="s">
        <v>601</v>
      </c>
      <c r="F26" s="97"/>
      <c r="G26" s="102" t="s">
        <v>595</v>
      </c>
      <c r="H26" s="103" t="s">
        <v>600</v>
      </c>
      <c r="I26" s="103" t="s">
        <v>566</v>
      </c>
      <c r="J26" s="103" t="s">
        <v>601</v>
      </c>
      <c r="K26" s="97"/>
      <c r="L26" s="97"/>
      <c r="M26" s="98"/>
      <c r="N26" s="98"/>
      <c r="O26" s="98"/>
      <c r="P26" s="98"/>
      <c r="Q26" s="98"/>
      <c r="R26" s="98"/>
    </row>
    <row r="27" spans="1:18" x14ac:dyDescent="0.25">
      <c r="A27" s="97"/>
      <c r="B27" s="117">
        <f>C4</f>
        <v>2019</v>
      </c>
      <c r="C27" s="119" t="e">
        <f>COUNTIFS([1]!TbRegistroEntradas[Ano Competência],B27,[1]!TbRegistroEntradas[Dias de Atraso],"&gt;0",[1]!TbRegistroEntradas[Data da Competência],"&lt;="&amp;C5)</f>
        <v>#REF!</v>
      </c>
      <c r="D27" s="119" t="e">
        <f>SUMIFS([1]!TbRegistroEntradas[Dias de Atraso],[1]!TbRegistroEntradas[Ano Competência],B27,[1]!TbRegistroEntradas[Dias de Atraso],"&gt;0",[1]!TbRegistroEntradas[Data da Competência],"&lt;="&amp;C5)</f>
        <v>#REF!</v>
      </c>
      <c r="E27" s="119" t="e">
        <f>D27/C27</f>
        <v>#REF!</v>
      </c>
      <c r="F27" s="97"/>
      <c r="G27" s="117">
        <f>C4</f>
        <v>2019</v>
      </c>
      <c r="H27" s="119" t="e">
        <f>COUNTIFS([1]!TbRegistroSaídas[Ano Competência],G27,[1]!TbRegistroSaídas[Dias de Atraso],"&gt;0",[1]!TbRegistroSaídas[Data da Competência],"&lt;="&amp;C5)</f>
        <v>#REF!</v>
      </c>
      <c r="I27" s="119" t="e">
        <f>SUMIFS([1]!TbRegistroSaídas[Dias de Atraso],[1]!TbRegistroSaídas[Ano Competência],G27,[1]!TbRegistroSaídas[Dias de Atraso],"&gt;0",[1]!TbRegistroSaídas[Data da Competência],"&lt;="&amp;C5)</f>
        <v>#REF!</v>
      </c>
      <c r="J27" s="119" t="e">
        <f>I27/H27</f>
        <v>#REF!</v>
      </c>
      <c r="K27" s="97"/>
      <c r="L27" s="97"/>
      <c r="M27" s="98"/>
      <c r="N27" s="98"/>
      <c r="O27" s="98"/>
      <c r="P27" s="98"/>
      <c r="Q27" s="98"/>
      <c r="R27" s="98"/>
    </row>
    <row r="28" spans="1:18" x14ac:dyDescent="0.2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8"/>
      <c r="N28" s="98"/>
      <c r="O28" s="98"/>
      <c r="P28" s="98"/>
      <c r="Q28" s="98"/>
      <c r="R28" s="98"/>
    </row>
    <row r="29" spans="1:18" x14ac:dyDescent="0.2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8"/>
      <c r="N29" s="98"/>
      <c r="O29" s="98"/>
      <c r="P29" s="98"/>
      <c r="Q29" s="98"/>
      <c r="R29" s="98"/>
    </row>
    <row r="30" spans="1:18" x14ac:dyDescent="0.25">
      <c r="A30" s="97"/>
      <c r="B30" s="94" t="s">
        <v>602</v>
      </c>
      <c r="C30" s="97"/>
      <c r="D30" s="97"/>
      <c r="E30" s="97"/>
      <c r="F30" s="97"/>
      <c r="G30" s="94" t="s">
        <v>603</v>
      </c>
      <c r="H30" s="120">
        <f>C4</f>
        <v>2019</v>
      </c>
      <c r="I30" s="97"/>
      <c r="J30" s="97"/>
      <c r="K30" s="97"/>
      <c r="L30" s="97"/>
      <c r="M30" s="98"/>
      <c r="N30" s="98"/>
      <c r="O30" s="98"/>
      <c r="P30" s="98"/>
      <c r="Q30" s="98"/>
      <c r="R30" s="98"/>
    </row>
    <row r="31" spans="1:18" x14ac:dyDescent="0.25">
      <c r="A31" s="97"/>
      <c r="B31" s="121" t="s">
        <v>595</v>
      </c>
      <c r="C31" s="107" t="s">
        <v>580</v>
      </c>
      <c r="D31" s="107" t="s">
        <v>582</v>
      </c>
      <c r="E31" s="107" t="s">
        <v>604</v>
      </c>
      <c r="F31" s="97"/>
      <c r="G31" s="102" t="s">
        <v>572</v>
      </c>
      <c r="H31" s="122" t="str">
        <f>[1]DashBoardFinanceiroAtual!K14</f>
        <v>Vestuário</v>
      </c>
      <c r="I31" s="97"/>
      <c r="J31" s="97"/>
      <c r="K31" s="97"/>
      <c r="L31" s="97"/>
      <c r="M31" s="98"/>
      <c r="N31" s="98"/>
      <c r="O31" s="98"/>
      <c r="P31" s="98"/>
      <c r="Q31" s="98"/>
      <c r="R31" s="98"/>
    </row>
    <row r="32" spans="1:18" x14ac:dyDescent="0.25">
      <c r="A32" s="97"/>
      <c r="B32" s="139">
        <f>C4</f>
        <v>2019</v>
      </c>
      <c r="C32" s="123">
        <f>SUMIFS([1]!TbRegistroEntradas[Valor],[1]!TbRegistroEntradas[Ano Competência],B32,[1]!TbRegistroEntradas[Data da Competência],"&lt;="&amp;C5)</f>
        <v>96192</v>
      </c>
      <c r="D32" s="123">
        <f>SUMIFS([1]!TbRegistroSaídas[Valor],[1]!TbRegistroSaídas[Ano Competência],B32,[1]!TbRegistroSaídas[Data da Competência],"&lt;="&amp;C5)</f>
        <v>115511</v>
      </c>
      <c r="E32" s="124">
        <f>C32-D32</f>
        <v>-19319</v>
      </c>
      <c r="F32" s="97"/>
      <c r="G32" s="97">
        <v>1</v>
      </c>
      <c r="H32" s="108">
        <f>SUMIFS([1]!TbRegistroSaídas[Valor],[1]!TbRegistroSaídas[Conta Nível 2],$H$31,[1]!TbRegistroSaídas[Ano Competência],$H$30,[1]!TbRegistroSaídas[Mês Competência],G32,[1]!TbRegistroSaídas[Data da Competência],"&lt;="&amp;$C$5)</f>
        <v>14690</v>
      </c>
      <c r="I32" s="97"/>
      <c r="J32" s="97"/>
      <c r="K32" s="97"/>
      <c r="L32" s="97"/>
      <c r="M32" s="98"/>
      <c r="N32" s="98"/>
      <c r="O32" s="98"/>
      <c r="P32" s="98"/>
      <c r="Q32" s="98"/>
      <c r="R32" s="98"/>
    </row>
    <row r="33" spans="1:18" x14ac:dyDescent="0.25">
      <c r="A33" s="97"/>
      <c r="B33" s="97"/>
      <c r="C33" s="97"/>
      <c r="D33" s="97"/>
      <c r="E33" s="97"/>
      <c r="F33" s="97"/>
      <c r="G33" s="97">
        <v>2</v>
      </c>
      <c r="H33" s="108">
        <f>SUMIFS([1]!TbRegistroSaídas[Valor],[1]!TbRegistroSaídas[Conta Nível 2],$H$31,[1]!TbRegistroSaídas[Ano Competência],$H$30,[1]!TbRegistroSaídas[Mês Competência],G33,[1]!TbRegistroSaídas[Data da Competência],"&lt;="&amp;$C$5)</f>
        <v>6991</v>
      </c>
      <c r="I33" s="97"/>
      <c r="J33" s="97"/>
      <c r="K33" s="97"/>
      <c r="L33" s="97"/>
      <c r="M33" s="98"/>
      <c r="N33" s="98"/>
      <c r="O33" s="98"/>
      <c r="P33" s="98"/>
      <c r="Q33" s="98"/>
      <c r="R33" s="98"/>
    </row>
    <row r="34" spans="1:18" x14ac:dyDescent="0.25">
      <c r="A34" s="97"/>
      <c r="B34" s="97"/>
      <c r="C34" s="97"/>
      <c r="D34" s="97"/>
      <c r="E34" s="97"/>
      <c r="F34" s="97"/>
      <c r="G34" s="97">
        <v>3</v>
      </c>
      <c r="H34" s="108">
        <f>SUMIFS([1]!TbRegistroSaídas[Valor],[1]!TbRegistroSaídas[Conta Nível 2],$H$31,[1]!TbRegistroSaídas[Ano Competência],$H$30,[1]!TbRegistroSaídas[Mês Competência],G34,[1]!TbRegistroSaídas[Data da Competência],"&lt;="&amp;$C$5)</f>
        <v>8219</v>
      </c>
      <c r="I34" s="97"/>
      <c r="J34" s="97"/>
      <c r="K34" s="97"/>
      <c r="L34" s="97"/>
      <c r="M34" s="98"/>
      <c r="N34" s="98"/>
      <c r="O34" s="98"/>
      <c r="P34" s="98"/>
      <c r="Q34" s="98"/>
      <c r="R34" s="98"/>
    </row>
    <row r="35" spans="1:18" x14ac:dyDescent="0.25">
      <c r="A35" s="97"/>
      <c r="B35" s="97"/>
      <c r="C35" s="97"/>
      <c r="D35" s="97"/>
      <c r="E35" s="97"/>
      <c r="F35" s="97"/>
      <c r="G35" s="97">
        <v>4</v>
      </c>
      <c r="H35" s="108">
        <f>SUMIFS([1]!TbRegistroSaídas[Valor],[1]!TbRegistroSaídas[Conta Nível 2],$H$31,[1]!TbRegistroSaídas[Ano Competência],$H$30,[1]!TbRegistroSaídas[Mês Competência],G35,[1]!TbRegistroSaídas[Data da Competência],"&lt;="&amp;$C$5)</f>
        <v>19692</v>
      </c>
      <c r="I35" s="97"/>
      <c r="J35" s="97"/>
      <c r="K35" s="97"/>
      <c r="L35" s="97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7"/>
      <c r="F36" s="97"/>
      <c r="G36" s="97">
        <v>5</v>
      </c>
      <c r="H36" s="108">
        <f>SUMIFS([1]!TbRegistroSaídas[Valor],[1]!TbRegistroSaídas[Conta Nível 2],$H$31,[1]!TbRegistroSaídas[Ano Competência],$H$30,[1]!TbRegistroSaídas[Mês Competência],G36,[1]!TbRegistroSaídas[Data da Competência],"&lt;="&amp;$C$5)</f>
        <v>0</v>
      </c>
      <c r="I36" s="97"/>
      <c r="J36" s="97"/>
      <c r="K36" s="97"/>
      <c r="L36" s="97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7"/>
      <c r="F37" s="97"/>
      <c r="G37" s="97">
        <v>6</v>
      </c>
      <c r="H37" s="108">
        <f>SUMIFS([1]!TbRegistroSaídas[Valor],[1]!TbRegistroSaídas[Conta Nível 2],$H$31,[1]!TbRegistroSaídas[Ano Competência],$H$30,[1]!TbRegistroSaídas[Mês Competência],G37,[1]!TbRegistroSaídas[Data da Competência],"&lt;="&amp;$C$5)</f>
        <v>0</v>
      </c>
      <c r="I37" s="97"/>
      <c r="J37" s="97"/>
      <c r="K37" s="97"/>
      <c r="L37" s="97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7"/>
      <c r="F38" s="97"/>
      <c r="G38" s="97">
        <v>7</v>
      </c>
      <c r="H38" s="108">
        <f>SUMIFS([1]!TbRegistroSaídas[Valor],[1]!TbRegistroSaídas[Conta Nível 2],$H$31,[1]!TbRegistroSaídas[Ano Competência],$H$30,[1]!TbRegistroSaídas[Mês Competência],G38,[1]!TbRegistroSaídas[Data da Competência],"&lt;="&amp;$C$5)</f>
        <v>0</v>
      </c>
      <c r="I38" s="97"/>
      <c r="J38" s="97"/>
      <c r="K38" s="97"/>
      <c r="L38" s="97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7"/>
      <c r="F39" s="97"/>
      <c r="G39" s="97">
        <v>8</v>
      </c>
      <c r="H39" s="108">
        <f>SUMIFS([1]!TbRegistroSaídas[Valor],[1]!TbRegistroSaídas[Conta Nível 2],$H$31,[1]!TbRegistroSaídas[Ano Competência],$H$30,[1]!TbRegistroSaídas[Mês Competência],G39,[1]!TbRegistroSaídas[Data da Competência],"&lt;="&amp;$C$5)</f>
        <v>0</v>
      </c>
      <c r="I39" s="97"/>
      <c r="J39" s="97"/>
      <c r="K39" s="97"/>
      <c r="L39" s="97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7"/>
      <c r="F40" s="97"/>
      <c r="G40" s="97">
        <v>9</v>
      </c>
      <c r="H40" s="108">
        <f>SUMIFS([1]!TbRegistroSaídas[Valor],[1]!TbRegistroSaídas[Conta Nível 2],$H$31,[1]!TbRegistroSaídas[Ano Competência],$H$30,[1]!TbRegistroSaídas[Mês Competência],G40,[1]!TbRegistroSaídas[Data da Competência],"&lt;="&amp;$C$5)</f>
        <v>0</v>
      </c>
      <c r="I40" s="97"/>
      <c r="J40" s="97"/>
      <c r="K40" s="97"/>
      <c r="L40" s="97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7"/>
      <c r="F41" s="97"/>
      <c r="G41" s="97">
        <v>10</v>
      </c>
      <c r="H41" s="108">
        <f>SUMIFS([1]!TbRegistroSaídas[Valor],[1]!TbRegistroSaídas[Conta Nível 2],$H$31,[1]!TbRegistroSaídas[Ano Competência],$H$30,[1]!TbRegistroSaídas[Mês Competência],G41,[1]!TbRegistroSaídas[Data da Competência],"&lt;="&amp;$C$5)</f>
        <v>0</v>
      </c>
      <c r="I41" s="97"/>
      <c r="J41" s="97"/>
      <c r="K41" s="97"/>
      <c r="L41" s="97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7"/>
      <c r="F42" s="97"/>
      <c r="G42" s="97">
        <v>11</v>
      </c>
      <c r="H42" s="108">
        <f>SUMIFS([1]!TbRegistroSaídas[Valor],[1]!TbRegistroSaídas[Conta Nível 2],$H$31,[1]!TbRegistroSaídas[Ano Competência],$H$30,[1]!TbRegistroSaídas[Mês Competência],G42,[1]!TbRegistroSaídas[Data da Competência],"&lt;="&amp;$C$5)</f>
        <v>0</v>
      </c>
      <c r="I42" s="97"/>
      <c r="J42" s="97"/>
      <c r="K42" s="97"/>
      <c r="L42" s="97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7"/>
      <c r="F43" s="97"/>
      <c r="G43" s="111">
        <v>12</v>
      </c>
      <c r="H43" s="108">
        <f>SUMIFS([1]!TbRegistroSaídas[Valor],[1]!TbRegistroSaídas[Conta Nível 2],$H$31,[1]!TbRegistroSaídas[Ano Competência],$H$30,[1]!TbRegistroSaídas[Mês Competência],G43,[1]!TbRegistroSaídas[Data da Competência],"&lt;="&amp;$C$5)</f>
        <v>0</v>
      </c>
      <c r="I43" s="97"/>
      <c r="J43" s="97"/>
      <c r="K43" s="97"/>
      <c r="L43" s="97"/>
      <c r="M43" s="98"/>
      <c r="N43" s="98"/>
      <c r="O43" s="98"/>
      <c r="P43" s="98"/>
      <c r="Q43" s="98"/>
      <c r="R43" s="98"/>
    </row>
    <row r="44" spans="1:18" x14ac:dyDescent="0.25">
      <c r="A44" s="97"/>
      <c r="B44" s="97"/>
      <c r="C44" s="97"/>
      <c r="D44" s="97"/>
      <c r="E44" s="97"/>
      <c r="F44" s="97"/>
      <c r="G44" s="102" t="s">
        <v>558</v>
      </c>
      <c r="H44" s="125">
        <f>SUM(H32:H43)</f>
        <v>49592</v>
      </c>
      <c r="I44" s="97"/>
      <c r="J44" s="97"/>
      <c r="K44" s="97"/>
      <c r="L44" s="97"/>
      <c r="M44" s="98"/>
      <c r="N44" s="98"/>
      <c r="O44" s="98"/>
      <c r="P44" s="98"/>
      <c r="Q44" s="98"/>
      <c r="R44" s="98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378E-2146-4D51-B492-F2C6BB8ED0D9}">
  <dimension ref="A1:O34"/>
  <sheetViews>
    <sheetView showGridLines="0" showRowColHeaders="0" workbookViewId="0"/>
  </sheetViews>
  <sheetFormatPr defaultColWidth="0" defaultRowHeight="15" x14ac:dyDescent="0.25"/>
  <cols>
    <col min="1" max="1" width="3" customWidth="1"/>
    <col min="2" max="2" width="40.7109375" customWidth="1"/>
    <col min="3" max="3" width="1.85546875" customWidth="1"/>
    <col min="4" max="4" width="40.7109375" customWidth="1"/>
    <col min="5" max="5" width="4.85546875" customWidth="1"/>
    <col min="6" max="7" width="18.7109375" customWidth="1"/>
    <col min="8" max="8" width="4.140625" customWidth="1"/>
    <col min="9" max="9" width="36.28515625" customWidth="1"/>
    <col min="10" max="10" width="5.85546875" customWidth="1"/>
    <col min="11" max="11" width="33.85546875" customWidth="1"/>
    <col min="12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97" t="s">
        <v>611</v>
      </c>
      <c r="F1" s="197"/>
      <c r="G1" s="197"/>
      <c r="H1" s="197"/>
      <c r="I1" s="197"/>
      <c r="J1" s="197"/>
      <c r="K1" s="197"/>
      <c r="L1" s="197"/>
      <c r="M1" s="197"/>
      <c r="N1" s="197"/>
    </row>
    <row r="2" spans="2:14" ht="39.950000000000003" customHeight="1" x14ac:dyDescent="0.25">
      <c r="B2" s="4"/>
      <c r="C2" s="4"/>
      <c r="D2" s="4"/>
      <c r="E2" s="4"/>
      <c r="F2" s="4"/>
      <c r="G2" s="4"/>
      <c r="H2" s="203">
        <v>2019</v>
      </c>
      <c r="I2" s="203"/>
      <c r="J2" s="203"/>
      <c r="K2" s="203"/>
      <c r="L2" s="203"/>
      <c r="M2" s="203"/>
      <c r="N2" s="203"/>
    </row>
    <row r="3" spans="2:14" ht="20.100000000000001" customHeight="1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2:14" ht="20.100000000000001" customHeight="1" x14ac:dyDescent="0.25">
      <c r="B4" s="86" t="s">
        <v>554</v>
      </c>
      <c r="C4" s="48"/>
      <c r="D4" s="87" t="s">
        <v>555</v>
      </c>
      <c r="E4" s="48"/>
      <c r="F4" s="49"/>
      <c r="G4" s="50"/>
      <c r="H4" s="50"/>
      <c r="I4" s="88" t="s">
        <v>556</v>
      </c>
      <c r="J4" s="50"/>
      <c r="K4" s="84" t="s">
        <v>38</v>
      </c>
    </row>
    <row r="5" spans="2:14" ht="20.100000000000001" customHeight="1" x14ac:dyDescent="0.25">
      <c r="B5" s="126">
        <f>DashboardFinanceiroAnualID!C11</f>
        <v>-3097</v>
      </c>
      <c r="C5" s="48"/>
      <c r="D5" s="51" t="s">
        <v>606</v>
      </c>
      <c r="E5" s="48"/>
      <c r="F5" s="52"/>
      <c r="I5" s="48"/>
      <c r="J5" s="53"/>
      <c r="K5" s="54"/>
    </row>
    <row r="6" spans="2:14" ht="20.100000000000001" customHeight="1" x14ac:dyDescent="0.25">
      <c r="B6" s="48"/>
      <c r="C6" s="48"/>
      <c r="D6" s="48"/>
      <c r="E6" s="48"/>
      <c r="F6" s="52"/>
      <c r="I6" s="48"/>
      <c r="J6" s="48"/>
      <c r="K6" s="54"/>
    </row>
    <row r="7" spans="2:14" ht="20.100000000000001" customHeight="1" x14ac:dyDescent="0.25">
      <c r="B7" s="86" t="s">
        <v>557</v>
      </c>
      <c r="C7" s="48"/>
      <c r="D7" s="201"/>
      <c r="E7" s="48"/>
      <c r="F7" s="52"/>
      <c r="I7" s="48"/>
      <c r="J7" s="48"/>
      <c r="K7" s="55" t="s">
        <v>558</v>
      </c>
    </row>
    <row r="8" spans="2:14" ht="20.100000000000001" customHeight="1" x14ac:dyDescent="0.25">
      <c r="B8" s="127">
        <f>DashboardFinanceiroAnualID!D13</f>
        <v>12009</v>
      </c>
      <c r="C8" s="48"/>
      <c r="D8" s="202"/>
      <c r="E8" s="48"/>
      <c r="F8" s="52"/>
      <c r="I8" s="48"/>
      <c r="J8" s="48"/>
      <c r="K8" s="135">
        <f>SUM(DashboardFinanceiroAnualID!J5:J16)</f>
        <v>26160</v>
      </c>
    </row>
    <row r="9" spans="2:14" ht="20.100000000000001" customHeight="1" x14ac:dyDescent="0.25">
      <c r="B9" s="48"/>
      <c r="C9" s="48"/>
      <c r="D9" s="48"/>
      <c r="E9" s="48"/>
      <c r="F9" s="52"/>
      <c r="I9" s="48"/>
      <c r="J9" s="48"/>
      <c r="K9" s="56"/>
    </row>
    <row r="10" spans="2:14" ht="20.100000000000001" customHeight="1" x14ac:dyDescent="0.25">
      <c r="B10" s="86" t="s">
        <v>559</v>
      </c>
      <c r="C10" s="48"/>
      <c r="D10" s="201"/>
      <c r="E10" s="48"/>
      <c r="F10" s="52"/>
      <c r="I10" s="48"/>
      <c r="J10" s="48"/>
      <c r="K10" s="56"/>
    </row>
    <row r="11" spans="2:14" ht="20.100000000000001" customHeight="1" x14ac:dyDescent="0.25">
      <c r="B11" s="128">
        <f>DashboardFinanceiroAnualID!D14</f>
        <v>5413</v>
      </c>
      <c r="C11" s="48"/>
      <c r="D11" s="202"/>
      <c r="E11" s="48"/>
      <c r="F11" s="57"/>
      <c r="G11" s="58"/>
      <c r="H11" s="58"/>
      <c r="I11" s="59"/>
      <c r="J11" s="59"/>
      <c r="K11" s="60"/>
    </row>
    <row r="12" spans="2:14" ht="20.100000000000001" customHeight="1" x14ac:dyDescent="0.25">
      <c r="B12" s="48"/>
      <c r="C12" s="48"/>
      <c r="D12" s="48"/>
      <c r="E12" s="48"/>
      <c r="I12" s="48"/>
      <c r="J12" s="48"/>
      <c r="K12" s="48"/>
    </row>
    <row r="13" spans="2:14" ht="20.100000000000001" customHeight="1" x14ac:dyDescent="0.25">
      <c r="B13" s="198" t="s">
        <v>560</v>
      </c>
      <c r="C13" s="199"/>
      <c r="D13" s="200"/>
      <c r="E13" s="48"/>
      <c r="F13" s="198" t="s">
        <v>561</v>
      </c>
      <c r="G13" s="200"/>
      <c r="I13" s="91" t="s">
        <v>562</v>
      </c>
      <c r="J13" s="48"/>
      <c r="K13" s="92" t="s">
        <v>563</v>
      </c>
    </row>
    <row r="14" spans="2:14" ht="20.100000000000001" customHeight="1" x14ac:dyDescent="0.25">
      <c r="B14" s="61"/>
      <c r="C14" s="62"/>
      <c r="D14" s="63"/>
      <c r="E14" s="48"/>
      <c r="F14" s="89" t="s">
        <v>564</v>
      </c>
      <c r="G14" s="90" t="s">
        <v>565</v>
      </c>
      <c r="I14" s="64">
        <f>DashboardFinanceiroAnualID!E32</f>
        <v>-39131</v>
      </c>
      <c r="J14" s="48"/>
      <c r="K14" s="83" t="s">
        <v>23</v>
      </c>
    </row>
    <row r="15" spans="2:14" ht="20.100000000000001" customHeight="1" x14ac:dyDescent="0.25">
      <c r="B15" s="61"/>
      <c r="C15" s="48"/>
      <c r="D15" s="63"/>
      <c r="E15" s="48"/>
      <c r="F15" s="65"/>
      <c r="G15" s="66"/>
      <c r="I15" s="67"/>
      <c r="J15" s="48"/>
      <c r="K15" s="68">
        <f>DashboardFinanceiroAnualID!H43</f>
        <v>40318</v>
      </c>
    </row>
    <row r="16" spans="2:14" ht="20.100000000000001" customHeight="1" x14ac:dyDescent="0.25">
      <c r="B16" s="69">
        <f>DashboardFinanceiroAnualID!E22</f>
        <v>130659</v>
      </c>
      <c r="C16" s="48"/>
      <c r="D16" s="63"/>
      <c r="E16" s="48"/>
      <c r="F16" s="70">
        <f ca="1">DashboardFinanceiroAnualID!E27</f>
        <v>39.576960973329278</v>
      </c>
      <c r="G16" s="71">
        <f ca="1">DashboardFinanceiroAnualID!J26</f>
        <v>47.577196531082265</v>
      </c>
      <c r="I16" s="67"/>
      <c r="J16" s="48"/>
      <c r="K16" s="72"/>
    </row>
    <row r="17" spans="2:11" ht="20.100000000000001" customHeight="1" x14ac:dyDescent="0.25">
      <c r="B17" s="69"/>
      <c r="C17" s="48"/>
      <c r="D17" s="63"/>
      <c r="E17" s="48"/>
      <c r="F17" s="73"/>
      <c r="G17" s="66"/>
      <c r="I17" s="67"/>
      <c r="J17" s="48"/>
      <c r="K17" s="72"/>
    </row>
    <row r="18" spans="2:11" ht="20.100000000000001" customHeight="1" x14ac:dyDescent="0.25">
      <c r="B18" s="61"/>
      <c r="C18" s="48"/>
      <c r="D18" s="63"/>
      <c r="E18" s="48"/>
      <c r="F18" s="74" t="s">
        <v>566</v>
      </c>
      <c r="G18" s="75" t="s">
        <v>566</v>
      </c>
      <c r="I18" s="67"/>
      <c r="J18" s="48"/>
      <c r="K18" s="72"/>
    </row>
    <row r="19" spans="2:11" ht="20.100000000000001" customHeight="1" x14ac:dyDescent="0.25">
      <c r="B19" s="76"/>
      <c r="C19" s="77"/>
      <c r="D19" s="78"/>
      <c r="E19" s="48"/>
      <c r="F19" s="79"/>
      <c r="G19" s="80"/>
      <c r="I19" s="81"/>
      <c r="J19" s="48"/>
      <c r="K19" s="82"/>
    </row>
    <row r="20" spans="2:11" ht="20.100000000000001" customHeight="1" x14ac:dyDescent="0.25">
      <c r="B20" s="48"/>
      <c r="C20" s="48"/>
      <c r="D20" s="48"/>
      <c r="E20" s="48"/>
      <c r="I20" s="48"/>
      <c r="J20" s="48"/>
      <c r="K20" s="48"/>
    </row>
    <row r="21" spans="2:11" x14ac:dyDescent="0.25">
      <c r="B21" s="85"/>
      <c r="C21" s="85"/>
      <c r="D21" s="85"/>
      <c r="E21" s="85"/>
      <c r="F21" s="85"/>
      <c r="G21" s="85"/>
      <c r="H21" s="85"/>
      <c r="I21" s="85"/>
      <c r="J21" s="85"/>
      <c r="K21" s="85"/>
    </row>
    <row r="33" customFormat="1" x14ac:dyDescent="0.25"/>
    <row r="34" customFormat="1" x14ac:dyDescent="0.25"/>
  </sheetData>
  <mergeCells count="6">
    <mergeCell ref="E1:N1"/>
    <mergeCell ref="B13:D13"/>
    <mergeCell ref="F13:G13"/>
    <mergeCell ref="D7:D8"/>
    <mergeCell ref="D10:D11"/>
    <mergeCell ref="H2:N2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E891EDB1-A608-4537-ABD9-A245FA46405A}">
      <formula1>PCSaídasN2_Nível_2</formula1>
    </dataValidation>
    <dataValidation type="list" allowBlank="1" showInputMessage="1" showErrorMessage="1" errorTitle="Conta Inexisente!" error="Selecione um item da conta." sqref="K4" xr:uid="{A25409E7-8C74-4F1B-88F9-18D3A7081885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62126AF-402C-4020-AB2C-D93F2B529908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DashboardFinanceiroAnualID!G5:G16</xm:f>
              <xm:sqref>D7</xm:sqref>
            </x14:sparkline>
          </x14:sparklines>
        </x14:sparklineGroup>
        <x14:sparklineGroup type="column" displayEmptyCellsAs="gap" xr2:uid="{549F4047-0F39-484B-A05D-1052C47E3664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DashboardFinanceiroAnualID!H5:H16</xm:f>
              <xm:sqref>D10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73DA-E37F-4BE5-ABCB-C690B8087023}">
  <dimension ref="A1:P44"/>
  <sheetViews>
    <sheetView topLeftCell="A7" workbookViewId="0">
      <selection activeCell="H31" sqref="H31:H42"/>
    </sheetView>
  </sheetViews>
  <sheetFormatPr defaultRowHeight="15" x14ac:dyDescent="0.25"/>
  <cols>
    <col min="2" max="2" width="31.85546875" bestFit="1" customWidth="1"/>
    <col min="3" max="3" width="15.28515625" customWidth="1"/>
    <col min="4" max="4" width="13.140625" customWidth="1"/>
    <col min="5" max="5" width="11.5703125" bestFit="1" customWidth="1"/>
    <col min="6" max="6" width="39.28515625" bestFit="1" customWidth="1"/>
    <col min="7" max="7" width="29.85546875" bestFit="1" customWidth="1"/>
    <col min="8" max="8" width="15.28515625" bestFit="1" customWidth="1"/>
    <col min="10" max="10" width="19.28515625" bestFit="1" customWidth="1"/>
    <col min="11" max="11" width="12.140625" customWidth="1"/>
    <col min="12" max="12" width="6.85546875" customWidth="1"/>
  </cols>
  <sheetData>
    <row r="1" spans="1:16" x14ac:dyDescent="0.25">
      <c r="A1" s="97"/>
      <c r="B1" s="93" t="s">
        <v>567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8"/>
      <c r="N1" s="98"/>
      <c r="O1" s="98"/>
      <c r="P1" s="98"/>
    </row>
    <row r="2" spans="1:16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98"/>
      <c r="O2" s="98"/>
      <c r="P2" s="98"/>
    </row>
    <row r="3" spans="1:16" x14ac:dyDescent="0.25">
      <c r="A3" s="97"/>
      <c r="B3" s="97"/>
      <c r="C3" s="97"/>
      <c r="D3" s="97"/>
      <c r="E3" s="97"/>
      <c r="F3" s="94" t="s">
        <v>568</v>
      </c>
      <c r="G3" s="97"/>
      <c r="H3" s="97"/>
      <c r="I3" s="97"/>
      <c r="J3" s="94" t="s">
        <v>569</v>
      </c>
      <c r="K3" s="99" t="s">
        <v>570</v>
      </c>
      <c r="L3" s="100">
        <f>C4</f>
        <v>2019</v>
      </c>
      <c r="M3" s="98"/>
      <c r="N3" s="98"/>
      <c r="O3" s="98"/>
      <c r="P3" s="98"/>
    </row>
    <row r="4" spans="1:16" x14ac:dyDescent="0.25">
      <c r="A4" s="97"/>
      <c r="B4" s="99" t="s">
        <v>571</v>
      </c>
      <c r="C4" s="101">
        <f>DashboardFinanceiroAnual!H2</f>
        <v>2019</v>
      </c>
      <c r="D4" s="97"/>
      <c r="E4" s="97"/>
      <c r="F4" s="102" t="s">
        <v>572</v>
      </c>
      <c r="G4" s="103" t="s">
        <v>573</v>
      </c>
      <c r="H4" s="102" t="s">
        <v>574</v>
      </c>
      <c r="I4" s="97"/>
      <c r="J4" s="104" t="str">
        <f>DashboardFinanceiroAnual!K4</f>
        <v>Livros</v>
      </c>
      <c r="K4" s="102" t="s">
        <v>575</v>
      </c>
      <c r="L4" s="102" t="s">
        <v>572</v>
      </c>
      <c r="M4" s="98"/>
      <c r="N4" s="98"/>
      <c r="O4" s="98"/>
      <c r="P4" s="98"/>
    </row>
    <row r="5" spans="1:16" x14ac:dyDescent="0.25">
      <c r="A5" s="97"/>
      <c r="B5" s="97"/>
      <c r="C5" s="97"/>
      <c r="D5" s="97"/>
      <c r="E5" s="97"/>
      <c r="F5" s="105">
        <v>1</v>
      </c>
      <c r="G5" s="129">
        <f>SUMIFS(TbRegistroSaídas[VALOR],TbRegistroSaídas[MÊS PREVISTO],F5,TbRegistroSaídas[ANO PREVISTO],$C$4,TbRegistroSaídas[DATA DO CAIXA REALIZADO],"")</f>
        <v>5159</v>
      </c>
      <c r="H5" s="130">
        <f>SUMIFS(TbRegistroEntradas[VALOR],TbRegistroEntradas[MÊS PREVISTO],F5,TbRegistroEntradas[ANO PREVISTO],$C$4,TbRegistroEntradas[DATA DO CAIXA REALIZADO],"")</f>
        <v>483</v>
      </c>
      <c r="I5" s="97"/>
      <c r="J5" s="106">
        <f>SUMIFS(TbRegistroEntradas[VALOR],TbRegistroEntradas[CONTA NÍVEL 2],$J$4,TbRegistroEntradas[ANO COMPETENCIA],$L$3,TbRegistroEntradas[MÊS COMPETENCIA],F5)</f>
        <v>6759</v>
      </c>
      <c r="K5" s="106">
        <f>IF(J5=0,NA(),J5)</f>
        <v>6759</v>
      </c>
      <c r="L5" s="107" t="s">
        <v>576</v>
      </c>
      <c r="M5" s="98"/>
      <c r="N5" s="98"/>
      <c r="O5" s="98"/>
      <c r="P5" s="98"/>
    </row>
    <row r="6" spans="1:16" x14ac:dyDescent="0.25">
      <c r="A6" s="97"/>
      <c r="B6" s="97"/>
      <c r="C6" s="97"/>
      <c r="D6" s="97"/>
      <c r="E6" s="97"/>
      <c r="F6" s="97">
        <v>2</v>
      </c>
      <c r="G6" s="131">
        <f>SUMIFS(TbRegistroSaídas[VALOR],TbRegistroSaídas[MÊS PREVISTO],F6,TbRegistroSaídas[ANO PREVISTO],$C$4,TbRegistroSaídas[DATA DO CAIXA REALIZADO],"")</f>
        <v>0</v>
      </c>
      <c r="H6" s="132">
        <f>SUMIFS(TbRegistroEntradas[VALOR],TbRegistroEntradas[MÊS PREVISTO],F6,TbRegistroEntradas[ANO PREVISTO],$C$4,TbRegistroEntradas[DATA DO CAIXA REALIZADO],"")</f>
        <v>0</v>
      </c>
      <c r="I6" s="97"/>
      <c r="J6" s="106">
        <f>SUMIFS(TbRegistroEntradas[VALOR],TbRegistroEntradas[CONTA NÍVEL 2],$J$4,TbRegistroEntradas[ANO COMPETENCIA],$L$3,TbRegistroEntradas[MÊS COMPETENCIA],F6)</f>
        <v>8187</v>
      </c>
      <c r="K6" s="106">
        <f t="shared" ref="K6:K16" si="0">IF(J6=0,NA(),J6)</f>
        <v>8187</v>
      </c>
      <c r="L6" s="99" t="s">
        <v>577</v>
      </c>
      <c r="M6" s="98"/>
      <c r="N6" s="98"/>
      <c r="O6" s="98"/>
      <c r="P6" s="98"/>
    </row>
    <row r="7" spans="1:16" x14ac:dyDescent="0.25">
      <c r="A7" s="97"/>
      <c r="B7" s="94" t="s">
        <v>578</v>
      </c>
      <c r="C7" s="97"/>
      <c r="D7" s="97"/>
      <c r="E7" s="97"/>
      <c r="F7" s="97">
        <v>3</v>
      </c>
      <c r="G7" s="131">
        <f>SUMIFS(TbRegistroSaídas[VALOR],TbRegistroSaídas[MÊS PREVISTO],F7,TbRegistroSaídas[ANO PREVISTO],$C$4,TbRegistroSaídas[DATA DO CAIXA REALIZADO],"")</f>
        <v>0</v>
      </c>
      <c r="H7" s="132">
        <f>SUMIFS(TbRegistroEntradas[VALOR],TbRegistroEntradas[MÊS PREVISTO],F7,TbRegistroEntradas[ANO PREVISTO],$C$4,TbRegistroEntradas[DATA DO CAIXA REALIZADO],"")</f>
        <v>0</v>
      </c>
      <c r="I7" s="97"/>
      <c r="J7" s="106">
        <f>SUMIFS(TbRegistroEntradas[VALOR],TbRegistroEntradas[CONTA NÍVEL 2],$J$4,TbRegistroEntradas[ANO COMPETENCIA],$L$3,TbRegistroEntradas[MÊS COMPETENCIA],F7)</f>
        <v>5918</v>
      </c>
      <c r="K7" s="106">
        <f t="shared" si="0"/>
        <v>5918</v>
      </c>
      <c r="L7" s="99" t="s">
        <v>579</v>
      </c>
      <c r="M7" s="98"/>
      <c r="N7" s="98"/>
      <c r="O7" s="98"/>
      <c r="P7" s="98"/>
    </row>
    <row r="8" spans="1:16" x14ac:dyDescent="0.25">
      <c r="A8" s="97"/>
      <c r="B8" s="105" t="s">
        <v>605</v>
      </c>
      <c r="C8" s="109">
        <f>SUMIFS(TbRegistroEntradas[VALOR],TbRegistroEntradas[ANO CAIXA],"&lt;"&amp;C4,TbRegistroEntradas[ANO CAIXA],"&lt;&gt;0")-SUMIFS(TbRegistroSaídas[VALOR],TbRegistroSaídas[ANO CAIXA],"&lt;"&amp;C4,TbRegistroSaídas[ANO CAIXA],"&lt;&gt;0")</f>
        <v>14746</v>
      </c>
      <c r="D8" s="97"/>
      <c r="E8" s="97"/>
      <c r="F8" s="97">
        <v>4</v>
      </c>
      <c r="G8" s="131">
        <f>SUMIFS(TbRegistroSaídas[VALOR],TbRegistroSaídas[MÊS PREVISTO],F8,TbRegistroSaídas[ANO PREVISTO],$C$4,TbRegistroSaídas[DATA DO CAIXA REALIZADO],"")</f>
        <v>1753</v>
      </c>
      <c r="H8" s="132">
        <f>SUMIFS(TbRegistroEntradas[VALOR],TbRegistroEntradas[MÊS PREVISTO],F8,TbRegistroEntradas[ANO PREVISTO],$C$4,TbRegistroEntradas[DATA DO CAIXA REALIZADO],"")</f>
        <v>928</v>
      </c>
      <c r="I8" s="97"/>
      <c r="J8" s="106">
        <f>SUMIFS(TbRegistroEntradas[VALOR],TbRegistroEntradas[CONTA NÍVEL 2],$J$4,TbRegistroEntradas[ANO COMPETENCIA],$L$3,TbRegistroEntradas[MÊS COMPETENCIA],F8)</f>
        <v>1620</v>
      </c>
      <c r="K8" s="106">
        <f t="shared" si="0"/>
        <v>1620</v>
      </c>
      <c r="L8" s="99" t="s">
        <v>581</v>
      </c>
      <c r="M8" s="98"/>
      <c r="N8" s="98"/>
      <c r="O8" s="98"/>
      <c r="P8" s="98"/>
    </row>
    <row r="9" spans="1:16" x14ac:dyDescent="0.25">
      <c r="A9" s="97"/>
      <c r="B9" s="97" t="s">
        <v>580</v>
      </c>
      <c r="C9" s="110">
        <f>SUMIFS(TbRegistroEntradas[VALOR],TbRegistroEntradas[ANO CAIXA],"="&amp;C4)</f>
        <v>161998</v>
      </c>
      <c r="D9" s="97"/>
      <c r="E9" s="97"/>
      <c r="F9" s="97">
        <v>5</v>
      </c>
      <c r="G9" s="131">
        <f>SUMIFS(TbRegistroSaídas[VALOR],TbRegistroSaídas[MÊS PREVISTO],F9,TbRegistroSaídas[ANO PREVISTO],$C$4,TbRegistroSaídas[DATA DO CAIXA REALIZADO],"")</f>
        <v>0</v>
      </c>
      <c r="H9" s="132">
        <f>SUMIFS(TbRegistroEntradas[VALOR],TbRegistroEntradas[MÊS PREVISTO],F9,TbRegistroEntradas[ANO PREVISTO],$C$4,TbRegistroEntradas[DATA DO CAIXA REALIZADO],"")</f>
        <v>2015</v>
      </c>
      <c r="I9" s="97"/>
      <c r="J9" s="106">
        <f>SUMIFS(TbRegistroEntradas[VALOR],TbRegistroEntradas[CONTA NÍVEL 2],$J$4,TbRegistroEntradas[ANO COMPETENCIA],$L$3,TbRegistroEntradas[MÊS COMPETENCIA],F9)</f>
        <v>2194</v>
      </c>
      <c r="K9" s="106">
        <f t="shared" si="0"/>
        <v>2194</v>
      </c>
      <c r="L9" s="99" t="s">
        <v>583</v>
      </c>
      <c r="M9" s="98"/>
      <c r="N9" s="98"/>
      <c r="O9" s="98"/>
      <c r="P9" s="98"/>
    </row>
    <row r="10" spans="1:16" x14ac:dyDescent="0.25">
      <c r="A10" s="97"/>
      <c r="B10" s="97" t="s">
        <v>582</v>
      </c>
      <c r="C10" s="110">
        <f>SUMIFS(TbRegistroSaídas[VALOR],TbRegistroSaídas[ANO CAIXA],"="&amp;C4)</f>
        <v>179841</v>
      </c>
      <c r="D10" s="97"/>
      <c r="E10" s="97"/>
      <c r="F10" s="97">
        <v>6</v>
      </c>
      <c r="G10" s="131">
        <f>SUMIFS(TbRegistroSaídas[VALOR],TbRegistroSaídas[MÊS PREVISTO],F10,TbRegistroSaídas[ANO PREVISTO],$C$4,TbRegistroSaídas[DATA DO CAIXA REALIZADO],"")</f>
        <v>0</v>
      </c>
      <c r="H10" s="132">
        <f>SUMIFS(TbRegistroEntradas[VALOR],TbRegistroEntradas[MÊS PREVISTO],F10,TbRegistroEntradas[ANO PREVISTO],$C$4,TbRegistroEntradas[DATA DO CAIXA REALIZADO],"")</f>
        <v>0</v>
      </c>
      <c r="I10" s="97"/>
      <c r="J10" s="106">
        <f>SUMIFS(TbRegistroEntradas[VALOR],TbRegistroEntradas[CONTA NÍVEL 2],$J$4,TbRegistroEntradas[ANO COMPETENCIA],$L$3,TbRegistroEntradas[MÊS COMPETENCIA],F10)</f>
        <v>1482</v>
      </c>
      <c r="K10" s="106">
        <f t="shared" si="0"/>
        <v>1482</v>
      </c>
      <c r="L10" s="99" t="s">
        <v>585</v>
      </c>
      <c r="M10" s="98"/>
      <c r="N10" s="98"/>
      <c r="O10" s="98"/>
      <c r="P10" s="98"/>
    </row>
    <row r="11" spans="1:16" x14ac:dyDescent="0.25">
      <c r="A11" s="97"/>
      <c r="B11" s="111" t="s">
        <v>584</v>
      </c>
      <c r="C11" s="112">
        <f>C8+C9-C10</f>
        <v>-3097</v>
      </c>
      <c r="D11" s="97"/>
      <c r="E11" s="97"/>
      <c r="F11" s="97">
        <v>7</v>
      </c>
      <c r="G11" s="131">
        <f>SUMIFS(TbRegistroSaídas[VALOR],TbRegistroSaídas[MÊS PREVISTO],F11,TbRegistroSaídas[ANO PREVISTO],$C$4,TbRegistroSaídas[DATA DO CAIXA REALIZADO],"")</f>
        <v>2338</v>
      </c>
      <c r="H11" s="132">
        <f>SUMIFS(TbRegistroEntradas[VALOR],TbRegistroEntradas[MÊS PREVISTO],F11,TbRegistroEntradas[ANO PREVISTO],$C$4,TbRegistroEntradas[DATA DO CAIXA REALIZADO],"")</f>
        <v>1987</v>
      </c>
      <c r="I11" s="97"/>
      <c r="J11" s="106">
        <f>SUMIFS(TbRegistroEntradas[VALOR],TbRegistroEntradas[CONTA NÍVEL 2],$J$4,TbRegistroEntradas[ANO COMPETENCIA],$L$3,TbRegistroEntradas[MÊS COMPETENCIA],F11)</f>
        <v>0</v>
      </c>
      <c r="K11" s="106" t="e">
        <f t="shared" si="0"/>
        <v>#N/A</v>
      </c>
      <c r="L11" s="99" t="s">
        <v>586</v>
      </c>
      <c r="M11" s="98"/>
      <c r="N11" s="98"/>
      <c r="O11" s="98"/>
      <c r="P11" s="98"/>
    </row>
    <row r="12" spans="1:16" x14ac:dyDescent="0.25">
      <c r="A12" s="97"/>
      <c r="B12" s="97"/>
      <c r="C12" s="97"/>
      <c r="D12" s="97"/>
      <c r="E12" s="97"/>
      <c r="F12" s="97">
        <v>8</v>
      </c>
      <c r="G12" s="131">
        <f>SUMIFS(TbRegistroSaídas[VALOR],TbRegistroSaídas[MÊS PREVISTO],F12,TbRegistroSaídas[ANO PREVISTO],$C$4,TbRegistroSaídas[DATA DO CAIXA REALIZADO],"")</f>
        <v>2759</v>
      </c>
      <c r="H12" s="132">
        <f>SUMIFS(TbRegistroEntradas[VALOR],TbRegistroEntradas[MÊS PREVISTO],F12,TbRegistroEntradas[ANO PREVISTO],$C$4,TbRegistroEntradas[DATA DO CAIXA REALIZADO],"")</f>
        <v>0</v>
      </c>
      <c r="I12" s="97"/>
      <c r="J12" s="106">
        <f>SUMIFS(TbRegistroEntradas[VALOR],TbRegistroEntradas[CONTA NÍVEL 2],$J$4,TbRegistroEntradas[ANO COMPETENCIA],$L$3,TbRegistroEntradas[MÊS COMPETENCIA],F12)</f>
        <v>0</v>
      </c>
      <c r="K12" s="106" t="e">
        <f t="shared" si="0"/>
        <v>#N/A</v>
      </c>
      <c r="L12" s="99" t="s">
        <v>588</v>
      </c>
      <c r="M12" s="98"/>
      <c r="N12" s="98"/>
      <c r="O12" s="98"/>
      <c r="P12" s="98"/>
    </row>
    <row r="13" spans="1:16" x14ac:dyDescent="0.25">
      <c r="A13" s="97"/>
      <c r="B13" s="95" t="s">
        <v>587</v>
      </c>
      <c r="C13" s="95"/>
      <c r="D13" s="109">
        <f>SUMIFS(TbRegistroSaídas[VALOR],TbRegistroSaídas[DATA DO CAIXA REALIZADO],"",TbRegistroSaídas[ANO PREVISTO],C4)</f>
        <v>12009</v>
      </c>
      <c r="E13" s="97"/>
      <c r="F13" s="97">
        <v>9</v>
      </c>
      <c r="G13" s="131">
        <f>SUMIFS(TbRegistroSaídas[VALOR],TbRegistroSaídas[MÊS PREVISTO],F13,TbRegistroSaídas[ANO PREVISTO],$C$4,TbRegistroSaídas[DATA DO CAIXA REALIZADO],"")</f>
        <v>0</v>
      </c>
      <c r="H13" s="132">
        <f>SUMIFS(TbRegistroEntradas[VALOR],TbRegistroEntradas[MÊS PREVISTO],F13,TbRegistroEntradas[ANO PREVISTO],$C$4,TbRegistroEntradas[DATA DO CAIXA REALIZADO],"")</f>
        <v>0</v>
      </c>
      <c r="I13" s="97"/>
      <c r="J13" s="106">
        <f>SUMIFS(TbRegistroEntradas[VALOR],TbRegistroEntradas[CONTA NÍVEL 2],$J$4,TbRegistroEntradas[ANO COMPETENCIA],$L$3,TbRegistroEntradas[MÊS COMPETENCIA],F13)</f>
        <v>0</v>
      </c>
      <c r="K13" s="106" t="e">
        <f t="shared" si="0"/>
        <v>#N/A</v>
      </c>
      <c r="L13" s="99" t="s">
        <v>590</v>
      </c>
      <c r="M13" s="98"/>
      <c r="N13" s="98"/>
      <c r="O13" s="98"/>
      <c r="P13" s="98"/>
    </row>
    <row r="14" spans="1:16" x14ac:dyDescent="0.25">
      <c r="A14" s="97"/>
      <c r="B14" s="96" t="s">
        <v>589</v>
      </c>
      <c r="C14" s="96"/>
      <c r="D14" s="113">
        <f>SUMIFS(TbRegistroEntradas[VALOR],TbRegistroEntradas[DATA DO CAIXA REALIZADO],"",TbRegistroEntradas[ANO PREVISTO],C4)</f>
        <v>5413</v>
      </c>
      <c r="E14" s="97"/>
      <c r="F14" s="97">
        <v>10</v>
      </c>
      <c r="G14" s="131">
        <f>SUMIFS(TbRegistroSaídas[VALOR],TbRegistroSaídas[MÊS PREVISTO],F14,TbRegistroSaídas[ANO PREVISTO],$C$4,TbRegistroSaídas[DATA DO CAIXA REALIZADO],"")</f>
        <v>0</v>
      </c>
      <c r="H14" s="132">
        <f>SUMIFS(TbRegistroEntradas[VALOR],TbRegistroEntradas[MÊS PREVISTO],F14,TbRegistroEntradas[ANO PREVISTO],$C$4,TbRegistroEntradas[DATA DO CAIXA REALIZADO],"")</f>
        <v>0</v>
      </c>
      <c r="I14" s="97"/>
      <c r="J14" s="106">
        <f>SUMIFS(TbRegistroEntradas[VALOR],TbRegistroEntradas[CONTA NÍVEL 2],$J$4,TbRegistroEntradas[ANO COMPETENCIA],$L$3,TbRegistroEntradas[MÊS COMPETENCIA],F14)</f>
        <v>0</v>
      </c>
      <c r="K14" s="106" t="e">
        <f t="shared" si="0"/>
        <v>#N/A</v>
      </c>
      <c r="L14" s="99" t="s">
        <v>591</v>
      </c>
      <c r="M14" s="98"/>
      <c r="N14" s="98"/>
      <c r="O14" s="98"/>
      <c r="P14" s="98"/>
    </row>
    <row r="15" spans="1:16" x14ac:dyDescent="0.25">
      <c r="A15" s="97"/>
      <c r="B15" s="97"/>
      <c r="C15" s="97"/>
      <c r="D15" s="97"/>
      <c r="E15" s="97"/>
      <c r="F15" s="97">
        <v>11</v>
      </c>
      <c r="G15" s="131">
        <f>SUMIFS(TbRegistroSaídas[VALOR],TbRegistroSaídas[MÊS PREVISTO],F15,TbRegistroSaídas[ANO PREVISTO],$C$4,TbRegistroSaídas[DATA DO CAIXA REALIZADO],"")</f>
        <v>0</v>
      </c>
      <c r="H15" s="132">
        <f>SUMIFS(TbRegistroEntradas[VALOR],TbRegistroEntradas[MÊS PREVISTO],F15,TbRegistroEntradas[ANO PREVISTO],$C$4,TbRegistroEntradas[DATA DO CAIXA REALIZADO],"")</f>
        <v>0</v>
      </c>
      <c r="I15" s="97"/>
      <c r="J15" s="106">
        <f>SUMIFS(TbRegistroEntradas[VALOR],TbRegistroEntradas[CONTA NÍVEL 2],$J$4,TbRegistroEntradas[ANO COMPETENCIA],$L$3,TbRegistroEntradas[MÊS COMPETENCIA],F15)</f>
        <v>0</v>
      </c>
      <c r="K15" s="106" t="e">
        <f t="shared" si="0"/>
        <v>#N/A</v>
      </c>
      <c r="L15" s="99" t="s">
        <v>592</v>
      </c>
      <c r="M15" s="98"/>
      <c r="N15" s="98"/>
      <c r="O15" s="98"/>
      <c r="P15" s="98"/>
    </row>
    <row r="16" spans="1:16" x14ac:dyDescent="0.25">
      <c r="A16" s="97"/>
      <c r="B16" s="97"/>
      <c r="C16" s="97"/>
      <c r="D16" s="97"/>
      <c r="E16" s="97"/>
      <c r="F16" s="111">
        <v>12</v>
      </c>
      <c r="G16" s="133">
        <f>SUMIFS(TbRegistroSaídas[VALOR],TbRegistroSaídas[MÊS PREVISTO],F16,TbRegistroSaídas[ANO PREVISTO],$C$4,TbRegistroSaídas[DATA DO CAIXA REALIZADO],"")</f>
        <v>0</v>
      </c>
      <c r="H16" s="134">
        <f>SUMIFS(TbRegistroEntradas[VALOR],TbRegistroEntradas[MÊS PREVISTO],F16,TbRegistroEntradas[ANO PREVISTO],$C$4,TbRegistroEntradas[DATA DO CAIXA REALIZADO],"")</f>
        <v>0</v>
      </c>
      <c r="I16" s="97"/>
      <c r="J16" s="106">
        <f>SUMIFS(TbRegistroEntradas[VALOR],TbRegistroEntradas[CONTA NÍVEL 2],$J$4,TbRegistroEntradas[ANO COMPETENCIA],$L$3,TbRegistroEntradas[MÊS COMPETENCIA],F16)</f>
        <v>0</v>
      </c>
      <c r="K16" s="106" t="e">
        <f t="shared" si="0"/>
        <v>#N/A</v>
      </c>
      <c r="L16" s="115" t="s">
        <v>593</v>
      </c>
      <c r="M16" s="98"/>
      <c r="N16" s="98"/>
      <c r="O16" s="98"/>
      <c r="P16" s="98"/>
    </row>
    <row r="17" spans="1:16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8"/>
      <c r="N17" s="98"/>
      <c r="O17" s="98"/>
      <c r="P17" s="98"/>
    </row>
    <row r="18" spans="1:16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8"/>
      <c r="N18" s="98"/>
      <c r="O18" s="98"/>
      <c r="P18" s="98"/>
    </row>
    <row r="19" spans="1:16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8"/>
      <c r="N19" s="98"/>
      <c r="O19" s="98"/>
      <c r="P19" s="98"/>
    </row>
    <row r="20" spans="1:16" x14ac:dyDescent="0.25">
      <c r="A20" s="97"/>
      <c r="B20" s="94" t="s">
        <v>594</v>
      </c>
      <c r="C20" s="97"/>
      <c r="D20" s="97"/>
      <c r="E20" s="116"/>
      <c r="F20" s="97"/>
      <c r="G20" s="97"/>
      <c r="H20" s="97"/>
      <c r="I20" s="97"/>
      <c r="J20" s="97"/>
      <c r="K20" s="97"/>
      <c r="L20" s="97"/>
      <c r="M20" s="98"/>
      <c r="N20" s="98"/>
      <c r="O20" s="98"/>
      <c r="P20" s="98"/>
    </row>
    <row r="21" spans="1:16" x14ac:dyDescent="0.25">
      <c r="A21" s="97"/>
      <c r="B21" s="102" t="s">
        <v>595</v>
      </c>
      <c r="C21" s="103" t="s">
        <v>596</v>
      </c>
      <c r="D21" s="103" t="s">
        <v>597</v>
      </c>
      <c r="E21" s="103" t="s">
        <v>558</v>
      </c>
      <c r="F21" s="97"/>
      <c r="G21" s="97"/>
      <c r="H21" s="97"/>
      <c r="I21" s="97"/>
      <c r="J21" s="97"/>
      <c r="K21" s="97"/>
      <c r="L21" s="97"/>
      <c r="M21" s="98"/>
      <c r="N21" s="98"/>
      <c r="O21" s="98"/>
      <c r="P21" s="98"/>
    </row>
    <row r="22" spans="1:16" x14ac:dyDescent="0.25">
      <c r="A22" s="97"/>
      <c r="B22" s="117">
        <f>C4</f>
        <v>2019</v>
      </c>
      <c r="C22" s="118">
        <f>SUMIFS(TbRegistroEntradas[VALOR],TbRegistroEntradas[VENDA A VISTA],"VISTA",TbRegistroEntradas[ANO COMPETENCIA],$B$22)</f>
        <v>4195</v>
      </c>
      <c r="D22" s="118">
        <f>SUMIFS(TbRegistroEntradas[VALOR],TbRegistroEntradas[VENDA A VISTA],"PRAZO",TbRegistroEntradas[ANO COMPETENCIA],$B$22)</f>
        <v>126464</v>
      </c>
      <c r="E22" s="118">
        <f>C22+D22</f>
        <v>130659</v>
      </c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</row>
    <row r="23" spans="1:16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8"/>
      <c r="N23" s="98"/>
      <c r="O23" s="98"/>
      <c r="P23" s="98"/>
    </row>
    <row r="24" spans="1:16" x14ac:dyDescent="0.25">
      <c r="A24" s="97"/>
      <c r="B24" s="97"/>
      <c r="C24" s="97"/>
      <c r="D24" s="97"/>
      <c r="E24" s="97"/>
      <c r="F24" s="97"/>
      <c r="G24" s="94" t="s">
        <v>599</v>
      </c>
      <c r="H24" s="97"/>
      <c r="I24" s="97"/>
      <c r="J24" s="97"/>
      <c r="K24" s="97"/>
      <c r="L24" s="97"/>
      <c r="M24" s="98"/>
      <c r="N24" s="98"/>
      <c r="O24" s="98"/>
      <c r="P24" s="98"/>
    </row>
    <row r="25" spans="1:16" x14ac:dyDescent="0.25">
      <c r="A25" s="97"/>
      <c r="B25" s="94" t="s">
        <v>598</v>
      </c>
      <c r="C25" s="97"/>
      <c r="D25" s="97"/>
      <c r="E25" s="97"/>
      <c r="F25" s="97"/>
      <c r="G25" s="102" t="s">
        <v>595</v>
      </c>
      <c r="H25" s="103" t="s">
        <v>600</v>
      </c>
      <c r="I25" s="103" t="s">
        <v>566</v>
      </c>
      <c r="J25" s="103" t="s">
        <v>601</v>
      </c>
      <c r="K25" s="97"/>
      <c r="L25" s="97"/>
      <c r="M25" s="98"/>
      <c r="N25" s="98"/>
      <c r="O25" s="98"/>
      <c r="P25" s="98"/>
    </row>
    <row r="26" spans="1:16" x14ac:dyDescent="0.25">
      <c r="A26" s="97"/>
      <c r="B26" s="102" t="s">
        <v>595</v>
      </c>
      <c r="C26" s="103" t="s">
        <v>600</v>
      </c>
      <c r="D26" s="103" t="s">
        <v>566</v>
      </c>
      <c r="E26" s="103" t="s">
        <v>601</v>
      </c>
      <c r="F26" s="97"/>
      <c r="G26" s="117">
        <f>C4</f>
        <v>2019</v>
      </c>
      <c r="H26" s="119">
        <f ca="1">COUNTIFS(TbRegistroSaídas[ANO COMPETÊNCIA],G26,TbRegistroSaídas[DIAS DE ATRASO],"&gt;0")</f>
        <v>13</v>
      </c>
      <c r="I26" s="119">
        <f ca="1">SUMIFS(TbRegistroSaídas[DIAS DE ATRASO],TbRegistroSaídas[ANO COMPETÊNCIA],G26,TbRegistroSaídas[DIAS DE ATRASO],"&gt;0")</f>
        <v>618.50355490406946</v>
      </c>
      <c r="J26" s="119">
        <f ca="1">I26/H26</f>
        <v>47.577196531082265</v>
      </c>
      <c r="K26" s="97"/>
      <c r="L26" s="97"/>
      <c r="M26" s="98"/>
      <c r="N26" s="98"/>
      <c r="O26" s="98"/>
      <c r="P26" s="98"/>
    </row>
    <row r="27" spans="1:16" x14ac:dyDescent="0.25">
      <c r="A27" s="97"/>
      <c r="B27" s="117">
        <f>C4</f>
        <v>2019</v>
      </c>
      <c r="C27" s="119">
        <f ca="1">COUNTIFS(TbRegistroEntradas[ANO COMPETENCIA],B27,TbRegistroEntradas[DIAS DE ATRASO],"&gt;0")</f>
        <v>16</v>
      </c>
      <c r="D27" s="119">
        <f ca="1">SUMIFS(TbRegistroEntradas[DIAS DE ATRASO],TbRegistroEntradas[ANO COMPETENCIA],B27,TbRegistroEntradas[DIAS DE ATRASO],"&gt;0")</f>
        <v>633.23137557326845</v>
      </c>
      <c r="E27" s="119">
        <f ca="1">D27/C27</f>
        <v>39.576960973329278</v>
      </c>
      <c r="F27" s="97"/>
      <c r="G27" s="97"/>
      <c r="H27" s="97"/>
      <c r="I27" s="97"/>
      <c r="J27" s="97"/>
      <c r="K27" s="97"/>
      <c r="L27" s="97"/>
      <c r="M27" s="98"/>
      <c r="N27" s="98"/>
      <c r="O27" s="98"/>
      <c r="P27" s="98"/>
    </row>
    <row r="28" spans="1:16" x14ac:dyDescent="0.2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8"/>
      <c r="N28" s="98"/>
      <c r="O28" s="98"/>
      <c r="P28" s="98"/>
    </row>
    <row r="29" spans="1:16" x14ac:dyDescent="0.25">
      <c r="A29" s="97"/>
      <c r="B29" s="97"/>
      <c r="C29" s="97"/>
      <c r="D29" s="97"/>
      <c r="E29" s="97"/>
      <c r="F29" s="97"/>
      <c r="G29" s="94" t="s">
        <v>603</v>
      </c>
      <c r="H29" s="120">
        <f>C4</f>
        <v>2019</v>
      </c>
      <c r="I29" s="97"/>
      <c r="J29" s="97"/>
      <c r="K29" s="97"/>
      <c r="L29" s="97"/>
      <c r="M29" s="98"/>
      <c r="N29" s="98"/>
      <c r="O29" s="98"/>
      <c r="P29" s="98"/>
    </row>
    <row r="30" spans="1:16" x14ac:dyDescent="0.25">
      <c r="A30" s="97"/>
      <c r="B30" s="94" t="s">
        <v>602</v>
      </c>
      <c r="C30" s="97"/>
      <c r="D30" s="97"/>
      <c r="E30" s="97"/>
      <c r="F30" s="97"/>
      <c r="G30" s="102" t="s">
        <v>572</v>
      </c>
      <c r="H30" s="122" t="str">
        <f>DashboardFinanceiroAnual!K14</f>
        <v>Som e imagem</v>
      </c>
      <c r="I30" s="97"/>
      <c r="J30" s="97"/>
      <c r="K30" s="97"/>
      <c r="L30" s="97"/>
      <c r="M30" s="98"/>
      <c r="N30" s="98"/>
      <c r="O30" s="98"/>
      <c r="P30" s="98"/>
    </row>
    <row r="31" spans="1:16" x14ac:dyDescent="0.25">
      <c r="A31" s="97"/>
      <c r="B31" s="121" t="s">
        <v>610</v>
      </c>
      <c r="C31" s="107" t="s">
        <v>580</v>
      </c>
      <c r="D31" s="107" t="s">
        <v>582</v>
      </c>
      <c r="E31" s="107" t="s">
        <v>604</v>
      </c>
      <c r="F31" s="97"/>
      <c r="G31" s="97">
        <v>1</v>
      </c>
      <c r="H31" s="108">
        <f>SUMIFS(TbRegistroSaídas[VALOR],TbRegistroSaídas[CONTA NÍVEL 2],$H$30,TbRegistroSaídas[ANO COMPETÊNCIA],$H$29,TbRegistroSaídas[MÊS COMPETÊNCIA],G31)</f>
        <v>10994</v>
      </c>
      <c r="I31" s="97"/>
      <c r="J31" s="97"/>
      <c r="K31" s="97"/>
      <c r="L31" s="97"/>
      <c r="M31" s="98"/>
      <c r="N31" s="98"/>
      <c r="O31" s="98"/>
      <c r="P31" s="98"/>
    </row>
    <row r="32" spans="1:16" x14ac:dyDescent="0.25">
      <c r="A32" s="97"/>
      <c r="B32" s="139">
        <f>C4</f>
        <v>2019</v>
      </c>
      <c r="C32" s="123">
        <f>SUMIFS(TbRegistroEntradas[VALOR],TbRegistroEntradas[ANO COMPETENCIA],B32)</f>
        <v>130659</v>
      </c>
      <c r="D32" s="123">
        <f>SUMIFS(TbRegistroSaídas[VALOR],TbRegistroSaídas[ANO COMPETÊNCIA],B32)</f>
        <v>169790</v>
      </c>
      <c r="E32" s="124">
        <f>C32-D32</f>
        <v>-39131</v>
      </c>
      <c r="F32" s="97"/>
      <c r="G32" s="97">
        <v>2</v>
      </c>
      <c r="H32" s="108">
        <f>SUMIFS(TbRegistroSaídas[VALOR],TbRegistroSaídas[CONTA NÍVEL 2],$H$30,TbRegistroSaídas[ANO COMPETÊNCIA],$H$29,TbRegistroSaídas[MÊS COMPETÊNCIA],G32)</f>
        <v>4148</v>
      </c>
      <c r="I32" s="97"/>
      <c r="J32" s="97"/>
      <c r="K32" s="97"/>
      <c r="L32" s="97"/>
      <c r="M32" s="98"/>
      <c r="N32" s="98"/>
      <c r="O32" s="98"/>
      <c r="P32" s="98"/>
    </row>
    <row r="33" spans="1:16" x14ac:dyDescent="0.25">
      <c r="A33" s="97"/>
      <c r="B33" s="97"/>
      <c r="C33" s="97"/>
      <c r="D33" s="97"/>
      <c r="E33" s="97"/>
      <c r="F33" s="97"/>
      <c r="G33" s="97">
        <v>3</v>
      </c>
      <c r="H33" s="108">
        <f>SUMIFS(TbRegistroSaídas[VALOR],TbRegistroSaídas[CONTA NÍVEL 2],$H$30,TbRegistroSaídas[ANO COMPETÊNCIA],$H$29,TbRegistroSaídas[MÊS COMPETÊNCIA],G33)</f>
        <v>9064</v>
      </c>
      <c r="I33" s="97"/>
      <c r="J33" s="97"/>
      <c r="K33" s="97"/>
      <c r="L33" s="97"/>
      <c r="M33" s="98"/>
      <c r="N33" s="98"/>
      <c r="O33" s="98"/>
      <c r="P33" s="98"/>
    </row>
    <row r="34" spans="1:16" x14ac:dyDescent="0.25">
      <c r="A34" s="97"/>
      <c r="B34" s="97"/>
      <c r="C34" s="97"/>
      <c r="D34" s="97"/>
      <c r="E34" s="97"/>
      <c r="F34" s="97"/>
      <c r="G34" s="97">
        <v>4</v>
      </c>
      <c r="H34" s="108">
        <f>SUMIFS(TbRegistroSaídas[VALOR],TbRegistroSaídas[CONTA NÍVEL 2],$H$30,TbRegistroSaídas[ANO COMPETÊNCIA],$H$29,TbRegistroSaídas[MÊS COMPETÊNCIA],G34)</f>
        <v>0</v>
      </c>
      <c r="I34" s="97"/>
      <c r="J34" s="97"/>
      <c r="K34" s="97"/>
      <c r="L34" s="97"/>
      <c r="M34" s="98"/>
      <c r="N34" s="98"/>
      <c r="O34" s="98"/>
      <c r="P34" s="98"/>
    </row>
    <row r="35" spans="1:16" x14ac:dyDescent="0.25">
      <c r="A35" s="97"/>
      <c r="B35" s="97"/>
      <c r="C35" s="97"/>
      <c r="D35" s="97"/>
      <c r="E35" s="97"/>
      <c r="F35" s="97"/>
      <c r="G35" s="97">
        <v>5</v>
      </c>
      <c r="H35" s="108">
        <f>SUMIFS(TbRegistroSaídas[VALOR],TbRegistroSaídas[CONTA NÍVEL 2],$H$30,TbRegistroSaídas[ANO COMPETÊNCIA],$H$29,TbRegistroSaídas[MÊS COMPETÊNCIA],G35)</f>
        <v>4597</v>
      </c>
      <c r="I35" s="97"/>
      <c r="J35" s="97"/>
      <c r="K35" s="97"/>
      <c r="L35" s="97"/>
      <c r="M35" s="98"/>
      <c r="N35" s="98"/>
      <c r="O35" s="98"/>
      <c r="P35" s="98"/>
    </row>
    <row r="36" spans="1:16" x14ac:dyDescent="0.25">
      <c r="A36" s="97"/>
      <c r="B36" s="97"/>
      <c r="C36" s="97"/>
      <c r="D36" s="97"/>
      <c r="E36" s="97"/>
      <c r="F36" s="97"/>
      <c r="G36" s="97">
        <v>6</v>
      </c>
      <c r="H36" s="108">
        <f>SUMIFS(TbRegistroSaídas[VALOR],TbRegistroSaídas[CONTA NÍVEL 2],$H$30,TbRegistroSaídas[ANO COMPETÊNCIA],$H$29,TbRegistroSaídas[MÊS COMPETÊNCIA],G36)</f>
        <v>11515</v>
      </c>
      <c r="I36" s="97"/>
      <c r="J36" s="97"/>
      <c r="K36" s="97"/>
      <c r="L36" s="97"/>
      <c r="M36" s="98"/>
      <c r="N36" s="98"/>
      <c r="O36" s="98"/>
      <c r="P36" s="98"/>
    </row>
    <row r="37" spans="1:16" x14ac:dyDescent="0.25">
      <c r="A37" s="97"/>
      <c r="B37" s="97"/>
      <c r="C37" s="97"/>
      <c r="D37" s="97"/>
      <c r="E37" s="97"/>
      <c r="F37" s="97"/>
      <c r="G37" s="97">
        <v>7</v>
      </c>
      <c r="H37" s="108">
        <f>SUMIFS(TbRegistroSaídas[VALOR],TbRegistroSaídas[CONTA NÍVEL 2],$H$30,TbRegistroSaídas[ANO COMPETÊNCIA],$H$29,TbRegistroSaídas[MÊS COMPETÊNCIA],G37)</f>
        <v>0</v>
      </c>
      <c r="I37" s="97"/>
      <c r="J37" s="97"/>
      <c r="K37" s="97"/>
      <c r="L37" s="97"/>
      <c r="M37" s="98"/>
      <c r="N37" s="98"/>
      <c r="O37" s="98"/>
      <c r="P37" s="98"/>
    </row>
    <row r="38" spans="1:16" x14ac:dyDescent="0.25">
      <c r="A38" s="97"/>
      <c r="B38" s="97"/>
      <c r="C38" s="97"/>
      <c r="D38" s="97"/>
      <c r="E38" s="97"/>
      <c r="F38" s="97"/>
      <c r="G38" s="97">
        <v>8</v>
      </c>
      <c r="H38" s="108">
        <f>SUMIFS(TbRegistroSaídas[VALOR],TbRegistroSaídas[CONTA NÍVEL 2],$H$30,TbRegistroSaídas[ANO COMPETÊNCIA],$H$29,TbRegistroSaídas[MÊS COMPETÊNCIA],G38)</f>
        <v>0</v>
      </c>
      <c r="I38" s="97"/>
      <c r="J38" s="97"/>
      <c r="K38" s="97"/>
      <c r="L38" s="97"/>
      <c r="M38" s="98"/>
      <c r="N38" s="98"/>
      <c r="O38" s="98"/>
      <c r="P38" s="98"/>
    </row>
    <row r="39" spans="1:16" x14ac:dyDescent="0.25">
      <c r="A39" s="97"/>
      <c r="B39" s="97"/>
      <c r="C39" s="97"/>
      <c r="D39" s="97"/>
      <c r="E39" s="97"/>
      <c r="F39" s="97"/>
      <c r="G39" s="97">
        <v>9</v>
      </c>
      <c r="H39" s="108">
        <f>SUMIFS(TbRegistroSaídas[VALOR],TbRegistroSaídas[CONTA NÍVEL 2],$H$30,TbRegistroSaídas[ANO COMPETÊNCIA],$H$29,TbRegistroSaídas[MÊS COMPETÊNCIA],G39)</f>
        <v>0</v>
      </c>
      <c r="I39" s="97"/>
      <c r="J39" s="97"/>
      <c r="K39" s="97"/>
      <c r="L39" s="97"/>
      <c r="M39" s="98"/>
      <c r="N39" s="98"/>
      <c r="O39" s="98"/>
      <c r="P39" s="98"/>
    </row>
    <row r="40" spans="1:16" x14ac:dyDescent="0.25">
      <c r="A40" s="97"/>
      <c r="B40" s="97"/>
      <c r="C40" s="97"/>
      <c r="D40" s="97"/>
      <c r="E40" s="97"/>
      <c r="F40" s="97"/>
      <c r="G40" s="97">
        <v>10</v>
      </c>
      <c r="H40" s="108">
        <f>SUMIFS(TbRegistroSaídas[VALOR],TbRegistroSaídas[CONTA NÍVEL 2],$H$30,TbRegistroSaídas[ANO COMPETÊNCIA],$H$29,TbRegistroSaídas[MÊS COMPETÊNCIA],G40)</f>
        <v>0</v>
      </c>
      <c r="I40" s="97"/>
      <c r="J40" s="97"/>
      <c r="K40" s="97"/>
      <c r="L40" s="97"/>
      <c r="M40" s="98"/>
      <c r="N40" s="98"/>
      <c r="O40" s="98"/>
      <c r="P40" s="98"/>
    </row>
    <row r="41" spans="1:16" x14ac:dyDescent="0.25">
      <c r="A41" s="97"/>
      <c r="B41" s="97"/>
      <c r="C41" s="97"/>
      <c r="D41" s="97"/>
      <c r="E41" s="97"/>
      <c r="F41" s="97"/>
      <c r="G41" s="97">
        <v>11</v>
      </c>
      <c r="H41" s="108">
        <f>SUMIFS(TbRegistroSaídas[VALOR],TbRegistroSaídas[CONTA NÍVEL 2],$H$30,TbRegistroSaídas[ANO COMPETÊNCIA],$H$29,TbRegistroSaídas[MÊS COMPETÊNCIA],G41)</f>
        <v>0</v>
      </c>
      <c r="I41" s="97"/>
      <c r="J41" s="97"/>
      <c r="K41" s="97"/>
      <c r="L41" s="97"/>
      <c r="M41" s="98"/>
      <c r="N41" s="98"/>
      <c r="O41" s="98"/>
      <c r="P41" s="98"/>
    </row>
    <row r="42" spans="1:16" x14ac:dyDescent="0.25">
      <c r="A42" s="97"/>
      <c r="B42" s="97"/>
      <c r="C42" s="97"/>
      <c r="D42" s="97"/>
      <c r="E42" s="97"/>
      <c r="F42" s="97"/>
      <c r="G42" s="111">
        <v>12</v>
      </c>
      <c r="H42" s="108">
        <f>SUMIFS(TbRegistroSaídas[VALOR],TbRegistroSaídas[CONTA NÍVEL 2],$H$30,TbRegistroSaídas[ANO COMPETÊNCIA],$H$29,TbRegistroSaídas[MÊS COMPETÊNCIA],G42)</f>
        <v>0</v>
      </c>
      <c r="I42" s="97"/>
      <c r="J42" s="97"/>
      <c r="K42" s="97"/>
      <c r="L42" s="97"/>
      <c r="M42" s="98"/>
      <c r="N42" s="98"/>
      <c r="O42" s="98"/>
      <c r="P42" s="98"/>
    </row>
    <row r="43" spans="1:16" x14ac:dyDescent="0.25">
      <c r="A43" s="97"/>
      <c r="B43" s="97"/>
      <c r="C43" s="97"/>
      <c r="D43" s="97"/>
      <c r="E43" s="97"/>
      <c r="F43" s="97"/>
      <c r="G43" s="102" t="s">
        <v>558</v>
      </c>
      <c r="H43" s="125">
        <f>SUM(H31:H42)</f>
        <v>40318</v>
      </c>
      <c r="I43" s="97"/>
      <c r="J43" s="97"/>
      <c r="K43" s="97"/>
      <c r="M43" s="98"/>
      <c r="N43" s="98"/>
      <c r="O43" s="98"/>
      <c r="P43" s="98"/>
    </row>
    <row r="44" spans="1:16" x14ac:dyDescent="0.25">
      <c r="A44" s="97"/>
      <c r="B44" s="97"/>
      <c r="C44" s="97"/>
      <c r="D44" s="97"/>
      <c r="E44" s="97"/>
      <c r="M44" s="98"/>
      <c r="N44" s="98"/>
      <c r="O44" s="98"/>
      <c r="P44" s="98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705E-582E-4D27-86FA-5545CF25A899}">
  <dimension ref="A1:O20"/>
  <sheetViews>
    <sheetView showGridLines="0" workbookViewId="0">
      <selection activeCell="F11" sqref="F11"/>
    </sheetView>
  </sheetViews>
  <sheetFormatPr defaultColWidth="0" defaultRowHeight="15" x14ac:dyDescent="0.25"/>
  <cols>
    <col min="1" max="1" width="3" customWidth="1"/>
    <col min="2" max="2" width="40.7109375" customWidth="1"/>
    <col min="3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5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4429-3820-4F7D-A536-1F47D1DB8D75}">
  <dimension ref="A1:O34"/>
  <sheetViews>
    <sheetView showGridLines="0" showRowColHeader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" customWidth="1"/>
    <col min="2" max="2" width="40.7109375" customWidth="1"/>
    <col min="3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>
      <c r="B3" s="11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20.100000000000001" customHeight="1" x14ac:dyDescent="0.25">
      <c r="B4" s="12" t="s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20.100000000000001" customHeight="1" x14ac:dyDescent="0.25">
      <c r="B5" t="s">
        <v>42</v>
      </c>
    </row>
    <row r="6" spans="2:14" ht="20.100000000000001" customHeight="1" x14ac:dyDescent="0.25">
      <c r="B6" t="s">
        <v>41</v>
      </c>
    </row>
    <row r="7" spans="2:14" ht="20.100000000000001" customHeight="1" x14ac:dyDescent="0.25">
      <c r="B7" t="s">
        <v>40</v>
      </c>
    </row>
    <row r="8" spans="2:14" ht="20.100000000000001" customHeight="1" x14ac:dyDescent="0.25">
      <c r="B8" t="s">
        <v>39</v>
      </c>
    </row>
    <row r="9" spans="2:14" ht="20.100000000000001" customHeight="1" x14ac:dyDescent="0.25">
      <c r="B9" t="s">
        <v>20</v>
      </c>
    </row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506-9DEF-4833-9670-45E3966ACD12}">
  <dimension ref="A1:O34"/>
  <sheetViews>
    <sheetView showGridLines="0" showRowColHeader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" customWidth="1"/>
    <col min="2" max="2" width="40.7109375" customWidth="1"/>
    <col min="3" max="3" width="44.7109375" customWidth="1"/>
    <col min="4" max="14" width="8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>
      <c r="B3" s="186" t="s">
        <v>21</v>
      </c>
      <c r="C3" s="187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20.100000000000001" customHeight="1" x14ac:dyDescent="0.25">
      <c r="B4" s="10" t="s">
        <v>19</v>
      </c>
      <c r="C4" s="10" t="s">
        <v>22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20.100000000000001" customHeight="1" x14ac:dyDescent="0.25">
      <c r="B5" t="s">
        <v>42</v>
      </c>
      <c r="C5" t="s">
        <v>43</v>
      </c>
    </row>
    <row r="6" spans="2:14" ht="20.100000000000001" customHeight="1" x14ac:dyDescent="0.25">
      <c r="B6" t="s">
        <v>40</v>
      </c>
      <c r="C6" t="s">
        <v>44</v>
      </c>
    </row>
    <row r="7" spans="2:14" ht="20.100000000000001" customHeight="1" x14ac:dyDescent="0.25">
      <c r="B7" t="s">
        <v>39</v>
      </c>
      <c r="C7" t="s">
        <v>45</v>
      </c>
    </row>
    <row r="8" spans="2:14" ht="20.100000000000001" customHeight="1" x14ac:dyDescent="0.25">
      <c r="B8" t="s">
        <v>20</v>
      </c>
      <c r="C8" t="s">
        <v>46</v>
      </c>
    </row>
    <row r="9" spans="2:14" ht="20.100000000000001" customHeight="1" x14ac:dyDescent="0.25">
      <c r="B9" t="s">
        <v>20</v>
      </c>
      <c r="C9" t="s">
        <v>37</v>
      </c>
    </row>
    <row r="10" spans="2:14" ht="20.100000000000001" customHeight="1" x14ac:dyDescent="0.25">
      <c r="B10" t="s">
        <v>20</v>
      </c>
      <c r="C10" t="s">
        <v>38</v>
      </c>
    </row>
    <row r="11" spans="2:14" ht="20.100000000000001" customHeight="1" x14ac:dyDescent="0.25">
      <c r="B11" t="s">
        <v>20</v>
      </c>
      <c r="C11" t="s">
        <v>36</v>
      </c>
    </row>
    <row r="12" spans="2:14" ht="20.100000000000001" customHeight="1" x14ac:dyDescent="0.25">
      <c r="B12" t="s">
        <v>20</v>
      </c>
      <c r="C12" t="s">
        <v>23</v>
      </c>
    </row>
    <row r="13" spans="2:14" ht="20.100000000000001" customHeight="1" x14ac:dyDescent="0.25">
      <c r="B13" t="s">
        <v>41</v>
      </c>
      <c r="C13" t="s">
        <v>58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mergeCells count="1">
    <mergeCell ref="B3:C3"/>
  </mergeCells>
  <dataValidations count="1">
    <dataValidation type="list" allowBlank="1" showInputMessage="1" showErrorMessage="1" sqref="B5:B13" xr:uid="{3B6DE573-F8BD-451E-AA76-AC5B565F54CC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9F9-19E8-4E5A-9617-A8754173A2DC}">
  <dimension ref="A1:O34"/>
  <sheetViews>
    <sheetView showGridLines="0" showRowColHeader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" customWidth="1"/>
    <col min="2" max="2" width="40.7109375" customWidth="1"/>
    <col min="3" max="14" width="11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>
      <c r="B3" s="8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20.100000000000001" customHeight="1" x14ac:dyDescent="0.25">
      <c r="B4" s="9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20.100000000000001" customHeight="1" x14ac:dyDescent="0.25">
      <c r="B5" t="s">
        <v>47</v>
      </c>
    </row>
    <row r="6" spans="2:14" ht="20.100000000000001" customHeight="1" x14ac:dyDescent="0.25">
      <c r="B6" t="s">
        <v>48</v>
      </c>
    </row>
    <row r="7" spans="2:14" ht="20.100000000000001" customHeight="1" x14ac:dyDescent="0.25">
      <c r="B7" t="s">
        <v>49</v>
      </c>
    </row>
    <row r="8" spans="2:14" ht="20.100000000000001" customHeight="1" x14ac:dyDescent="0.25">
      <c r="B8" t="s">
        <v>50</v>
      </c>
    </row>
    <row r="9" spans="2:14" ht="20.100000000000001" customHeight="1" x14ac:dyDescent="0.25">
      <c r="B9" t="s">
        <v>51</v>
      </c>
    </row>
    <row r="10" spans="2:14" ht="20.100000000000001" customHeight="1" x14ac:dyDescent="0.25">
      <c r="B10" t="s">
        <v>26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C97E-2D90-45D2-BEA3-805739CA0390}">
  <dimension ref="A1:O34"/>
  <sheetViews>
    <sheetView showGridLines="0" showRowColHeader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" customWidth="1"/>
    <col min="2" max="2" width="40.7109375" customWidth="1"/>
    <col min="3" max="3" width="44.7109375" customWidth="1"/>
    <col min="4" max="14" width="8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>
      <c r="B3" s="188" t="s">
        <v>27</v>
      </c>
      <c r="C3" s="189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20.100000000000001" customHeight="1" x14ac:dyDescent="0.25">
      <c r="B4" s="6" t="s">
        <v>19</v>
      </c>
      <c r="C4" s="7" t="s">
        <v>22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20.100000000000001" customHeight="1" x14ac:dyDescent="0.25">
      <c r="B5" t="s">
        <v>47</v>
      </c>
      <c r="C5" t="s">
        <v>46</v>
      </c>
    </row>
    <row r="6" spans="2:14" ht="20.100000000000001" customHeight="1" x14ac:dyDescent="0.25">
      <c r="B6" t="s">
        <v>47</v>
      </c>
      <c r="C6" t="s">
        <v>37</v>
      </c>
    </row>
    <row r="7" spans="2:14" ht="20.100000000000001" customHeight="1" x14ac:dyDescent="0.25">
      <c r="B7" t="s">
        <v>47</v>
      </c>
      <c r="C7" t="s">
        <v>38</v>
      </c>
    </row>
    <row r="8" spans="2:14" ht="20.100000000000001" customHeight="1" x14ac:dyDescent="0.25">
      <c r="B8" t="s">
        <v>47</v>
      </c>
      <c r="C8" t="s">
        <v>23</v>
      </c>
    </row>
    <row r="9" spans="2:14" ht="20.100000000000001" customHeight="1" x14ac:dyDescent="0.25">
      <c r="B9" t="s">
        <v>47</v>
      </c>
      <c r="C9" t="s">
        <v>52</v>
      </c>
    </row>
    <row r="10" spans="2:14" ht="20.100000000000001" customHeight="1" x14ac:dyDescent="0.25">
      <c r="B10" t="s">
        <v>48</v>
      </c>
      <c r="C10" t="s">
        <v>53</v>
      </c>
    </row>
    <row r="11" spans="2:14" ht="20.100000000000001" customHeight="1" x14ac:dyDescent="0.25">
      <c r="B11" t="s">
        <v>48</v>
      </c>
      <c r="C11" t="s">
        <v>54</v>
      </c>
    </row>
    <row r="12" spans="2:14" ht="20.100000000000001" customHeight="1" x14ac:dyDescent="0.25">
      <c r="B12" t="s">
        <v>49</v>
      </c>
      <c r="C12" t="s">
        <v>55</v>
      </c>
    </row>
    <row r="13" spans="2:14" ht="20.100000000000001" customHeight="1" x14ac:dyDescent="0.25">
      <c r="B13" t="s">
        <v>49</v>
      </c>
      <c r="C13" t="s">
        <v>56</v>
      </c>
      <c r="E13" s="13"/>
    </row>
    <row r="14" spans="2:14" ht="20.100000000000001" customHeight="1" x14ac:dyDescent="0.25">
      <c r="B14" t="s">
        <v>50</v>
      </c>
      <c r="C14" t="s">
        <v>57</v>
      </c>
    </row>
    <row r="15" spans="2:14" ht="20.100000000000001" customHeight="1" x14ac:dyDescent="0.25">
      <c r="B15" t="s">
        <v>51</v>
      </c>
      <c r="C15" t="s">
        <v>28</v>
      </c>
    </row>
    <row r="16" spans="2:14" ht="20.100000000000001" customHeight="1" x14ac:dyDescent="0.25">
      <c r="B16" t="s">
        <v>26</v>
      </c>
      <c r="C16" t="s">
        <v>58</v>
      </c>
    </row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mergeCells count="1">
    <mergeCell ref="B3:C3"/>
  </mergeCells>
  <dataValidations count="1">
    <dataValidation type="list" allowBlank="1" showInputMessage="1" showErrorMessage="1" sqref="B5:B16" xr:uid="{DFE6D7F4-C748-4AA7-A31A-78897234C20D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F54A-FBDF-43EB-92C8-0E214638177E}">
  <dimension ref="A1:R234"/>
  <sheetViews>
    <sheetView showGridLines="0" workbookViewId="0">
      <pane ySplit="3" topLeftCell="A4" activePane="bottomLeft" state="frozen"/>
      <selection pane="bottomLeft" activeCell="F2" sqref="F2"/>
    </sheetView>
  </sheetViews>
  <sheetFormatPr defaultColWidth="0" defaultRowHeight="15" x14ac:dyDescent="0.25"/>
  <cols>
    <col min="1" max="1" width="3" customWidth="1"/>
    <col min="2" max="2" width="15.7109375" style="14" customWidth="1"/>
    <col min="3" max="3" width="13.7109375" style="14" customWidth="1"/>
    <col min="4" max="4" width="14.7109375" style="14" customWidth="1"/>
    <col min="5" max="5" width="34.7109375" customWidth="1"/>
    <col min="6" max="6" width="33.7109375" customWidth="1"/>
    <col min="7" max="7" width="41.7109375" customWidth="1"/>
    <col min="8" max="8" width="26.7109375" style="17" customWidth="1"/>
    <col min="9" max="14" width="13.7109375" hidden="1" customWidth="1"/>
    <col min="15" max="15" width="15.42578125" hidden="1" customWidth="1"/>
    <col min="16" max="16" width="13.7109375" hidden="1" customWidth="1"/>
    <col min="17" max="17" width="13.7109375" style="14" hidden="1" customWidth="1"/>
    <col min="18" max="18" width="13.7109375" style="137" hidden="1" customWidth="1"/>
    <col min="19" max="26" width="13.7109375" hidden="1" customWidth="1"/>
    <col min="27" max="16384" width="13.7109375" hidden="1"/>
  </cols>
  <sheetData>
    <row r="1" spans="2:18" ht="39.950000000000003" customHeight="1" x14ac:dyDescent="0.25">
      <c r="B1" s="190" t="s">
        <v>1</v>
      </c>
      <c r="C1" s="190"/>
      <c r="D1" s="190"/>
      <c r="E1" s="1"/>
      <c r="F1" s="1"/>
      <c r="G1" s="1"/>
      <c r="H1" s="2" t="s">
        <v>10</v>
      </c>
    </row>
    <row r="2" spans="2:18" ht="39.950000000000003" customHeight="1" x14ac:dyDescent="0.25">
      <c r="B2" s="15"/>
      <c r="C2" s="15"/>
      <c r="D2" s="15"/>
      <c r="E2" s="4"/>
      <c r="F2" s="4"/>
      <c r="G2" s="4"/>
      <c r="H2" s="16"/>
    </row>
    <row r="3" spans="2:18" ht="48" customHeight="1" x14ac:dyDescent="0.25">
      <c r="B3" s="18" t="s">
        <v>29</v>
      </c>
      <c r="C3" s="18" t="s">
        <v>30</v>
      </c>
      <c r="D3" s="18" t="s">
        <v>31</v>
      </c>
      <c r="E3" s="19" t="s">
        <v>32</v>
      </c>
      <c r="F3" s="19" t="s">
        <v>33</v>
      </c>
      <c r="G3" s="19" t="s">
        <v>34</v>
      </c>
      <c r="H3" s="20" t="s">
        <v>35</v>
      </c>
      <c r="I3" s="19" t="s">
        <v>537</v>
      </c>
      <c r="J3" s="19" t="s">
        <v>538</v>
      </c>
      <c r="K3" s="19" t="s">
        <v>539</v>
      </c>
      <c r="L3" s="19" t="s">
        <v>540</v>
      </c>
      <c r="M3" s="19" t="s">
        <v>548</v>
      </c>
      <c r="N3" s="19" t="s">
        <v>549</v>
      </c>
      <c r="O3" s="19" t="s">
        <v>551</v>
      </c>
      <c r="P3" s="19" t="s">
        <v>607</v>
      </c>
      <c r="Q3" s="136" t="s">
        <v>608</v>
      </c>
      <c r="R3" s="138" t="s">
        <v>609</v>
      </c>
    </row>
    <row r="4" spans="2:18" ht="20.100000000000001" customHeight="1" x14ac:dyDescent="0.25">
      <c r="B4" s="14">
        <v>42994.360242603791</v>
      </c>
      <c r="C4" s="14">
        <v>42957</v>
      </c>
      <c r="D4" s="14">
        <v>42972</v>
      </c>
      <c r="E4" t="s">
        <v>20</v>
      </c>
      <c r="F4" t="s">
        <v>37</v>
      </c>
      <c r="G4" t="s">
        <v>59</v>
      </c>
      <c r="H4" s="17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COMPETENCIA]]="",0,MONTH(TbRegistroEntradas[[#This Row],[DATA DA COMPETENCIA]]))</f>
        <v>8</v>
      </c>
      <c r="L4">
        <f>IF(TbRegistroEntradas[[#This Row],[DATA DA COMPETENCIA]]="",0,YEAR(TbRegistroEntradas[[#This Row],[DATA DA COMPETENCIA]]))</f>
        <v>2017</v>
      </c>
      <c r="M4">
        <f>IF(TbRegistroEntradas[[#This Row],[DATA DO CAIXA PREVISTA]]="",0,MONTH(TbRegistroEntradas[[#This Row],[DATA DO CAIXA PREVISTA]]))</f>
        <v>8</v>
      </c>
      <c r="N4">
        <f>IF(TbRegistroEntradas[[#This Row],[DATA DO CAIXA PREVISTA]]="",0,YEAR(TbRegistroEntradas[[#This Row],[DATA DO CAIXA PREVISTA]]))</f>
        <v>2017</v>
      </c>
      <c r="O4" t="str">
        <f ca="1">IF(AND(TbRegistroEntradas[[#This Row],[DATA DO CAIXA PREVISTA]]&lt;TODAY(),TbRegistroEntradas[[#This Row],[DATA DO CAIXA REALIZADO]]=""),"Vencida","Não Vencida")</f>
        <v>Não Vencida</v>
      </c>
      <c r="P4" t="str">
        <f>IF(TbRegistroEntradas[[#This Row],[DATA DA COMPETENCIA]]=TbRegistroEntradas[[#This Row],[DATA DO CAIXA PREVISTA INT]],"VISTA","PRAZO")</f>
        <v>PRAZO</v>
      </c>
      <c r="Q4" s="14">
        <f>INT(TbRegistroEntradas[[#This Row],[DATA DO CAIXA PREVISTA]])</f>
        <v>42972</v>
      </c>
      <c r="R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22.360242603790539</v>
      </c>
    </row>
    <row r="5" spans="2:18" ht="20.100000000000001" customHeight="1" x14ac:dyDescent="0.25">
      <c r="B5" s="14">
        <v>42985.921072815276</v>
      </c>
      <c r="C5" s="14">
        <v>42960</v>
      </c>
      <c r="D5" s="14">
        <v>42985</v>
      </c>
      <c r="E5" t="s">
        <v>20</v>
      </c>
      <c r="F5" t="s">
        <v>36</v>
      </c>
      <c r="G5" t="s">
        <v>60</v>
      </c>
      <c r="H5" s="17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COMPETENCIA]]="",0,MONTH(TbRegistroEntradas[[#This Row],[DATA DA COMPETENCIA]]))</f>
        <v>8</v>
      </c>
      <c r="L5">
        <f>IF(TbRegistroEntradas[[#This Row],[DATA DA COMPETENCIA]]="",0,YEAR(TbRegistroEntradas[[#This Row],[DATA DA COMPETENCIA]]))</f>
        <v>2017</v>
      </c>
      <c r="M5">
        <f>IF(TbRegistroEntradas[[#This Row],[DATA DO CAIXA PREVISTA]]="",0,MONTH(TbRegistroEntradas[[#This Row],[DATA DO CAIXA PREVISTA]]))</f>
        <v>9</v>
      </c>
      <c r="N5">
        <f>IF(TbRegistroEntradas[[#This Row],[DATA DO CAIXA PREVISTA]]="",0,YEAR(TbRegistroEntradas[[#This Row],[DATA DO CAIXA PREVISTA]]))</f>
        <v>2017</v>
      </c>
      <c r="O5" t="str">
        <f ca="1">IF(AND(TbRegistroEntradas[[#This Row],[DATA DO CAIXA PREVISTA]]&lt;TODAY(),TbRegistroEntradas[[#This Row],[DATA DO CAIXA REALIZADO]]=""),"Vencida","Não Vencida")</f>
        <v>Não Vencida</v>
      </c>
      <c r="P5" t="str">
        <f>IF(TbRegistroEntradas[[#This Row],[DATA DA COMPETENCIA]]=TbRegistroEntradas[[#This Row],[DATA DO CAIXA PREVISTA INT]],"VISTA","PRAZO")</f>
        <v>PRAZO</v>
      </c>
      <c r="Q5" s="14">
        <f>INT(TbRegistroEntradas[[#This Row],[DATA DO CAIXA PREVISTA]])</f>
        <v>42985</v>
      </c>
      <c r="R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0.92107281527569285</v>
      </c>
    </row>
    <row r="6" spans="2:18" ht="20.100000000000001" customHeight="1" x14ac:dyDescent="0.25">
      <c r="B6" s="14">
        <v>43007.497531597422</v>
      </c>
      <c r="C6" s="14">
        <v>42964</v>
      </c>
      <c r="D6" s="14">
        <v>43001</v>
      </c>
      <c r="E6" t="s">
        <v>20</v>
      </c>
      <c r="F6" t="s">
        <v>36</v>
      </c>
      <c r="G6" t="s">
        <v>61</v>
      </c>
      <c r="H6" s="17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COMPETENCIA]]="",0,MONTH(TbRegistroEntradas[[#This Row],[DATA DA COMPETENCIA]]))</f>
        <v>8</v>
      </c>
      <c r="L6">
        <f>IF(TbRegistroEntradas[[#This Row],[DATA DA COMPETENCIA]]="",0,YEAR(TbRegistroEntradas[[#This Row],[DATA DA COMPETENCIA]]))</f>
        <v>2017</v>
      </c>
      <c r="M6">
        <f>IF(TbRegistroEntradas[[#This Row],[DATA DO CAIXA PREVISTA]]="",0,MONTH(TbRegistroEntradas[[#This Row],[DATA DO CAIXA PREVISTA]]))</f>
        <v>9</v>
      </c>
      <c r="N6">
        <f>IF(TbRegistroEntradas[[#This Row],[DATA DO CAIXA PREVISTA]]="",0,YEAR(TbRegistroEntradas[[#This Row],[DATA DO CAIXA PREVISTA]]))</f>
        <v>2017</v>
      </c>
      <c r="O6" t="str">
        <f ca="1">IF(AND(TbRegistroEntradas[[#This Row],[DATA DO CAIXA PREVISTA]]&lt;TODAY(),TbRegistroEntradas[[#This Row],[DATA DO CAIXA REALIZADO]]=""),"Vencida","Não Vencida")</f>
        <v>Não Vencida</v>
      </c>
      <c r="P6" t="str">
        <f>IF(TbRegistroEntradas[[#This Row],[DATA DA COMPETENCIA]]=TbRegistroEntradas[[#This Row],[DATA DO CAIXA PREVISTA INT]],"VISTA","PRAZO")</f>
        <v>PRAZO</v>
      </c>
      <c r="Q6" s="14">
        <f>INT(TbRegistroEntradas[[#This Row],[DATA DO CAIXA PREVISTA]])</f>
        <v>43001</v>
      </c>
      <c r="R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6.4975315974224941</v>
      </c>
    </row>
    <row r="7" spans="2:18" ht="20.100000000000001" customHeight="1" x14ac:dyDescent="0.25">
      <c r="B7" s="14">
        <v>43020.93099062844</v>
      </c>
      <c r="C7" s="14">
        <v>42969</v>
      </c>
      <c r="D7" s="14">
        <v>43020</v>
      </c>
      <c r="E7" t="s">
        <v>20</v>
      </c>
      <c r="F7" t="s">
        <v>23</v>
      </c>
      <c r="G7" t="s">
        <v>62</v>
      </c>
      <c r="H7" s="17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COMPETENCIA]]="",0,MONTH(TbRegistroEntradas[[#This Row],[DATA DA COMPETENCIA]]))</f>
        <v>8</v>
      </c>
      <c r="L7">
        <f>IF(TbRegistroEntradas[[#This Row],[DATA DA COMPETENCIA]]="",0,YEAR(TbRegistroEntradas[[#This Row],[DATA DA COMPETENCIA]]))</f>
        <v>2017</v>
      </c>
      <c r="M7">
        <f>IF(TbRegistroEntradas[[#This Row],[DATA DO CAIXA PREVISTA]]="",0,MONTH(TbRegistroEntradas[[#This Row],[DATA DO CAIXA PREVISTA]]))</f>
        <v>10</v>
      </c>
      <c r="N7">
        <f>IF(TbRegistroEntradas[[#This Row],[DATA DO CAIXA PREVISTA]]="",0,YEAR(TbRegistroEntradas[[#This Row],[DATA DO CAIXA PREVISTA]]))</f>
        <v>2017</v>
      </c>
      <c r="O7" t="str">
        <f ca="1">IF(AND(TbRegistroEntradas[[#This Row],[DATA DO CAIXA PREVISTA]]&lt;TODAY(),TbRegistroEntradas[[#This Row],[DATA DO CAIXA REALIZADO]]=""),"Vencida","Não Vencida")</f>
        <v>Não Vencida</v>
      </c>
      <c r="P7" t="str">
        <f>IF(TbRegistroEntradas[[#This Row],[DATA DA COMPETENCIA]]=TbRegistroEntradas[[#This Row],[DATA DO CAIXA PREVISTA INT]],"VISTA","PRAZO")</f>
        <v>PRAZO</v>
      </c>
      <c r="Q7" s="14">
        <f>INT(TbRegistroEntradas[[#This Row],[DATA DO CAIXA PREVISTA]])</f>
        <v>43020</v>
      </c>
      <c r="R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0.93099062843975844</v>
      </c>
    </row>
    <row r="8" spans="2:18" ht="20.100000000000001" customHeight="1" x14ac:dyDescent="0.25">
      <c r="B8" s="14">
        <v>43014.490029992223</v>
      </c>
      <c r="C8" s="14">
        <v>42972</v>
      </c>
      <c r="D8" s="14">
        <v>43014</v>
      </c>
      <c r="E8" t="s">
        <v>20</v>
      </c>
      <c r="F8" t="s">
        <v>37</v>
      </c>
      <c r="G8" t="s">
        <v>63</v>
      </c>
      <c r="H8" s="17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COMPETENCIA]]="",0,MONTH(TbRegistroEntradas[[#This Row],[DATA DA COMPETENCIA]]))</f>
        <v>8</v>
      </c>
      <c r="L8">
        <f>IF(TbRegistroEntradas[[#This Row],[DATA DA COMPETENCIA]]="",0,YEAR(TbRegistroEntradas[[#This Row],[DATA DA COMPETENCIA]]))</f>
        <v>2017</v>
      </c>
      <c r="M8">
        <f>IF(TbRegistroEntradas[[#This Row],[DATA DO CAIXA PREVISTA]]="",0,MONTH(TbRegistroEntradas[[#This Row],[DATA DO CAIXA PREVISTA]]))</f>
        <v>10</v>
      </c>
      <c r="N8">
        <f>IF(TbRegistroEntradas[[#This Row],[DATA DO CAIXA PREVISTA]]="",0,YEAR(TbRegistroEntradas[[#This Row],[DATA DO CAIXA PREVISTA]]))</f>
        <v>2017</v>
      </c>
      <c r="O8" t="str">
        <f ca="1">IF(AND(TbRegistroEntradas[[#This Row],[DATA DO CAIXA PREVISTA]]&lt;TODAY(),TbRegistroEntradas[[#This Row],[DATA DO CAIXA REALIZADO]]=""),"Vencida","Não Vencida")</f>
        <v>Não Vencida</v>
      </c>
      <c r="P8" t="str">
        <f>IF(TbRegistroEntradas[[#This Row],[DATA DA COMPETENCIA]]=TbRegistroEntradas[[#This Row],[DATA DO CAIXA PREVISTA INT]],"VISTA","PRAZO")</f>
        <v>PRAZO</v>
      </c>
      <c r="Q8" s="14">
        <f>INT(TbRegistroEntradas[[#This Row],[DATA DO CAIXA PREVISTA]])</f>
        <v>43014</v>
      </c>
      <c r="R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0.49002999222284416</v>
      </c>
    </row>
    <row r="9" spans="2:18" ht="20.100000000000001" customHeight="1" x14ac:dyDescent="0.25">
      <c r="B9" s="14">
        <v>43054.754604096757</v>
      </c>
      <c r="C9" s="14">
        <v>42974</v>
      </c>
      <c r="D9" s="14">
        <v>43030</v>
      </c>
      <c r="E9" t="s">
        <v>20</v>
      </c>
      <c r="F9" t="s">
        <v>36</v>
      </c>
      <c r="G9" t="s">
        <v>64</v>
      </c>
      <c r="H9" s="17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COMPETENCIA]]="",0,MONTH(TbRegistroEntradas[[#This Row],[DATA DA COMPETENCIA]]))</f>
        <v>8</v>
      </c>
      <c r="L9">
        <f>IF(TbRegistroEntradas[[#This Row],[DATA DA COMPETENCIA]]="",0,YEAR(TbRegistroEntradas[[#This Row],[DATA DA COMPETENCIA]]))</f>
        <v>2017</v>
      </c>
      <c r="M9">
        <f>IF(TbRegistroEntradas[[#This Row],[DATA DO CAIXA PREVISTA]]="",0,MONTH(TbRegistroEntradas[[#This Row],[DATA DO CAIXA PREVISTA]]))</f>
        <v>10</v>
      </c>
      <c r="N9">
        <f>IF(TbRegistroEntradas[[#This Row],[DATA DO CAIXA PREVISTA]]="",0,YEAR(TbRegistroEntradas[[#This Row],[DATA DO CAIXA PREVISTA]]))</f>
        <v>2017</v>
      </c>
      <c r="O9" t="str">
        <f ca="1">IF(AND(TbRegistroEntradas[[#This Row],[DATA DO CAIXA PREVISTA]]&lt;TODAY(),TbRegistroEntradas[[#This Row],[DATA DO CAIXA REALIZADO]]=""),"Vencida","Não Vencida")</f>
        <v>Não Vencida</v>
      </c>
      <c r="P9" t="str">
        <f>IF(TbRegistroEntradas[[#This Row],[DATA DA COMPETENCIA]]=TbRegistroEntradas[[#This Row],[DATA DO CAIXA PREVISTA INT]],"VISTA","PRAZO")</f>
        <v>PRAZO</v>
      </c>
      <c r="Q9" s="14">
        <f>INT(TbRegistroEntradas[[#This Row],[DATA DO CAIXA PREVISTA]])</f>
        <v>43030</v>
      </c>
      <c r="R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24.754604096757248</v>
      </c>
    </row>
    <row r="10" spans="2:18" ht="20.100000000000001" customHeight="1" x14ac:dyDescent="0.25">
      <c r="B10" s="14">
        <v>43087.201387518355</v>
      </c>
      <c r="C10" s="14">
        <v>42979</v>
      </c>
      <c r="D10" s="14">
        <v>43009.803181410032</v>
      </c>
      <c r="E10" t="s">
        <v>20</v>
      </c>
      <c r="F10" t="s">
        <v>37</v>
      </c>
      <c r="G10" t="s">
        <v>65</v>
      </c>
      <c r="H10" s="17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COMPETENCIA]]="",0,MONTH(TbRegistroEntradas[[#This Row],[DATA DA COMPETENCIA]]))</f>
        <v>9</v>
      </c>
      <c r="L10">
        <f>IF(TbRegistroEntradas[[#This Row],[DATA DA COMPETENCIA]]="",0,YEAR(TbRegistroEntradas[[#This Row],[DATA DA COMPETENCIA]]))</f>
        <v>2017</v>
      </c>
      <c r="M10">
        <f>IF(TbRegistroEntradas[[#This Row],[DATA DO CAIXA PREVISTA]]="",0,MONTH(TbRegistroEntradas[[#This Row],[DATA DO CAIXA PREVISTA]]))</f>
        <v>10</v>
      </c>
      <c r="N10">
        <f>IF(TbRegistroEntradas[[#This Row],[DATA DO CAIXA PREVISTA]]="",0,YEAR(TbRegistroEntradas[[#This Row],[DATA DO CAIXA PREVISTA]]))</f>
        <v>2017</v>
      </c>
      <c r="O10" t="str">
        <f ca="1">IF(AND(TbRegistroEntradas[[#This Row],[DATA DO CAIXA PREVISTA]]&lt;TODAY(),TbRegistroEntradas[[#This Row],[DATA DO CAIXA REALIZADO]]=""),"Vencida","Não Vencida")</f>
        <v>Não Vencida</v>
      </c>
      <c r="P10" t="str">
        <f>IF(TbRegistroEntradas[[#This Row],[DATA DA COMPETENCIA]]=TbRegistroEntradas[[#This Row],[DATA DO CAIXA PREVISTA INT]],"VISTA","PRAZO")</f>
        <v>PRAZO</v>
      </c>
      <c r="Q10" s="14">
        <f>INT(TbRegistroEntradas[[#This Row],[DATA DO CAIXA PREVISTA]])</f>
        <v>43009</v>
      </c>
      <c r="R1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77.398206108322483</v>
      </c>
    </row>
    <row r="11" spans="2:18" ht="20.100000000000001" customHeight="1" x14ac:dyDescent="0.25">
      <c r="B11" s="14">
        <v>43004.688402044558</v>
      </c>
      <c r="C11" s="14">
        <v>42980</v>
      </c>
      <c r="D11" s="14">
        <v>43004</v>
      </c>
      <c r="E11" t="s">
        <v>20</v>
      </c>
      <c r="F11" t="s">
        <v>36</v>
      </c>
      <c r="G11" t="s">
        <v>66</v>
      </c>
      <c r="H11" s="17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COMPETENCIA]]="",0,MONTH(TbRegistroEntradas[[#This Row],[DATA DA COMPETENCIA]]))</f>
        <v>9</v>
      </c>
      <c r="L11">
        <f>IF(TbRegistroEntradas[[#This Row],[DATA DA COMPETENCIA]]="",0,YEAR(TbRegistroEntradas[[#This Row],[DATA DA COMPETENCIA]]))</f>
        <v>2017</v>
      </c>
      <c r="M11">
        <f>IF(TbRegistroEntradas[[#This Row],[DATA DO CAIXA PREVISTA]]="",0,MONTH(TbRegistroEntradas[[#This Row],[DATA DO CAIXA PREVISTA]]))</f>
        <v>9</v>
      </c>
      <c r="N11">
        <f>IF(TbRegistroEntradas[[#This Row],[DATA DO CAIXA PREVISTA]]="",0,YEAR(TbRegistroEntradas[[#This Row],[DATA DO CAIXA PREVISTA]]))</f>
        <v>2017</v>
      </c>
      <c r="O11" t="str">
        <f ca="1">IF(AND(TbRegistroEntradas[[#This Row],[DATA DO CAIXA PREVISTA]]&lt;TODAY(),TbRegistroEntradas[[#This Row],[DATA DO CAIXA REALIZADO]]=""),"Vencida","Não Vencida")</f>
        <v>Não Vencida</v>
      </c>
      <c r="P11" t="str">
        <f>IF(TbRegistroEntradas[[#This Row],[DATA DA COMPETENCIA]]=TbRegistroEntradas[[#This Row],[DATA DO CAIXA PREVISTA INT]],"VISTA","PRAZO")</f>
        <v>PRAZO</v>
      </c>
      <c r="Q11" s="14">
        <f>INT(TbRegistroEntradas[[#This Row],[DATA DO CAIXA PREVISTA]])</f>
        <v>43004</v>
      </c>
      <c r="R1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0.68840204455773346</v>
      </c>
    </row>
    <row r="12" spans="2:18" ht="20.100000000000001" customHeight="1" x14ac:dyDescent="0.25">
      <c r="B12" s="14">
        <v>43015.979718768547</v>
      </c>
      <c r="C12" s="14">
        <v>42984</v>
      </c>
      <c r="D12" s="14">
        <v>43015</v>
      </c>
      <c r="E12" t="s">
        <v>20</v>
      </c>
      <c r="F12" t="s">
        <v>36</v>
      </c>
      <c r="G12" t="s">
        <v>67</v>
      </c>
      <c r="H12" s="17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COMPETENCIA]]="",0,MONTH(TbRegistroEntradas[[#This Row],[DATA DA COMPETENCIA]]))</f>
        <v>9</v>
      </c>
      <c r="L12">
        <f>IF(TbRegistroEntradas[[#This Row],[DATA DA COMPETENCIA]]="",0,YEAR(TbRegistroEntradas[[#This Row],[DATA DA COMPETENCIA]]))</f>
        <v>2017</v>
      </c>
      <c r="M12">
        <f>IF(TbRegistroEntradas[[#This Row],[DATA DO CAIXA PREVISTA]]="",0,MONTH(TbRegistroEntradas[[#This Row],[DATA DO CAIXA PREVISTA]]))</f>
        <v>10</v>
      </c>
      <c r="N12">
        <f>IF(TbRegistroEntradas[[#This Row],[DATA DO CAIXA PREVISTA]]="",0,YEAR(TbRegistroEntradas[[#This Row],[DATA DO CAIXA PREVISTA]]))</f>
        <v>2017</v>
      </c>
      <c r="O12" t="str">
        <f ca="1">IF(AND(TbRegistroEntradas[[#This Row],[DATA DO CAIXA PREVISTA]]&lt;TODAY(),TbRegistroEntradas[[#This Row],[DATA DO CAIXA REALIZADO]]=""),"Vencida","Não Vencida")</f>
        <v>Não Vencida</v>
      </c>
      <c r="P12" t="str">
        <f>IF(TbRegistroEntradas[[#This Row],[DATA DA COMPETENCIA]]=TbRegistroEntradas[[#This Row],[DATA DO CAIXA PREVISTA INT]],"VISTA","PRAZO")</f>
        <v>PRAZO</v>
      </c>
      <c r="Q12" s="14">
        <f>INT(TbRegistroEntradas[[#This Row],[DATA DO CAIXA PREVISTA]])</f>
        <v>43015</v>
      </c>
      <c r="R1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0.97971876854717266</v>
      </c>
    </row>
    <row r="13" spans="2:18" ht="20.100000000000001" customHeight="1" x14ac:dyDescent="0.25">
      <c r="B13" s="14" t="s">
        <v>68</v>
      </c>
      <c r="C13" s="14">
        <v>42988</v>
      </c>
      <c r="D13" s="14">
        <v>43013.954305555555</v>
      </c>
      <c r="E13" t="s">
        <v>20</v>
      </c>
      <c r="F13" t="s">
        <v>36</v>
      </c>
      <c r="G13" t="s">
        <v>69</v>
      </c>
      <c r="H13" s="17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COMPETENCIA]]="",0,MONTH(TbRegistroEntradas[[#This Row],[DATA DA COMPETENCIA]]))</f>
        <v>9</v>
      </c>
      <c r="L13">
        <f>IF(TbRegistroEntradas[[#This Row],[DATA DA COMPETENCIA]]="",0,YEAR(TbRegistroEntradas[[#This Row],[DATA DA COMPETENCIA]]))</f>
        <v>2017</v>
      </c>
      <c r="M13">
        <f>IF(TbRegistroEntradas[[#This Row],[DATA DO CAIXA PREVISTA]]="",0,MONTH(TbRegistroEntradas[[#This Row],[DATA DO CAIXA PREVISTA]]))</f>
        <v>10</v>
      </c>
      <c r="N13">
        <f>IF(TbRegistroEntradas[[#This Row],[DATA DO CAIXA PREVISTA]]="",0,YEAR(TbRegistroEntradas[[#This Row],[DATA DO CAIXA PREVISTA]]))</f>
        <v>2017</v>
      </c>
      <c r="O13" t="str">
        <f ca="1">IF(AND(TbRegistroEntradas[[#This Row],[DATA DO CAIXA PREVISTA]]&lt;TODAY(),TbRegistroEntradas[[#This Row],[DATA DO CAIXA REALIZADO]]=""),"Vencida","Não Vencida")</f>
        <v>Vencida</v>
      </c>
      <c r="P13" t="str">
        <f>IF(TbRegistroEntradas[[#This Row],[DATA DA COMPETENCIA]]=TbRegistroEntradas[[#This Row],[DATA DO CAIXA PREVISTA INT]],"VISTA","PRAZO")</f>
        <v>PRAZO</v>
      </c>
      <c r="Q13" s="14">
        <f>INT(TbRegistroEntradas[[#This Row],[DATA DO CAIXA PREVISTA]])</f>
        <v>43013</v>
      </c>
      <c r="R1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4" spans="2:18" ht="20.100000000000001" customHeight="1" x14ac:dyDescent="0.25">
      <c r="B14" s="14">
        <v>42997.551902670813</v>
      </c>
      <c r="C14" s="14">
        <v>42990</v>
      </c>
      <c r="D14" s="14">
        <v>42997.551902670813</v>
      </c>
      <c r="E14" t="s">
        <v>20</v>
      </c>
      <c r="F14" t="s">
        <v>46</v>
      </c>
      <c r="G14" t="s">
        <v>70</v>
      </c>
      <c r="H14" s="17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COMPETENCIA]]="",0,MONTH(TbRegistroEntradas[[#This Row],[DATA DA COMPETENCIA]]))</f>
        <v>9</v>
      </c>
      <c r="L14">
        <f>IF(TbRegistroEntradas[[#This Row],[DATA DA COMPETENCIA]]="",0,YEAR(TbRegistroEntradas[[#This Row],[DATA DA COMPETENCIA]]))</f>
        <v>2017</v>
      </c>
      <c r="M14">
        <f>IF(TbRegistroEntradas[[#This Row],[DATA DO CAIXA PREVISTA]]="",0,MONTH(TbRegistroEntradas[[#This Row],[DATA DO CAIXA PREVISTA]]))</f>
        <v>9</v>
      </c>
      <c r="N14">
        <f>IF(TbRegistroEntradas[[#This Row],[DATA DO CAIXA PREVISTA]]="",0,YEAR(TbRegistroEntradas[[#This Row],[DATA DO CAIXA PREVISTA]]))</f>
        <v>2017</v>
      </c>
      <c r="O14" t="str">
        <f ca="1">IF(AND(TbRegistroEntradas[[#This Row],[DATA DO CAIXA PREVISTA]]&lt;TODAY(),TbRegistroEntradas[[#This Row],[DATA DO CAIXA REALIZADO]]=""),"Vencida","Não Vencida")</f>
        <v>Não Vencida</v>
      </c>
      <c r="P14" t="str">
        <f>IF(TbRegistroEntradas[[#This Row],[DATA DA COMPETENCIA]]=TbRegistroEntradas[[#This Row],[DATA DO CAIXA PREVISTA INT]],"VISTA","PRAZO")</f>
        <v>PRAZO</v>
      </c>
      <c r="Q14" s="14">
        <f>INT(TbRegistroEntradas[[#This Row],[DATA DO CAIXA PREVISTA]])</f>
        <v>42997</v>
      </c>
      <c r="R1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" spans="2:18" ht="20.100000000000001" customHeight="1" x14ac:dyDescent="0.25">
      <c r="B15" s="14">
        <v>43004.663371860901</v>
      </c>
      <c r="C15" s="14">
        <v>42994</v>
      </c>
      <c r="D15" s="14">
        <v>43002.856606349254</v>
      </c>
      <c r="E15" t="s">
        <v>20</v>
      </c>
      <c r="F15" t="s">
        <v>36</v>
      </c>
      <c r="G15" t="s">
        <v>71</v>
      </c>
      <c r="H15" s="17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COMPETENCIA]]="",0,MONTH(TbRegistroEntradas[[#This Row],[DATA DA COMPETENCIA]]))</f>
        <v>9</v>
      </c>
      <c r="L15">
        <f>IF(TbRegistroEntradas[[#This Row],[DATA DA COMPETENCIA]]="",0,YEAR(TbRegistroEntradas[[#This Row],[DATA DA COMPETENCIA]]))</f>
        <v>2017</v>
      </c>
      <c r="M15">
        <f>IF(TbRegistroEntradas[[#This Row],[DATA DO CAIXA PREVISTA]]="",0,MONTH(TbRegistroEntradas[[#This Row],[DATA DO CAIXA PREVISTA]]))</f>
        <v>9</v>
      </c>
      <c r="N15">
        <f>IF(TbRegistroEntradas[[#This Row],[DATA DO CAIXA PREVISTA]]="",0,YEAR(TbRegistroEntradas[[#This Row],[DATA DO CAIXA PREVISTA]]))</f>
        <v>2017</v>
      </c>
      <c r="O15" t="str">
        <f ca="1">IF(AND(TbRegistroEntradas[[#This Row],[DATA DO CAIXA PREVISTA]]&lt;TODAY(),TbRegistroEntradas[[#This Row],[DATA DO CAIXA REALIZADO]]=""),"Vencida","Não Vencida")</f>
        <v>Não Vencida</v>
      </c>
      <c r="P15" t="str">
        <f>IF(TbRegistroEntradas[[#This Row],[DATA DA COMPETENCIA]]=TbRegistroEntradas[[#This Row],[DATA DO CAIXA PREVISTA INT]],"VISTA","PRAZO")</f>
        <v>PRAZO</v>
      </c>
      <c r="Q15" s="14">
        <f>INT(TbRegistroEntradas[[#This Row],[DATA DO CAIXA PREVISTA]])</f>
        <v>43002</v>
      </c>
      <c r="R1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1.8067655116465176</v>
      </c>
    </row>
    <row r="16" spans="2:18" ht="20.100000000000001" customHeight="1" x14ac:dyDescent="0.25">
      <c r="B16" s="14">
        <v>43010.987674560682</v>
      </c>
      <c r="C16" s="14">
        <v>43001</v>
      </c>
      <c r="D16" s="14">
        <v>43010.987674560682</v>
      </c>
      <c r="E16" t="s">
        <v>20</v>
      </c>
      <c r="F16" t="s">
        <v>38</v>
      </c>
      <c r="G16" t="s">
        <v>72</v>
      </c>
      <c r="H16" s="17">
        <v>3125</v>
      </c>
      <c r="I16">
        <f>IF(TbRegistroEntradas[[#This Row],[DATA DO CAIXA REALIZADO]]="",0,MONTH(TbRegistroEntradas[[#This Row],[DATA DO CAIXA REALIZADO]]))</f>
        <v>10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COMPETENCIA]]="",0,MONTH(TbRegistroEntradas[[#This Row],[DATA DA COMPETENCIA]]))</f>
        <v>9</v>
      </c>
      <c r="L16">
        <f>IF(TbRegistroEntradas[[#This Row],[DATA DA COMPETENCIA]]="",0,YEAR(TbRegistroEntradas[[#This Row],[DATA DA COMPETENCIA]]))</f>
        <v>2017</v>
      </c>
      <c r="M16">
        <f>IF(TbRegistroEntradas[[#This Row],[DATA DO CAIXA PREVISTA]]="",0,MONTH(TbRegistroEntradas[[#This Row],[DATA DO CAIXA PREVISTA]]))</f>
        <v>10</v>
      </c>
      <c r="N16">
        <f>IF(TbRegistroEntradas[[#This Row],[DATA DO CAIXA PREVISTA]]="",0,YEAR(TbRegistroEntradas[[#This Row],[DATA DO CAIXA PREVISTA]]))</f>
        <v>2017</v>
      </c>
      <c r="O16" t="str">
        <f ca="1">IF(AND(TbRegistroEntradas[[#This Row],[DATA DO CAIXA PREVISTA]]&lt;TODAY(),TbRegistroEntradas[[#This Row],[DATA DO CAIXA REALIZADO]]=""),"Vencida","Não Vencida")</f>
        <v>Não Vencida</v>
      </c>
      <c r="P16" t="str">
        <f>IF(TbRegistroEntradas[[#This Row],[DATA DA COMPETENCIA]]=TbRegistroEntradas[[#This Row],[DATA DO CAIXA PREVISTA INT]],"VISTA","PRAZO")</f>
        <v>PRAZO</v>
      </c>
      <c r="Q16" s="14">
        <f>INT(TbRegistroEntradas[[#This Row],[DATA DO CAIXA PREVISTA]])</f>
        <v>43010</v>
      </c>
      <c r="R1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" spans="2:18" ht="20.100000000000001" customHeight="1" x14ac:dyDescent="0.25">
      <c r="B17" s="14">
        <v>43056.628172621648</v>
      </c>
      <c r="C17" s="14">
        <v>43004</v>
      </c>
      <c r="D17" s="14">
        <v>43056.628171296295</v>
      </c>
      <c r="E17" t="s">
        <v>20</v>
      </c>
      <c r="F17" t="s">
        <v>36</v>
      </c>
      <c r="G17" t="s">
        <v>73</v>
      </c>
      <c r="H17" s="17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COMPETENCIA]]="",0,MONTH(TbRegistroEntradas[[#This Row],[DATA DA COMPETENCIA]]))</f>
        <v>9</v>
      </c>
      <c r="L17">
        <f>IF(TbRegistroEntradas[[#This Row],[DATA DA COMPETENCIA]]="",0,YEAR(TbRegistroEntradas[[#This Row],[DATA DA COMPETENCIA]]))</f>
        <v>2017</v>
      </c>
      <c r="M17">
        <f>IF(TbRegistroEntradas[[#This Row],[DATA DO CAIXA PREVISTA]]="",0,MONTH(TbRegistroEntradas[[#This Row],[DATA DO CAIXA PREVISTA]]))</f>
        <v>11</v>
      </c>
      <c r="N17">
        <f>IF(TbRegistroEntradas[[#This Row],[DATA DO CAIXA PREVISTA]]="",0,YEAR(TbRegistroEntradas[[#This Row],[DATA DO CAIXA PREVISTA]]))</f>
        <v>2017</v>
      </c>
      <c r="O17" t="str">
        <f ca="1">IF(AND(TbRegistroEntradas[[#This Row],[DATA DO CAIXA PREVISTA]]&lt;TODAY(),TbRegistroEntradas[[#This Row],[DATA DO CAIXA REALIZADO]]=""),"Vencida","Não Vencida")</f>
        <v>Não Vencida</v>
      </c>
      <c r="P17" t="str">
        <f>IF(TbRegistroEntradas[[#This Row],[DATA DA COMPETENCIA]]=TbRegistroEntradas[[#This Row],[DATA DO CAIXA PREVISTA INT]],"VISTA","PRAZO")</f>
        <v>PRAZO</v>
      </c>
      <c r="Q17" s="14">
        <f>INT(TbRegistroEntradas[[#This Row],[DATA DO CAIXA PREVISTA]])</f>
        <v>43056</v>
      </c>
      <c r="R1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1.3253520592115819E-6</v>
      </c>
    </row>
    <row r="18" spans="2:18" ht="20.100000000000001" customHeight="1" x14ac:dyDescent="0.25">
      <c r="B18" s="14">
        <v>43033.143288673884</v>
      </c>
      <c r="C18" s="14">
        <v>43005</v>
      </c>
      <c r="D18" s="14">
        <v>43018.800773350056</v>
      </c>
      <c r="E18" t="s">
        <v>20</v>
      </c>
      <c r="F18" t="s">
        <v>37</v>
      </c>
      <c r="G18" t="s">
        <v>74</v>
      </c>
      <c r="H18" s="17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COMPETENCIA]]="",0,MONTH(TbRegistroEntradas[[#This Row],[DATA DA COMPETENCIA]]))</f>
        <v>9</v>
      </c>
      <c r="L18">
        <f>IF(TbRegistroEntradas[[#This Row],[DATA DA COMPETENCIA]]="",0,YEAR(TbRegistroEntradas[[#This Row],[DATA DA COMPETENCIA]]))</f>
        <v>2017</v>
      </c>
      <c r="M18">
        <f>IF(TbRegistroEntradas[[#This Row],[DATA DO CAIXA PREVISTA]]="",0,MONTH(TbRegistroEntradas[[#This Row],[DATA DO CAIXA PREVISTA]]))</f>
        <v>10</v>
      </c>
      <c r="N18">
        <f>IF(TbRegistroEntradas[[#This Row],[DATA DO CAIXA PREVISTA]]="",0,YEAR(TbRegistroEntradas[[#This Row],[DATA DO CAIXA PREVISTA]]))</f>
        <v>2017</v>
      </c>
      <c r="O18" t="str">
        <f ca="1">IF(AND(TbRegistroEntradas[[#This Row],[DATA DO CAIXA PREVISTA]]&lt;TODAY(),TbRegistroEntradas[[#This Row],[DATA DO CAIXA REALIZADO]]=""),"Vencida","Não Vencida")</f>
        <v>Não Vencida</v>
      </c>
      <c r="P18" t="str">
        <f>IF(TbRegistroEntradas[[#This Row],[DATA DA COMPETENCIA]]=TbRegistroEntradas[[#This Row],[DATA DO CAIXA PREVISTA INT]],"VISTA","PRAZO")</f>
        <v>PRAZO</v>
      </c>
      <c r="Q18" s="14">
        <f>INT(TbRegistroEntradas[[#This Row],[DATA DO CAIXA PREVISTA]])</f>
        <v>43018</v>
      </c>
      <c r="R1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14.342515323827683</v>
      </c>
    </row>
    <row r="19" spans="2:18" ht="20.100000000000001" customHeight="1" x14ac:dyDescent="0.25">
      <c r="B19" s="14">
        <v>43019.580095755031</v>
      </c>
      <c r="C19" s="14">
        <v>43008</v>
      </c>
      <c r="D19" s="14">
        <v>43019.580095755031</v>
      </c>
      <c r="E19" t="s">
        <v>20</v>
      </c>
      <c r="F19" t="s">
        <v>38</v>
      </c>
      <c r="G19" t="s">
        <v>75</v>
      </c>
      <c r="H19" s="17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COMPETENCIA]]="",0,MONTH(TbRegistroEntradas[[#This Row],[DATA DA COMPETENCIA]]))</f>
        <v>9</v>
      </c>
      <c r="L19">
        <f>IF(TbRegistroEntradas[[#This Row],[DATA DA COMPETENCIA]]="",0,YEAR(TbRegistroEntradas[[#This Row],[DATA DA COMPETENCIA]]))</f>
        <v>2017</v>
      </c>
      <c r="M19">
        <f>IF(TbRegistroEntradas[[#This Row],[DATA DO CAIXA PREVISTA]]="",0,MONTH(TbRegistroEntradas[[#This Row],[DATA DO CAIXA PREVISTA]]))</f>
        <v>10</v>
      </c>
      <c r="N19">
        <f>IF(TbRegistroEntradas[[#This Row],[DATA DO CAIXA PREVISTA]]="",0,YEAR(TbRegistroEntradas[[#This Row],[DATA DO CAIXA PREVISTA]]))</f>
        <v>2017</v>
      </c>
      <c r="O19" t="str">
        <f ca="1">IF(AND(TbRegistroEntradas[[#This Row],[DATA DO CAIXA PREVISTA]]&lt;TODAY(),TbRegistroEntradas[[#This Row],[DATA DO CAIXA REALIZADO]]=""),"Vencida","Não Vencida")</f>
        <v>Não Vencida</v>
      </c>
      <c r="P19" t="str">
        <f>IF(TbRegistroEntradas[[#This Row],[DATA DA COMPETENCIA]]=TbRegistroEntradas[[#This Row],[DATA DO CAIXA PREVISTA INT]],"VISTA","PRAZO")</f>
        <v>PRAZO</v>
      </c>
      <c r="Q19" s="14">
        <f>INT(TbRegistroEntradas[[#This Row],[DATA DO CAIXA PREVISTA]])</f>
        <v>43019</v>
      </c>
      <c r="R1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" spans="2:18" ht="20.100000000000001" customHeight="1" x14ac:dyDescent="0.25">
      <c r="B20" s="14">
        <v>43025.995076094237</v>
      </c>
      <c r="C20" s="14">
        <v>43012</v>
      </c>
      <c r="D20" s="14">
        <v>43025.995076094237</v>
      </c>
      <c r="E20" t="s">
        <v>20</v>
      </c>
      <c r="F20" t="s">
        <v>23</v>
      </c>
      <c r="G20" t="s">
        <v>76</v>
      </c>
      <c r="H20" s="17">
        <v>4590</v>
      </c>
      <c r="I20">
        <f>IF(TbRegistroEntradas[[#This Row],[DATA DO CAIXA REALIZADO]]="",0,MONTH(TbRegistroEntradas[[#This Row],[DATA DO CAIXA REALIZADO]]))</f>
        <v>10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COMPETENCIA]]="",0,MONTH(TbRegistroEntradas[[#This Row],[DATA DA COMPETENCIA]]))</f>
        <v>10</v>
      </c>
      <c r="L20">
        <f>IF(TbRegistroEntradas[[#This Row],[DATA DA COMPETENCIA]]="",0,YEAR(TbRegistroEntradas[[#This Row],[DATA DA COMPETENCIA]]))</f>
        <v>2017</v>
      </c>
      <c r="M20">
        <f>IF(TbRegistroEntradas[[#This Row],[DATA DO CAIXA PREVISTA]]="",0,MONTH(TbRegistroEntradas[[#This Row],[DATA DO CAIXA PREVISTA]]))</f>
        <v>10</v>
      </c>
      <c r="N20">
        <f>IF(TbRegistroEntradas[[#This Row],[DATA DO CAIXA PREVISTA]]="",0,YEAR(TbRegistroEntradas[[#This Row],[DATA DO CAIXA PREVISTA]]))</f>
        <v>2017</v>
      </c>
      <c r="O20" t="str">
        <f ca="1">IF(AND(TbRegistroEntradas[[#This Row],[DATA DO CAIXA PREVISTA]]&lt;TODAY(),TbRegistroEntradas[[#This Row],[DATA DO CAIXA REALIZADO]]=""),"Vencida","Não Vencida")</f>
        <v>Não Vencida</v>
      </c>
      <c r="P20" t="str">
        <f>IF(TbRegistroEntradas[[#This Row],[DATA DA COMPETENCIA]]=TbRegistroEntradas[[#This Row],[DATA DO CAIXA PREVISTA INT]],"VISTA","PRAZO")</f>
        <v>PRAZO</v>
      </c>
      <c r="Q20" s="14">
        <f>INT(TbRegistroEntradas[[#This Row],[DATA DO CAIXA PREVISTA]])</f>
        <v>43025</v>
      </c>
      <c r="R2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" spans="2:18" x14ac:dyDescent="0.25">
      <c r="B21" s="14">
        <v>43052.454388600381</v>
      </c>
      <c r="C21" s="14">
        <v>43015</v>
      </c>
      <c r="D21" s="14">
        <v>43052.454388600381</v>
      </c>
      <c r="E21" t="s">
        <v>20</v>
      </c>
      <c r="F21" t="s">
        <v>46</v>
      </c>
      <c r="G21" t="s">
        <v>77</v>
      </c>
      <c r="H21" s="17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COMPETENCIA]]="",0,MONTH(TbRegistroEntradas[[#This Row],[DATA DA COMPETENCIA]]))</f>
        <v>10</v>
      </c>
      <c r="L21">
        <f>IF(TbRegistroEntradas[[#This Row],[DATA DA COMPETENCIA]]="",0,YEAR(TbRegistroEntradas[[#This Row],[DATA DA COMPETENCIA]]))</f>
        <v>2017</v>
      </c>
      <c r="M21">
        <f>IF(TbRegistroEntradas[[#This Row],[DATA DO CAIXA PREVISTA]]="",0,MONTH(TbRegistroEntradas[[#This Row],[DATA DO CAIXA PREVISTA]]))</f>
        <v>11</v>
      </c>
      <c r="N21">
        <f>IF(TbRegistroEntradas[[#This Row],[DATA DO CAIXA PREVISTA]]="",0,YEAR(TbRegistroEntradas[[#This Row],[DATA DO CAIXA PREVISTA]]))</f>
        <v>2017</v>
      </c>
      <c r="O21" t="str">
        <f ca="1">IF(AND(TbRegistroEntradas[[#This Row],[DATA DO CAIXA PREVISTA]]&lt;TODAY(),TbRegistroEntradas[[#This Row],[DATA DO CAIXA REALIZADO]]=""),"Vencida","Não Vencida")</f>
        <v>Não Vencida</v>
      </c>
      <c r="P21" t="str">
        <f>IF(TbRegistroEntradas[[#This Row],[DATA DA COMPETENCIA]]=TbRegistroEntradas[[#This Row],[DATA DO CAIXA PREVISTA INT]],"VISTA","PRAZO")</f>
        <v>PRAZO</v>
      </c>
      <c r="Q21" s="14">
        <f>INT(TbRegistroEntradas[[#This Row],[DATA DO CAIXA PREVISTA]])</f>
        <v>43052</v>
      </c>
      <c r="R2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2" spans="2:18" x14ac:dyDescent="0.25">
      <c r="B22" s="14" t="s">
        <v>68</v>
      </c>
      <c r="C22" s="14">
        <v>43017</v>
      </c>
      <c r="D22" s="14">
        <v>43043.298497771881</v>
      </c>
      <c r="E22" t="s">
        <v>20</v>
      </c>
      <c r="F22" t="s">
        <v>37</v>
      </c>
      <c r="G22" t="s">
        <v>78</v>
      </c>
      <c r="H22" s="17">
        <v>1171</v>
      </c>
      <c r="I22">
        <f>IF(TbRegistroEntradas[[#This Row],[DATA DO CAIXA REALIZADO]]="",0,MONTH(TbRegistroEntradas[[#This Row],[DATA DO CAIXA REALIZADO]]))</f>
        <v>0</v>
      </c>
      <c r="J22">
        <f>IF(TbRegistroEntradas[[#This Row],[DATA DO CAIXA REALIZADO]]="",0,YEAR(TbRegistroEntradas[[#This Row],[DATA DO CAIXA REALIZADO]]))</f>
        <v>0</v>
      </c>
      <c r="K22">
        <f>IF(TbRegistroEntradas[[#This Row],[DATA DA COMPETENCIA]]="",0,MONTH(TbRegistroEntradas[[#This Row],[DATA DA COMPETENCIA]]))</f>
        <v>10</v>
      </c>
      <c r="L22">
        <f>IF(TbRegistroEntradas[[#This Row],[DATA DA COMPETENCIA]]="",0,YEAR(TbRegistroEntradas[[#This Row],[DATA DA COMPETENCIA]]))</f>
        <v>2017</v>
      </c>
      <c r="M22">
        <f>IF(TbRegistroEntradas[[#This Row],[DATA DO CAIXA PREVISTA]]="",0,MONTH(TbRegistroEntradas[[#This Row],[DATA DO CAIXA PREVISTA]]))</f>
        <v>11</v>
      </c>
      <c r="N22">
        <f>IF(TbRegistroEntradas[[#This Row],[DATA DO CAIXA PREVISTA]]="",0,YEAR(TbRegistroEntradas[[#This Row],[DATA DO CAIXA PREVISTA]]))</f>
        <v>2017</v>
      </c>
      <c r="O22" t="str">
        <f ca="1">IF(AND(TbRegistroEntradas[[#This Row],[DATA DO CAIXA PREVISTA]]&lt;TODAY(),TbRegistroEntradas[[#This Row],[DATA DO CAIXA REALIZADO]]=""),"Vencida","Não Vencida")</f>
        <v>Vencida</v>
      </c>
      <c r="P22" t="str">
        <f>IF(TbRegistroEntradas[[#This Row],[DATA DA COMPETENCIA]]=TbRegistroEntradas[[#This Row],[DATA DO CAIXA PREVISTA INT]],"VISTA","PRAZO")</f>
        <v>PRAZO</v>
      </c>
      <c r="Q22" s="14">
        <f>INT(TbRegistroEntradas[[#This Row],[DATA DO CAIXA PREVISTA]])</f>
        <v>43043</v>
      </c>
      <c r="R22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23" spans="2:18" x14ac:dyDescent="0.25">
      <c r="B23" s="14">
        <v>43134.960630268302</v>
      </c>
      <c r="C23" s="14">
        <v>43019</v>
      </c>
      <c r="D23" s="14">
        <v>43060.909367737389</v>
      </c>
      <c r="E23" t="s">
        <v>20</v>
      </c>
      <c r="F23" t="s">
        <v>36</v>
      </c>
      <c r="G23" t="s">
        <v>79</v>
      </c>
      <c r="H23" s="17">
        <v>2587</v>
      </c>
      <c r="I23">
        <f>IF(TbRegistroEntradas[[#This Row],[DATA DO CAIXA REALIZADO]]="",0,MONTH(TbRegistroEntradas[[#This Row],[DATA DO CAIXA REALIZADO]]))</f>
        <v>2</v>
      </c>
      <c r="J23">
        <f>IF(TbRegistroEntradas[[#This Row],[DATA DO CAIXA REALIZADO]]="",0,YEAR(TbRegistroEntradas[[#This Row],[DATA DO CAIXA REALIZADO]]))</f>
        <v>2018</v>
      </c>
      <c r="K23">
        <f>IF(TbRegistroEntradas[[#This Row],[DATA DA COMPETENCIA]]="",0,MONTH(TbRegistroEntradas[[#This Row],[DATA DA COMPETENCIA]]))</f>
        <v>10</v>
      </c>
      <c r="L23">
        <f>IF(TbRegistroEntradas[[#This Row],[DATA DA COMPETENCIA]]="",0,YEAR(TbRegistroEntradas[[#This Row],[DATA DA COMPETENCIA]]))</f>
        <v>2017</v>
      </c>
      <c r="M23">
        <f>IF(TbRegistroEntradas[[#This Row],[DATA DO CAIXA PREVISTA]]="",0,MONTH(TbRegistroEntradas[[#This Row],[DATA DO CAIXA PREVISTA]]))</f>
        <v>11</v>
      </c>
      <c r="N23">
        <f>IF(TbRegistroEntradas[[#This Row],[DATA DO CAIXA PREVISTA]]="",0,YEAR(TbRegistroEntradas[[#This Row],[DATA DO CAIXA PREVISTA]]))</f>
        <v>2017</v>
      </c>
      <c r="O23" t="str">
        <f ca="1">IF(AND(TbRegistroEntradas[[#This Row],[DATA DO CAIXA PREVISTA]]&lt;TODAY(),TbRegistroEntradas[[#This Row],[DATA DO CAIXA REALIZADO]]=""),"Vencida","Não Vencida")</f>
        <v>Não Vencida</v>
      </c>
      <c r="P23" t="str">
        <f>IF(TbRegistroEntradas[[#This Row],[DATA DA COMPETENCIA]]=TbRegistroEntradas[[#This Row],[DATA DO CAIXA PREVISTA INT]],"VISTA","PRAZO")</f>
        <v>PRAZO</v>
      </c>
      <c r="Q23" s="14">
        <f>INT(TbRegistroEntradas[[#This Row],[DATA DO CAIXA PREVISTA]])</f>
        <v>43060</v>
      </c>
      <c r="R2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74.051262530912936</v>
      </c>
    </row>
    <row r="24" spans="2:18" x14ac:dyDescent="0.25">
      <c r="B24" s="14">
        <v>43045.105355406915</v>
      </c>
      <c r="C24" s="14">
        <v>43023</v>
      </c>
      <c r="D24" s="14">
        <v>43045.105355406915</v>
      </c>
      <c r="E24" t="s">
        <v>20</v>
      </c>
      <c r="F24" t="s">
        <v>36</v>
      </c>
      <c r="G24" t="s">
        <v>80</v>
      </c>
      <c r="H24" s="17">
        <v>3425</v>
      </c>
      <c r="I24">
        <f>IF(TbRegistroEntradas[[#This Row],[DATA DO CAIXA REALIZADO]]="",0,MONTH(TbRegistroEntradas[[#This Row],[DATA DO CAIXA REALIZADO]]))</f>
        <v>11</v>
      </c>
      <c r="J24">
        <f>IF(TbRegistroEntradas[[#This Row],[DATA DO CAIXA REALIZADO]]="",0,YEAR(TbRegistroEntradas[[#This Row],[DATA DO CAIXA REALIZADO]]))</f>
        <v>2017</v>
      </c>
      <c r="K24">
        <f>IF(TbRegistroEntradas[[#This Row],[DATA DA COMPETENCIA]]="",0,MONTH(TbRegistroEntradas[[#This Row],[DATA DA COMPETENCIA]]))</f>
        <v>10</v>
      </c>
      <c r="L24">
        <f>IF(TbRegistroEntradas[[#This Row],[DATA DA COMPETENCIA]]="",0,YEAR(TbRegistroEntradas[[#This Row],[DATA DA COMPETENCIA]]))</f>
        <v>2017</v>
      </c>
      <c r="M24">
        <f>IF(TbRegistroEntradas[[#This Row],[DATA DO CAIXA PREVISTA]]="",0,MONTH(TbRegistroEntradas[[#This Row],[DATA DO CAIXA PREVISTA]]))</f>
        <v>11</v>
      </c>
      <c r="N24">
        <f>IF(TbRegistroEntradas[[#This Row],[DATA DO CAIXA PREVISTA]]="",0,YEAR(TbRegistroEntradas[[#This Row],[DATA DO CAIXA PREVISTA]]))</f>
        <v>2017</v>
      </c>
      <c r="O24" t="str">
        <f ca="1">IF(AND(TbRegistroEntradas[[#This Row],[DATA DO CAIXA PREVISTA]]&lt;TODAY(),TbRegistroEntradas[[#This Row],[DATA DO CAIXA REALIZADO]]=""),"Vencida","Não Vencida")</f>
        <v>Não Vencida</v>
      </c>
      <c r="P24" t="str">
        <f>IF(TbRegistroEntradas[[#This Row],[DATA DA COMPETENCIA]]=TbRegistroEntradas[[#This Row],[DATA DO CAIXA PREVISTA INT]],"VISTA","PRAZO")</f>
        <v>PRAZO</v>
      </c>
      <c r="Q24" s="14">
        <f>INT(TbRegistroEntradas[[#This Row],[DATA DO CAIXA PREVISTA]])</f>
        <v>43045</v>
      </c>
      <c r="R2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5" spans="2:18" x14ac:dyDescent="0.25">
      <c r="B25" s="14">
        <v>43057.775638731524</v>
      </c>
      <c r="C25" s="14">
        <v>43026</v>
      </c>
      <c r="D25" s="14">
        <v>43057.775638731524</v>
      </c>
      <c r="E25" t="s">
        <v>20</v>
      </c>
      <c r="F25" t="s">
        <v>23</v>
      </c>
      <c r="G25" t="s">
        <v>81</v>
      </c>
      <c r="H25" s="17">
        <v>4454</v>
      </c>
      <c r="I25">
        <f>IF(TbRegistroEntradas[[#This Row],[DATA DO CAIXA REALIZADO]]="",0,MONTH(TbRegistroEntradas[[#This Row],[DATA DO CAIXA REALIZADO]]))</f>
        <v>11</v>
      </c>
      <c r="J25">
        <f>IF(TbRegistroEntradas[[#This Row],[DATA DO CAIXA REALIZADO]]="",0,YEAR(TbRegistroEntradas[[#This Row],[DATA DO CAIXA REALIZADO]]))</f>
        <v>2017</v>
      </c>
      <c r="K25">
        <f>IF(TbRegistroEntradas[[#This Row],[DATA DA COMPETENCIA]]="",0,MONTH(TbRegistroEntradas[[#This Row],[DATA DA COMPETENCIA]]))</f>
        <v>10</v>
      </c>
      <c r="L25">
        <f>IF(TbRegistroEntradas[[#This Row],[DATA DA COMPETENCIA]]="",0,YEAR(TbRegistroEntradas[[#This Row],[DATA DA COMPETENCIA]]))</f>
        <v>2017</v>
      </c>
      <c r="M25">
        <f>IF(TbRegistroEntradas[[#This Row],[DATA DO CAIXA PREVISTA]]="",0,MONTH(TbRegistroEntradas[[#This Row],[DATA DO CAIXA PREVISTA]]))</f>
        <v>11</v>
      </c>
      <c r="N25">
        <f>IF(TbRegistroEntradas[[#This Row],[DATA DO CAIXA PREVISTA]]="",0,YEAR(TbRegistroEntradas[[#This Row],[DATA DO CAIXA PREVISTA]]))</f>
        <v>2017</v>
      </c>
      <c r="O25" t="str">
        <f ca="1">IF(AND(TbRegistroEntradas[[#This Row],[DATA DO CAIXA PREVISTA]]&lt;TODAY(),TbRegistroEntradas[[#This Row],[DATA DO CAIXA REALIZADO]]=""),"Vencida","Não Vencida")</f>
        <v>Não Vencida</v>
      </c>
      <c r="P25" t="str">
        <f>IF(TbRegistroEntradas[[#This Row],[DATA DA COMPETENCIA]]=TbRegistroEntradas[[#This Row],[DATA DO CAIXA PREVISTA INT]],"VISTA","PRAZO")</f>
        <v>PRAZO</v>
      </c>
      <c r="Q25" s="14">
        <f>INT(TbRegistroEntradas[[#This Row],[DATA DO CAIXA PREVISTA]])</f>
        <v>43057</v>
      </c>
      <c r="R2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6" spans="2:18" x14ac:dyDescent="0.25">
      <c r="B26" s="14">
        <v>43037.453877289088</v>
      </c>
      <c r="C26" s="14">
        <v>43030</v>
      </c>
      <c r="D26" s="14">
        <v>43037.453877289088</v>
      </c>
      <c r="E26" t="s">
        <v>20</v>
      </c>
      <c r="F26" t="s">
        <v>37</v>
      </c>
      <c r="G26" t="s">
        <v>82</v>
      </c>
      <c r="H26" s="17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COMPETENCIA]]="",0,MONTH(TbRegistroEntradas[[#This Row],[DATA DA COMPETENCIA]]))</f>
        <v>10</v>
      </c>
      <c r="L26">
        <f>IF(TbRegistroEntradas[[#This Row],[DATA DA COMPETENCIA]]="",0,YEAR(TbRegistroEntradas[[#This Row],[DATA DA COMPETENCIA]]))</f>
        <v>2017</v>
      </c>
      <c r="M26">
        <f>IF(TbRegistroEntradas[[#This Row],[DATA DO CAIXA PREVISTA]]="",0,MONTH(TbRegistroEntradas[[#This Row],[DATA DO CAIXA PREVISTA]]))</f>
        <v>10</v>
      </c>
      <c r="N26">
        <f>IF(TbRegistroEntradas[[#This Row],[DATA DO CAIXA PREVISTA]]="",0,YEAR(TbRegistroEntradas[[#This Row],[DATA DO CAIXA PREVISTA]]))</f>
        <v>2017</v>
      </c>
      <c r="O26" t="str">
        <f ca="1">IF(AND(TbRegistroEntradas[[#This Row],[DATA DO CAIXA PREVISTA]]&lt;TODAY(),TbRegistroEntradas[[#This Row],[DATA DO CAIXA REALIZADO]]=""),"Vencida","Não Vencida")</f>
        <v>Não Vencida</v>
      </c>
      <c r="P26" t="str">
        <f>IF(TbRegistroEntradas[[#This Row],[DATA DA COMPETENCIA]]=TbRegistroEntradas[[#This Row],[DATA DO CAIXA PREVISTA INT]],"VISTA","PRAZO")</f>
        <v>PRAZO</v>
      </c>
      <c r="Q26" s="14">
        <f>INT(TbRegistroEntradas[[#This Row],[DATA DO CAIXA PREVISTA]])</f>
        <v>43037</v>
      </c>
      <c r="R2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7" spans="2:18" x14ac:dyDescent="0.25">
      <c r="B27" s="14">
        <v>43086.43235653804</v>
      </c>
      <c r="C27" s="14">
        <v>43032</v>
      </c>
      <c r="D27" s="14">
        <v>43058.598248659349</v>
      </c>
      <c r="E27" t="s">
        <v>20</v>
      </c>
      <c r="F27" t="s">
        <v>46</v>
      </c>
      <c r="G27" t="s">
        <v>83</v>
      </c>
      <c r="H27" s="17">
        <v>257</v>
      </c>
      <c r="I27">
        <f>IF(TbRegistroEntradas[[#This Row],[DATA DO CAIXA REALIZADO]]="",0,MONTH(TbRegistroEntradas[[#This Row],[DATA DO CAIXA REALIZADO]]))</f>
        <v>12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COMPETENCIA]]="",0,MONTH(TbRegistroEntradas[[#This Row],[DATA DA COMPETENCIA]]))</f>
        <v>10</v>
      </c>
      <c r="L27">
        <f>IF(TbRegistroEntradas[[#This Row],[DATA DA COMPETENCIA]]="",0,YEAR(TbRegistroEntradas[[#This Row],[DATA DA COMPETENCIA]]))</f>
        <v>2017</v>
      </c>
      <c r="M27">
        <f>IF(TbRegistroEntradas[[#This Row],[DATA DO CAIXA PREVISTA]]="",0,MONTH(TbRegistroEntradas[[#This Row],[DATA DO CAIXA PREVISTA]]))</f>
        <v>11</v>
      </c>
      <c r="N27">
        <f>IF(TbRegistroEntradas[[#This Row],[DATA DO CAIXA PREVISTA]]="",0,YEAR(TbRegistroEntradas[[#This Row],[DATA DO CAIXA PREVISTA]]))</f>
        <v>2017</v>
      </c>
      <c r="O27" t="str">
        <f ca="1">IF(AND(TbRegistroEntradas[[#This Row],[DATA DO CAIXA PREVISTA]]&lt;TODAY(),TbRegistroEntradas[[#This Row],[DATA DO CAIXA REALIZADO]]=""),"Vencida","Não Vencida")</f>
        <v>Não Vencida</v>
      </c>
      <c r="P27" t="str">
        <f>IF(TbRegistroEntradas[[#This Row],[DATA DA COMPETENCIA]]=TbRegistroEntradas[[#This Row],[DATA DO CAIXA PREVISTA INT]],"VISTA","PRAZO")</f>
        <v>PRAZO</v>
      </c>
      <c r="Q27" s="14">
        <f>INT(TbRegistroEntradas[[#This Row],[DATA DO CAIXA PREVISTA]])</f>
        <v>43058</v>
      </c>
      <c r="R2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27.834107878690702</v>
      </c>
    </row>
    <row r="28" spans="2:18" x14ac:dyDescent="0.25">
      <c r="B28" s="14">
        <v>43068.089414353737</v>
      </c>
      <c r="C28" s="14">
        <v>43032</v>
      </c>
      <c r="D28" s="14">
        <v>43068.089414353737</v>
      </c>
      <c r="E28" t="s">
        <v>20</v>
      </c>
      <c r="F28" t="s">
        <v>38</v>
      </c>
      <c r="G28" t="s">
        <v>84</v>
      </c>
      <c r="H28" s="17">
        <v>2019</v>
      </c>
      <c r="I28">
        <f>IF(TbRegistroEntradas[[#This Row],[DATA DO CAIXA REALIZADO]]="",0,MONTH(TbRegistroEntradas[[#This Row],[DATA DO CAIXA REALIZADO]]))</f>
        <v>11</v>
      </c>
      <c r="J28">
        <f>IF(TbRegistroEntradas[[#This Row],[DATA DO CAIXA REALIZADO]]="",0,YEAR(TbRegistroEntradas[[#This Row],[DATA DO CAIXA REALIZADO]]))</f>
        <v>2017</v>
      </c>
      <c r="K28">
        <f>IF(TbRegistroEntradas[[#This Row],[DATA DA COMPETENCIA]]="",0,MONTH(TbRegistroEntradas[[#This Row],[DATA DA COMPETENCIA]]))</f>
        <v>10</v>
      </c>
      <c r="L28">
        <f>IF(TbRegistroEntradas[[#This Row],[DATA DA COMPETENCIA]]="",0,YEAR(TbRegistroEntradas[[#This Row],[DATA DA COMPETENCIA]]))</f>
        <v>2017</v>
      </c>
      <c r="M28">
        <f>IF(TbRegistroEntradas[[#This Row],[DATA DO CAIXA PREVISTA]]="",0,MONTH(TbRegistroEntradas[[#This Row],[DATA DO CAIXA PREVISTA]]))</f>
        <v>11</v>
      </c>
      <c r="N28">
        <f>IF(TbRegistroEntradas[[#This Row],[DATA DO CAIXA PREVISTA]]="",0,YEAR(TbRegistroEntradas[[#This Row],[DATA DO CAIXA PREVISTA]]))</f>
        <v>2017</v>
      </c>
      <c r="O28" t="str">
        <f ca="1">IF(AND(TbRegistroEntradas[[#This Row],[DATA DO CAIXA PREVISTA]]&lt;TODAY(),TbRegistroEntradas[[#This Row],[DATA DO CAIXA REALIZADO]]=""),"Vencida","Não Vencida")</f>
        <v>Não Vencida</v>
      </c>
      <c r="P28" t="str">
        <f>IF(TbRegistroEntradas[[#This Row],[DATA DA COMPETENCIA]]=TbRegistroEntradas[[#This Row],[DATA DO CAIXA PREVISTA INT]],"VISTA","PRAZO")</f>
        <v>PRAZO</v>
      </c>
      <c r="Q28" s="14">
        <f>INT(TbRegistroEntradas[[#This Row],[DATA DO CAIXA PREVISTA]])</f>
        <v>43068</v>
      </c>
      <c r="R2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9" spans="2:18" x14ac:dyDescent="0.25">
      <c r="B29" s="14">
        <v>43091.729186681107</v>
      </c>
      <c r="C29" s="14">
        <v>43034</v>
      </c>
      <c r="D29" s="14">
        <v>43091.729186681107</v>
      </c>
      <c r="E29" t="s">
        <v>20</v>
      </c>
      <c r="F29" t="s">
        <v>36</v>
      </c>
      <c r="G29" t="s">
        <v>85</v>
      </c>
      <c r="H29" s="17">
        <v>3696</v>
      </c>
      <c r="I29">
        <f>IF(TbRegistroEntradas[[#This Row],[DATA DO CAIXA REALIZADO]]="",0,MONTH(TbRegistroEntradas[[#This Row],[DATA DO CAIXA REALIZADO]]))</f>
        <v>12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COMPETENCIA]]="",0,MONTH(TbRegistroEntradas[[#This Row],[DATA DA COMPETENCIA]]))</f>
        <v>10</v>
      </c>
      <c r="L29">
        <f>IF(TbRegistroEntradas[[#This Row],[DATA DA COMPETENCIA]]="",0,YEAR(TbRegistroEntradas[[#This Row],[DATA DA COMPETENCIA]]))</f>
        <v>2017</v>
      </c>
      <c r="M29">
        <f>IF(TbRegistroEntradas[[#This Row],[DATA DO CAIXA PREVISTA]]="",0,MONTH(TbRegistroEntradas[[#This Row],[DATA DO CAIXA PREVISTA]]))</f>
        <v>12</v>
      </c>
      <c r="N29">
        <f>IF(TbRegistroEntradas[[#This Row],[DATA DO CAIXA PREVISTA]]="",0,YEAR(TbRegistroEntradas[[#This Row],[DATA DO CAIXA PREVISTA]]))</f>
        <v>2017</v>
      </c>
      <c r="O29" t="str">
        <f ca="1">IF(AND(TbRegistroEntradas[[#This Row],[DATA DO CAIXA PREVISTA]]&lt;TODAY(),TbRegistroEntradas[[#This Row],[DATA DO CAIXA REALIZADO]]=""),"Vencida","Não Vencida")</f>
        <v>Não Vencida</v>
      </c>
      <c r="P29" t="str">
        <f>IF(TbRegistroEntradas[[#This Row],[DATA DA COMPETENCIA]]=TbRegistroEntradas[[#This Row],[DATA DO CAIXA PREVISTA INT]],"VISTA","PRAZO")</f>
        <v>PRAZO</v>
      </c>
      <c r="Q29" s="14">
        <f>INT(TbRegistroEntradas[[#This Row],[DATA DO CAIXA PREVISTA]])</f>
        <v>43091</v>
      </c>
      <c r="R2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0" spans="2:18" x14ac:dyDescent="0.25">
      <c r="B30" s="14">
        <v>43052.461098465239</v>
      </c>
      <c r="C30" s="14">
        <v>43038</v>
      </c>
      <c r="D30" s="14">
        <v>43052.461099537039</v>
      </c>
      <c r="E30" t="s">
        <v>20</v>
      </c>
      <c r="F30" t="s">
        <v>38</v>
      </c>
      <c r="G30" t="s">
        <v>86</v>
      </c>
      <c r="H30" s="17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COMPETENCIA]]="",0,MONTH(TbRegistroEntradas[[#This Row],[DATA DA COMPETENCIA]]))</f>
        <v>10</v>
      </c>
      <c r="L30">
        <f>IF(TbRegistroEntradas[[#This Row],[DATA DA COMPETENCIA]]="",0,YEAR(TbRegistroEntradas[[#This Row],[DATA DA COMPETENCIA]]))</f>
        <v>2017</v>
      </c>
      <c r="M30">
        <f>IF(TbRegistroEntradas[[#This Row],[DATA DO CAIXA PREVISTA]]="",0,MONTH(TbRegistroEntradas[[#This Row],[DATA DO CAIXA PREVISTA]]))</f>
        <v>11</v>
      </c>
      <c r="N30">
        <f>IF(TbRegistroEntradas[[#This Row],[DATA DO CAIXA PREVISTA]]="",0,YEAR(TbRegistroEntradas[[#This Row],[DATA DO CAIXA PREVISTA]]))</f>
        <v>2017</v>
      </c>
      <c r="O30" t="str">
        <f ca="1">IF(AND(TbRegistroEntradas[[#This Row],[DATA DO CAIXA PREVISTA]]&lt;TODAY(),TbRegistroEntradas[[#This Row],[DATA DO CAIXA REALIZADO]]=""),"Vencida","Não Vencida")</f>
        <v>Não Vencida</v>
      </c>
      <c r="P30" t="str">
        <f>IF(TbRegistroEntradas[[#This Row],[DATA DA COMPETENCIA]]=TbRegistroEntradas[[#This Row],[DATA DO CAIXA PREVISTA INT]],"VISTA","PRAZO")</f>
        <v>PRAZO</v>
      </c>
      <c r="Q30" s="14">
        <f>INT(TbRegistroEntradas[[#This Row],[DATA DO CAIXA PREVISTA]])</f>
        <v>43052</v>
      </c>
      <c r="R3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1" spans="2:18" x14ac:dyDescent="0.25">
      <c r="B31" s="14">
        <v>43057.597589016004</v>
      </c>
      <c r="C31" s="14">
        <v>43040</v>
      </c>
      <c r="D31" s="14">
        <v>43057.597589016004</v>
      </c>
      <c r="E31" t="s">
        <v>20</v>
      </c>
      <c r="F31" t="s">
        <v>38</v>
      </c>
      <c r="G31" t="s">
        <v>87</v>
      </c>
      <c r="H31" s="17">
        <v>1445</v>
      </c>
      <c r="I31">
        <f>IF(TbRegistroEntradas[[#This Row],[DATA DO CAIXA REALIZADO]]="",0,MONTH(TbRegistroEntradas[[#This Row],[DATA DO CAIXA REALIZADO]]))</f>
        <v>11</v>
      </c>
      <c r="J31">
        <f>IF(TbRegistroEntradas[[#This Row],[DATA DO CAIXA REALIZADO]]="",0,YEAR(TbRegistroEntradas[[#This Row],[DATA DO CAIXA REALIZADO]]))</f>
        <v>2017</v>
      </c>
      <c r="K31">
        <f>IF(TbRegistroEntradas[[#This Row],[DATA DA COMPETENCIA]]="",0,MONTH(TbRegistroEntradas[[#This Row],[DATA DA COMPETENCIA]]))</f>
        <v>11</v>
      </c>
      <c r="L31">
        <f>IF(TbRegistroEntradas[[#This Row],[DATA DA COMPETENCIA]]="",0,YEAR(TbRegistroEntradas[[#This Row],[DATA DA COMPETENCIA]]))</f>
        <v>2017</v>
      </c>
      <c r="M31">
        <f>IF(TbRegistroEntradas[[#This Row],[DATA DO CAIXA PREVISTA]]="",0,MONTH(TbRegistroEntradas[[#This Row],[DATA DO CAIXA PREVISTA]]))</f>
        <v>11</v>
      </c>
      <c r="N31">
        <f>IF(TbRegistroEntradas[[#This Row],[DATA DO CAIXA PREVISTA]]="",0,YEAR(TbRegistroEntradas[[#This Row],[DATA DO CAIXA PREVISTA]]))</f>
        <v>2017</v>
      </c>
      <c r="O31" t="str">
        <f ca="1">IF(AND(TbRegistroEntradas[[#This Row],[DATA DO CAIXA PREVISTA]]&lt;TODAY(),TbRegistroEntradas[[#This Row],[DATA DO CAIXA REALIZADO]]=""),"Vencida","Não Vencida")</f>
        <v>Não Vencida</v>
      </c>
      <c r="P31" t="str">
        <f>IF(TbRegistroEntradas[[#This Row],[DATA DA COMPETENCIA]]=TbRegistroEntradas[[#This Row],[DATA DO CAIXA PREVISTA INT]],"VISTA","PRAZO")</f>
        <v>PRAZO</v>
      </c>
      <c r="Q31" s="14">
        <f>INT(TbRegistroEntradas[[#This Row],[DATA DO CAIXA PREVISTA]])</f>
        <v>43057</v>
      </c>
      <c r="R3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2" spans="2:18" x14ac:dyDescent="0.25">
      <c r="B32" s="14">
        <v>43082.490898737618</v>
      </c>
      <c r="C32" s="14">
        <v>43043</v>
      </c>
      <c r="D32" s="14">
        <v>43068.583109095191</v>
      </c>
      <c r="E32" t="s">
        <v>20</v>
      </c>
      <c r="F32" t="s">
        <v>37</v>
      </c>
      <c r="G32" t="s">
        <v>88</v>
      </c>
      <c r="H32" s="17">
        <v>3559</v>
      </c>
      <c r="I32">
        <f>IF(TbRegistroEntradas[[#This Row],[DATA DO CAIXA REALIZADO]]="",0,MONTH(TbRegistroEntradas[[#This Row],[DATA DO CAIXA REALIZADO]]))</f>
        <v>12</v>
      </c>
      <c r="J32">
        <f>IF(TbRegistroEntradas[[#This Row],[DATA DO CAIXA REALIZADO]]="",0,YEAR(TbRegistroEntradas[[#This Row],[DATA DO CAIXA REALIZADO]]))</f>
        <v>2017</v>
      </c>
      <c r="K32">
        <f>IF(TbRegistroEntradas[[#This Row],[DATA DA COMPETENCIA]]="",0,MONTH(TbRegistroEntradas[[#This Row],[DATA DA COMPETENCIA]]))</f>
        <v>11</v>
      </c>
      <c r="L32">
        <f>IF(TbRegistroEntradas[[#This Row],[DATA DA COMPETENCIA]]="",0,YEAR(TbRegistroEntradas[[#This Row],[DATA DA COMPETENCIA]]))</f>
        <v>2017</v>
      </c>
      <c r="M32">
        <f>IF(TbRegistroEntradas[[#This Row],[DATA DO CAIXA PREVISTA]]="",0,MONTH(TbRegistroEntradas[[#This Row],[DATA DO CAIXA PREVISTA]]))</f>
        <v>11</v>
      </c>
      <c r="N32">
        <f>IF(TbRegistroEntradas[[#This Row],[DATA DO CAIXA PREVISTA]]="",0,YEAR(TbRegistroEntradas[[#This Row],[DATA DO CAIXA PREVISTA]]))</f>
        <v>2017</v>
      </c>
      <c r="O32" t="str">
        <f ca="1">IF(AND(TbRegistroEntradas[[#This Row],[DATA DO CAIXA PREVISTA]]&lt;TODAY(),TbRegistroEntradas[[#This Row],[DATA DO CAIXA REALIZADO]]=""),"Vencida","Não Vencida")</f>
        <v>Não Vencida</v>
      </c>
      <c r="P32" t="str">
        <f>IF(TbRegistroEntradas[[#This Row],[DATA DA COMPETENCIA]]=TbRegistroEntradas[[#This Row],[DATA DO CAIXA PREVISTA INT]],"VISTA","PRAZO")</f>
        <v>PRAZO</v>
      </c>
      <c r="Q32" s="14">
        <f>INT(TbRegistroEntradas[[#This Row],[DATA DO CAIXA PREVISTA]])</f>
        <v>43068</v>
      </c>
      <c r="R3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13.907789642427815</v>
      </c>
    </row>
    <row r="33" spans="2:18" x14ac:dyDescent="0.25">
      <c r="B33" s="14">
        <v>43073.038025931273</v>
      </c>
      <c r="C33" s="14">
        <v>43047</v>
      </c>
      <c r="D33" s="14">
        <v>43053.702992393824</v>
      </c>
      <c r="E33" t="s">
        <v>20</v>
      </c>
      <c r="F33" t="s">
        <v>36</v>
      </c>
      <c r="G33" t="s">
        <v>89</v>
      </c>
      <c r="H33" s="17">
        <v>547</v>
      </c>
      <c r="I33">
        <f>IF(TbRegistroEntradas[[#This Row],[DATA DO CAIXA REALIZADO]]="",0,MONTH(TbRegistroEntradas[[#This Row],[DATA DO CAIXA REALIZADO]]))</f>
        <v>12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COMPETENCIA]]="",0,MONTH(TbRegistroEntradas[[#This Row],[DATA DA COMPETENCIA]]))</f>
        <v>11</v>
      </c>
      <c r="L33">
        <f>IF(TbRegistroEntradas[[#This Row],[DATA DA COMPETENCIA]]="",0,YEAR(TbRegistroEntradas[[#This Row],[DATA DA COMPETENCIA]]))</f>
        <v>2017</v>
      </c>
      <c r="M33">
        <f>IF(TbRegistroEntradas[[#This Row],[DATA DO CAIXA PREVISTA]]="",0,MONTH(TbRegistroEntradas[[#This Row],[DATA DO CAIXA PREVISTA]]))</f>
        <v>11</v>
      </c>
      <c r="N33">
        <f>IF(TbRegistroEntradas[[#This Row],[DATA DO CAIXA PREVISTA]]="",0,YEAR(TbRegistroEntradas[[#This Row],[DATA DO CAIXA PREVISTA]]))</f>
        <v>2017</v>
      </c>
      <c r="O33" t="str">
        <f ca="1">IF(AND(TbRegistroEntradas[[#This Row],[DATA DO CAIXA PREVISTA]]&lt;TODAY(),TbRegistroEntradas[[#This Row],[DATA DO CAIXA REALIZADO]]=""),"Vencida","Não Vencida")</f>
        <v>Não Vencida</v>
      </c>
      <c r="P33" t="str">
        <f>IF(TbRegistroEntradas[[#This Row],[DATA DA COMPETENCIA]]=TbRegistroEntradas[[#This Row],[DATA DO CAIXA PREVISTA INT]],"VISTA","PRAZO")</f>
        <v>PRAZO</v>
      </c>
      <c r="Q33" s="14">
        <f>INT(TbRegistroEntradas[[#This Row],[DATA DO CAIXA PREVISTA]])</f>
        <v>43053</v>
      </c>
      <c r="R3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19.335033537448908</v>
      </c>
    </row>
    <row r="34" spans="2:18" x14ac:dyDescent="0.25">
      <c r="B34" s="14">
        <v>43090.51661478445</v>
      </c>
      <c r="C34" s="14">
        <v>43051</v>
      </c>
      <c r="D34" s="14">
        <v>43090.51661478445</v>
      </c>
      <c r="E34" t="s">
        <v>20</v>
      </c>
      <c r="F34" t="s">
        <v>36</v>
      </c>
      <c r="G34" t="s">
        <v>90</v>
      </c>
      <c r="H34" s="17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COMPETENCIA]]="",0,MONTH(TbRegistroEntradas[[#This Row],[DATA DA COMPETENCIA]]))</f>
        <v>11</v>
      </c>
      <c r="L34">
        <f>IF(TbRegistroEntradas[[#This Row],[DATA DA COMPETENCIA]]="",0,YEAR(TbRegistroEntradas[[#This Row],[DATA DA COMPETENCIA]]))</f>
        <v>2017</v>
      </c>
      <c r="M34">
        <f>IF(TbRegistroEntradas[[#This Row],[DATA DO CAIXA PREVISTA]]="",0,MONTH(TbRegistroEntradas[[#This Row],[DATA DO CAIXA PREVISTA]]))</f>
        <v>12</v>
      </c>
      <c r="N34">
        <f>IF(TbRegistroEntradas[[#This Row],[DATA DO CAIXA PREVISTA]]="",0,YEAR(TbRegistroEntradas[[#This Row],[DATA DO CAIXA PREVISTA]]))</f>
        <v>2017</v>
      </c>
      <c r="O34" t="str">
        <f ca="1">IF(AND(TbRegistroEntradas[[#This Row],[DATA DO CAIXA PREVISTA]]&lt;TODAY(),TbRegistroEntradas[[#This Row],[DATA DO CAIXA REALIZADO]]=""),"Vencida","Não Vencida")</f>
        <v>Não Vencida</v>
      </c>
      <c r="P34" t="str">
        <f>IF(TbRegistroEntradas[[#This Row],[DATA DA COMPETENCIA]]=TbRegistroEntradas[[#This Row],[DATA DO CAIXA PREVISTA INT]],"VISTA","PRAZO")</f>
        <v>PRAZO</v>
      </c>
      <c r="Q34" s="14">
        <f>INT(TbRegistroEntradas[[#This Row],[DATA DO CAIXA PREVISTA]])</f>
        <v>43090</v>
      </c>
      <c r="R3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5" spans="2:18" x14ac:dyDescent="0.25">
      <c r="B35" s="14">
        <v>43130.815754318886</v>
      </c>
      <c r="C35" s="14">
        <v>43053</v>
      </c>
      <c r="D35" s="14">
        <v>43101.638058855067</v>
      </c>
      <c r="E35" t="s">
        <v>20</v>
      </c>
      <c r="F35" t="s">
        <v>38</v>
      </c>
      <c r="G35" t="s">
        <v>91</v>
      </c>
      <c r="H35" s="17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COMPETENCIA]]="",0,MONTH(TbRegistroEntradas[[#This Row],[DATA DA COMPETENCIA]]))</f>
        <v>11</v>
      </c>
      <c r="L35">
        <f>IF(TbRegistroEntradas[[#This Row],[DATA DA COMPETENCIA]]="",0,YEAR(TbRegistroEntradas[[#This Row],[DATA DA COMPETENCIA]]))</f>
        <v>2017</v>
      </c>
      <c r="M35">
        <f>IF(TbRegistroEntradas[[#This Row],[DATA DO CAIXA PREVISTA]]="",0,MONTH(TbRegistroEntradas[[#This Row],[DATA DO CAIXA PREVISTA]]))</f>
        <v>1</v>
      </c>
      <c r="N35">
        <f>IF(TbRegistroEntradas[[#This Row],[DATA DO CAIXA PREVISTA]]="",0,YEAR(TbRegistroEntradas[[#This Row],[DATA DO CAIXA PREVISTA]]))</f>
        <v>2018</v>
      </c>
      <c r="O35" t="str">
        <f ca="1">IF(AND(TbRegistroEntradas[[#This Row],[DATA DO CAIXA PREVISTA]]&lt;TODAY(),TbRegistroEntradas[[#This Row],[DATA DO CAIXA REALIZADO]]=""),"Vencida","Não Vencida")</f>
        <v>Não Vencida</v>
      </c>
      <c r="P35" t="str">
        <f>IF(TbRegistroEntradas[[#This Row],[DATA DA COMPETENCIA]]=TbRegistroEntradas[[#This Row],[DATA DO CAIXA PREVISTA INT]],"VISTA","PRAZO")</f>
        <v>PRAZO</v>
      </c>
      <c r="Q35" s="14">
        <f>INT(TbRegistroEntradas[[#This Row],[DATA DO CAIXA PREVISTA]])</f>
        <v>43101</v>
      </c>
      <c r="R3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29.177695463818964</v>
      </c>
    </row>
    <row r="36" spans="2:18" x14ac:dyDescent="0.25">
      <c r="B36" s="14">
        <v>43081.249044856137</v>
      </c>
      <c r="C36" s="14">
        <v>43055</v>
      </c>
      <c r="D36" s="14">
        <v>43081.249044856137</v>
      </c>
      <c r="E36" t="s">
        <v>20</v>
      </c>
      <c r="F36" t="s">
        <v>36</v>
      </c>
      <c r="G36" t="s">
        <v>92</v>
      </c>
      <c r="H36" s="17">
        <v>3714</v>
      </c>
      <c r="I36">
        <f>IF(TbRegistroEntradas[[#This Row],[DATA DO CAIXA REALIZADO]]="",0,MONTH(TbRegistroEntradas[[#This Row],[DATA DO CAIXA REALIZADO]]))</f>
        <v>12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COMPETENCIA]]="",0,MONTH(TbRegistroEntradas[[#This Row],[DATA DA COMPETENCIA]]))</f>
        <v>11</v>
      </c>
      <c r="L36">
        <f>IF(TbRegistroEntradas[[#This Row],[DATA DA COMPETENCIA]]="",0,YEAR(TbRegistroEntradas[[#This Row],[DATA DA COMPETENCIA]]))</f>
        <v>2017</v>
      </c>
      <c r="M36">
        <f>IF(TbRegistroEntradas[[#This Row],[DATA DO CAIXA PREVISTA]]="",0,MONTH(TbRegistroEntradas[[#This Row],[DATA DO CAIXA PREVISTA]]))</f>
        <v>12</v>
      </c>
      <c r="N36">
        <f>IF(TbRegistroEntradas[[#This Row],[DATA DO CAIXA PREVISTA]]="",0,YEAR(TbRegistroEntradas[[#This Row],[DATA DO CAIXA PREVISTA]]))</f>
        <v>2017</v>
      </c>
      <c r="O36" t="str">
        <f ca="1">IF(AND(TbRegistroEntradas[[#This Row],[DATA DO CAIXA PREVISTA]]&lt;TODAY(),TbRegistroEntradas[[#This Row],[DATA DO CAIXA REALIZADO]]=""),"Vencida","Não Vencida")</f>
        <v>Não Vencida</v>
      </c>
      <c r="P36" t="str">
        <f>IF(TbRegistroEntradas[[#This Row],[DATA DA COMPETENCIA]]=TbRegistroEntradas[[#This Row],[DATA DO CAIXA PREVISTA INT]],"VISTA","PRAZO")</f>
        <v>PRAZO</v>
      </c>
      <c r="Q36" s="14">
        <f>INT(TbRegistroEntradas[[#This Row],[DATA DO CAIXA PREVISTA]])</f>
        <v>43081</v>
      </c>
      <c r="R3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7" spans="2:18" x14ac:dyDescent="0.25">
      <c r="B37" s="14">
        <v>43101.376481739084</v>
      </c>
      <c r="C37" s="14">
        <v>43057</v>
      </c>
      <c r="D37" s="14">
        <v>43101.376481739084</v>
      </c>
      <c r="E37" t="s">
        <v>20</v>
      </c>
      <c r="F37" t="s">
        <v>46</v>
      </c>
      <c r="G37" t="s">
        <v>93</v>
      </c>
      <c r="H37" s="17">
        <v>4843</v>
      </c>
      <c r="I37">
        <f>IF(TbRegistroEntradas[[#This Row],[DATA DO CAIXA REALIZADO]]="",0,MONTH(TbRegistroEntradas[[#This Row],[DATA DO CAIXA REALIZADO]]))</f>
        <v>1</v>
      </c>
      <c r="J37">
        <f>IF(TbRegistroEntradas[[#This Row],[DATA DO CAIXA REALIZADO]]="",0,YEAR(TbRegistroEntradas[[#This Row],[DATA DO CAIXA REALIZADO]]))</f>
        <v>2018</v>
      </c>
      <c r="K37">
        <f>IF(TbRegistroEntradas[[#This Row],[DATA DA COMPETENCIA]]="",0,MONTH(TbRegistroEntradas[[#This Row],[DATA DA COMPETENCIA]]))</f>
        <v>11</v>
      </c>
      <c r="L37">
        <f>IF(TbRegistroEntradas[[#This Row],[DATA DA COMPETENCIA]]="",0,YEAR(TbRegistroEntradas[[#This Row],[DATA DA COMPETENCIA]]))</f>
        <v>2017</v>
      </c>
      <c r="M37">
        <f>IF(TbRegistroEntradas[[#This Row],[DATA DO CAIXA PREVISTA]]="",0,MONTH(TbRegistroEntradas[[#This Row],[DATA DO CAIXA PREVISTA]]))</f>
        <v>1</v>
      </c>
      <c r="N37">
        <f>IF(TbRegistroEntradas[[#This Row],[DATA DO CAIXA PREVISTA]]="",0,YEAR(TbRegistroEntradas[[#This Row],[DATA DO CAIXA PREVISTA]]))</f>
        <v>2018</v>
      </c>
      <c r="O37" t="str">
        <f ca="1">IF(AND(TbRegistroEntradas[[#This Row],[DATA DO CAIXA PREVISTA]]&lt;TODAY(),TbRegistroEntradas[[#This Row],[DATA DO CAIXA REALIZADO]]=""),"Vencida","Não Vencida")</f>
        <v>Não Vencida</v>
      </c>
      <c r="P37" t="str">
        <f>IF(TbRegistroEntradas[[#This Row],[DATA DA COMPETENCIA]]=TbRegistroEntradas[[#This Row],[DATA DO CAIXA PREVISTA INT]],"VISTA","PRAZO")</f>
        <v>PRAZO</v>
      </c>
      <c r="Q37" s="14">
        <f>INT(TbRegistroEntradas[[#This Row],[DATA DO CAIXA PREVISTA]])</f>
        <v>43101</v>
      </c>
      <c r="R3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38" spans="2:18" x14ac:dyDescent="0.25">
      <c r="B38" s="14">
        <v>43151.25396646517</v>
      </c>
      <c r="C38" s="14">
        <v>43058</v>
      </c>
      <c r="D38" s="14">
        <v>43090.626109903205</v>
      </c>
      <c r="E38" t="s">
        <v>20</v>
      </c>
      <c r="F38" t="s">
        <v>23</v>
      </c>
      <c r="G38" t="s">
        <v>94</v>
      </c>
      <c r="H38" s="17">
        <v>4831</v>
      </c>
      <c r="I38">
        <f>IF(TbRegistroEntradas[[#This Row],[DATA DO CAIXA REALIZADO]]="",0,MONTH(TbRegistroEntradas[[#This Row],[DATA DO CAIXA REALIZADO]]))</f>
        <v>2</v>
      </c>
      <c r="J38">
        <f>IF(TbRegistroEntradas[[#This Row],[DATA DO CAIXA REALIZADO]]="",0,YEAR(TbRegistroEntradas[[#This Row],[DATA DO CAIXA REALIZADO]]))</f>
        <v>2018</v>
      </c>
      <c r="K38">
        <f>IF(TbRegistroEntradas[[#This Row],[DATA DA COMPETENCIA]]="",0,MONTH(TbRegistroEntradas[[#This Row],[DATA DA COMPETENCIA]]))</f>
        <v>11</v>
      </c>
      <c r="L38">
        <f>IF(TbRegistroEntradas[[#This Row],[DATA DA COMPETENCIA]]="",0,YEAR(TbRegistroEntradas[[#This Row],[DATA DA COMPETENCIA]]))</f>
        <v>2017</v>
      </c>
      <c r="M38">
        <f>IF(TbRegistroEntradas[[#This Row],[DATA DO CAIXA PREVISTA]]="",0,MONTH(TbRegistroEntradas[[#This Row],[DATA DO CAIXA PREVISTA]]))</f>
        <v>12</v>
      </c>
      <c r="N38">
        <f>IF(TbRegistroEntradas[[#This Row],[DATA DO CAIXA PREVISTA]]="",0,YEAR(TbRegistroEntradas[[#This Row],[DATA DO CAIXA PREVISTA]]))</f>
        <v>2017</v>
      </c>
      <c r="O38" t="str">
        <f ca="1">IF(AND(TbRegistroEntradas[[#This Row],[DATA DO CAIXA PREVISTA]]&lt;TODAY(),TbRegistroEntradas[[#This Row],[DATA DO CAIXA REALIZADO]]=""),"Vencida","Não Vencida")</f>
        <v>Não Vencida</v>
      </c>
      <c r="P38" t="str">
        <f>IF(TbRegistroEntradas[[#This Row],[DATA DA COMPETENCIA]]=TbRegistroEntradas[[#This Row],[DATA DO CAIXA PREVISTA INT]],"VISTA","PRAZO")</f>
        <v>PRAZO</v>
      </c>
      <c r="Q38" s="14">
        <f>INT(TbRegistroEntradas[[#This Row],[DATA DO CAIXA PREVISTA]])</f>
        <v>43090</v>
      </c>
      <c r="R3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60.627856561965018</v>
      </c>
    </row>
    <row r="39" spans="2:18" x14ac:dyDescent="0.25">
      <c r="B39" s="14">
        <v>43188.080050119235</v>
      </c>
      <c r="C39" s="14">
        <v>43059</v>
      </c>
      <c r="D39" s="14">
        <v>43105.942043921394</v>
      </c>
      <c r="E39" t="s">
        <v>20</v>
      </c>
      <c r="F39" t="s">
        <v>36</v>
      </c>
      <c r="G39" t="s">
        <v>95</v>
      </c>
      <c r="H39" s="17">
        <v>2072</v>
      </c>
      <c r="I39">
        <f>IF(TbRegistroEntradas[[#This Row],[DATA DO CAIXA REALIZADO]]="",0,MONTH(TbRegistroEntradas[[#This Row],[DATA DO CAIXA REALIZADO]]))</f>
        <v>3</v>
      </c>
      <c r="J39">
        <f>IF(TbRegistroEntradas[[#This Row],[DATA DO CAIXA REALIZADO]]="",0,YEAR(TbRegistroEntradas[[#This Row],[DATA DO CAIXA REALIZADO]]))</f>
        <v>2018</v>
      </c>
      <c r="K39">
        <f>IF(TbRegistroEntradas[[#This Row],[DATA DA COMPETENCIA]]="",0,MONTH(TbRegistroEntradas[[#This Row],[DATA DA COMPETENCIA]]))</f>
        <v>11</v>
      </c>
      <c r="L39">
        <f>IF(TbRegistroEntradas[[#This Row],[DATA DA COMPETENCIA]]="",0,YEAR(TbRegistroEntradas[[#This Row],[DATA DA COMPETENCIA]]))</f>
        <v>2017</v>
      </c>
      <c r="M39">
        <f>IF(TbRegistroEntradas[[#This Row],[DATA DO CAIXA PREVISTA]]="",0,MONTH(TbRegistroEntradas[[#This Row],[DATA DO CAIXA PREVISTA]]))</f>
        <v>1</v>
      </c>
      <c r="N39">
        <f>IF(TbRegistroEntradas[[#This Row],[DATA DO CAIXA PREVISTA]]="",0,YEAR(TbRegistroEntradas[[#This Row],[DATA DO CAIXA PREVISTA]]))</f>
        <v>2018</v>
      </c>
      <c r="O39" t="str">
        <f ca="1">IF(AND(TbRegistroEntradas[[#This Row],[DATA DO CAIXA PREVISTA]]&lt;TODAY(),TbRegistroEntradas[[#This Row],[DATA DO CAIXA REALIZADO]]=""),"Vencida","Não Vencida")</f>
        <v>Não Vencida</v>
      </c>
      <c r="P39" t="str">
        <f>IF(TbRegistroEntradas[[#This Row],[DATA DA COMPETENCIA]]=TbRegistroEntradas[[#This Row],[DATA DO CAIXA PREVISTA INT]],"VISTA","PRAZO")</f>
        <v>PRAZO</v>
      </c>
      <c r="Q39" s="14">
        <f>INT(TbRegistroEntradas[[#This Row],[DATA DO CAIXA PREVISTA]])</f>
        <v>43105</v>
      </c>
      <c r="R3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82.138006197841605</v>
      </c>
    </row>
    <row r="40" spans="2:18" x14ac:dyDescent="0.25">
      <c r="B40" s="14">
        <v>43122.64068927092</v>
      </c>
      <c r="C40" s="14">
        <v>43063</v>
      </c>
      <c r="D40" s="14">
        <v>43122.64068927092</v>
      </c>
      <c r="E40" t="s">
        <v>20</v>
      </c>
      <c r="F40" t="s">
        <v>37</v>
      </c>
      <c r="G40" t="s">
        <v>96</v>
      </c>
      <c r="H40" s="17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COMPETENCIA]]="",0,MONTH(TbRegistroEntradas[[#This Row],[DATA DA COMPETENCIA]]))</f>
        <v>11</v>
      </c>
      <c r="L40">
        <f>IF(TbRegistroEntradas[[#This Row],[DATA DA COMPETENCIA]]="",0,YEAR(TbRegistroEntradas[[#This Row],[DATA DA COMPETENCIA]]))</f>
        <v>2017</v>
      </c>
      <c r="M40">
        <f>IF(TbRegistroEntradas[[#This Row],[DATA DO CAIXA PREVISTA]]="",0,MONTH(TbRegistroEntradas[[#This Row],[DATA DO CAIXA PREVISTA]]))</f>
        <v>1</v>
      </c>
      <c r="N40">
        <f>IF(TbRegistroEntradas[[#This Row],[DATA DO CAIXA PREVISTA]]="",0,YEAR(TbRegistroEntradas[[#This Row],[DATA DO CAIXA PREVISTA]]))</f>
        <v>2018</v>
      </c>
      <c r="O40" t="str">
        <f ca="1">IF(AND(TbRegistroEntradas[[#This Row],[DATA DO CAIXA PREVISTA]]&lt;TODAY(),TbRegistroEntradas[[#This Row],[DATA DO CAIXA REALIZADO]]=""),"Vencida","Não Vencida")</f>
        <v>Não Vencida</v>
      </c>
      <c r="P40" t="str">
        <f>IF(TbRegistroEntradas[[#This Row],[DATA DA COMPETENCIA]]=TbRegistroEntradas[[#This Row],[DATA DO CAIXA PREVISTA INT]],"VISTA","PRAZO")</f>
        <v>PRAZO</v>
      </c>
      <c r="Q40" s="14">
        <f>INT(TbRegistroEntradas[[#This Row],[DATA DO CAIXA PREVISTA]])</f>
        <v>43122</v>
      </c>
      <c r="R4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1" spans="2:18" x14ac:dyDescent="0.25">
      <c r="B41" s="14" t="s">
        <v>68</v>
      </c>
      <c r="C41" s="14">
        <v>43068</v>
      </c>
      <c r="D41" s="14">
        <v>43126.500969843044</v>
      </c>
      <c r="E41" t="s">
        <v>20</v>
      </c>
      <c r="F41" t="s">
        <v>46</v>
      </c>
      <c r="G41" t="s">
        <v>97</v>
      </c>
      <c r="H41" s="17">
        <v>1284</v>
      </c>
      <c r="I41">
        <f>IF(TbRegistroEntradas[[#This Row],[DATA DO CAIXA REALIZADO]]="",0,MONTH(TbRegistroEntradas[[#This Row],[DATA DO CAIXA REALIZADO]]))</f>
        <v>0</v>
      </c>
      <c r="J41">
        <f>IF(TbRegistroEntradas[[#This Row],[DATA DO CAIXA REALIZADO]]="",0,YEAR(TbRegistroEntradas[[#This Row],[DATA DO CAIXA REALIZADO]]))</f>
        <v>0</v>
      </c>
      <c r="K41">
        <f>IF(TbRegistroEntradas[[#This Row],[DATA DA COMPETENCIA]]="",0,MONTH(TbRegistroEntradas[[#This Row],[DATA DA COMPETENCIA]]))</f>
        <v>11</v>
      </c>
      <c r="L41">
        <f>IF(TbRegistroEntradas[[#This Row],[DATA DA COMPETENCIA]]="",0,YEAR(TbRegistroEntradas[[#This Row],[DATA DA COMPETENCIA]]))</f>
        <v>2017</v>
      </c>
      <c r="M41">
        <f>IF(TbRegistroEntradas[[#This Row],[DATA DO CAIXA PREVISTA]]="",0,MONTH(TbRegistroEntradas[[#This Row],[DATA DO CAIXA PREVISTA]]))</f>
        <v>1</v>
      </c>
      <c r="N41">
        <f>IF(TbRegistroEntradas[[#This Row],[DATA DO CAIXA PREVISTA]]="",0,YEAR(TbRegistroEntradas[[#This Row],[DATA DO CAIXA PREVISTA]]))</f>
        <v>2018</v>
      </c>
      <c r="O41" t="str">
        <f ca="1">IF(AND(TbRegistroEntradas[[#This Row],[DATA DO CAIXA PREVISTA]]&lt;TODAY(),TbRegistroEntradas[[#This Row],[DATA DO CAIXA REALIZADO]]=""),"Vencida","Não Vencida")</f>
        <v>Vencida</v>
      </c>
      <c r="P41" t="str">
        <f>IF(TbRegistroEntradas[[#This Row],[DATA DA COMPETENCIA]]=TbRegistroEntradas[[#This Row],[DATA DO CAIXA PREVISTA INT]],"VISTA","PRAZO")</f>
        <v>PRAZO</v>
      </c>
      <c r="Q41" s="14">
        <f>INT(TbRegistroEntradas[[#This Row],[DATA DO CAIXA PREVISTA]])</f>
        <v>43126</v>
      </c>
      <c r="R41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42" spans="2:18" x14ac:dyDescent="0.25">
      <c r="B42" s="14">
        <v>43121.095142901788</v>
      </c>
      <c r="C42" s="14">
        <v>43073</v>
      </c>
      <c r="D42" s="14">
        <v>43121.095142901788</v>
      </c>
      <c r="E42" t="s">
        <v>20</v>
      </c>
      <c r="F42" t="s">
        <v>37</v>
      </c>
      <c r="G42" t="s">
        <v>98</v>
      </c>
      <c r="H42" s="17">
        <v>4073</v>
      </c>
      <c r="I42">
        <f>IF(TbRegistroEntradas[[#This Row],[DATA DO CAIXA REALIZADO]]="",0,MONTH(TbRegistroEntradas[[#This Row],[DATA DO CAIXA REALIZADO]]))</f>
        <v>1</v>
      </c>
      <c r="J42">
        <f>IF(TbRegistroEntradas[[#This Row],[DATA DO CAIXA REALIZADO]]="",0,YEAR(TbRegistroEntradas[[#This Row],[DATA DO CAIXA REALIZADO]]))</f>
        <v>2018</v>
      </c>
      <c r="K42">
        <f>IF(TbRegistroEntradas[[#This Row],[DATA DA COMPETENCIA]]="",0,MONTH(TbRegistroEntradas[[#This Row],[DATA DA COMPETENCIA]]))</f>
        <v>12</v>
      </c>
      <c r="L42">
        <f>IF(TbRegistroEntradas[[#This Row],[DATA DA COMPETENCIA]]="",0,YEAR(TbRegistroEntradas[[#This Row],[DATA DA COMPETENCIA]]))</f>
        <v>2017</v>
      </c>
      <c r="M42">
        <f>IF(TbRegistroEntradas[[#This Row],[DATA DO CAIXA PREVISTA]]="",0,MONTH(TbRegistroEntradas[[#This Row],[DATA DO CAIXA PREVISTA]]))</f>
        <v>1</v>
      </c>
      <c r="N42">
        <f>IF(TbRegistroEntradas[[#This Row],[DATA DO CAIXA PREVISTA]]="",0,YEAR(TbRegistroEntradas[[#This Row],[DATA DO CAIXA PREVISTA]]))</f>
        <v>2018</v>
      </c>
      <c r="O42" t="str">
        <f ca="1">IF(AND(TbRegistroEntradas[[#This Row],[DATA DO CAIXA PREVISTA]]&lt;TODAY(),TbRegistroEntradas[[#This Row],[DATA DO CAIXA REALIZADO]]=""),"Vencida","Não Vencida")</f>
        <v>Não Vencida</v>
      </c>
      <c r="P42" t="str">
        <f>IF(TbRegistroEntradas[[#This Row],[DATA DA COMPETENCIA]]=TbRegistroEntradas[[#This Row],[DATA DO CAIXA PREVISTA INT]],"VISTA","PRAZO")</f>
        <v>PRAZO</v>
      </c>
      <c r="Q42" s="14">
        <f>INT(TbRegistroEntradas[[#This Row],[DATA DO CAIXA PREVISTA]])</f>
        <v>43121</v>
      </c>
      <c r="R4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3" spans="2:18" x14ac:dyDescent="0.25">
      <c r="B43" s="14">
        <v>43084.95442532179</v>
      </c>
      <c r="C43" s="14">
        <v>43073</v>
      </c>
      <c r="D43" s="14">
        <v>43084.95442532179</v>
      </c>
      <c r="E43" t="s">
        <v>20</v>
      </c>
      <c r="F43" t="s">
        <v>46</v>
      </c>
      <c r="G43" t="s">
        <v>99</v>
      </c>
      <c r="H43" s="17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COMPETENCIA]]="",0,MONTH(TbRegistroEntradas[[#This Row],[DATA DA COMPETENCIA]]))</f>
        <v>12</v>
      </c>
      <c r="L43">
        <f>IF(TbRegistroEntradas[[#This Row],[DATA DA COMPETENCIA]]="",0,YEAR(TbRegistroEntradas[[#This Row],[DATA DA COMPETENCIA]]))</f>
        <v>2017</v>
      </c>
      <c r="M43">
        <f>IF(TbRegistroEntradas[[#This Row],[DATA DO CAIXA PREVISTA]]="",0,MONTH(TbRegistroEntradas[[#This Row],[DATA DO CAIXA PREVISTA]]))</f>
        <v>12</v>
      </c>
      <c r="N43">
        <f>IF(TbRegistroEntradas[[#This Row],[DATA DO CAIXA PREVISTA]]="",0,YEAR(TbRegistroEntradas[[#This Row],[DATA DO CAIXA PREVISTA]]))</f>
        <v>2017</v>
      </c>
      <c r="O43" t="str">
        <f ca="1">IF(AND(TbRegistroEntradas[[#This Row],[DATA DO CAIXA PREVISTA]]&lt;TODAY(),TbRegistroEntradas[[#This Row],[DATA DO CAIXA REALIZADO]]=""),"Vencida","Não Vencida")</f>
        <v>Não Vencida</v>
      </c>
      <c r="P43" t="str">
        <f>IF(TbRegistroEntradas[[#This Row],[DATA DA COMPETENCIA]]=TbRegistroEntradas[[#This Row],[DATA DO CAIXA PREVISTA INT]],"VISTA","PRAZO")</f>
        <v>PRAZO</v>
      </c>
      <c r="Q43" s="14">
        <f>INT(TbRegistroEntradas[[#This Row],[DATA DO CAIXA PREVISTA]])</f>
        <v>43084</v>
      </c>
      <c r="R4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4" spans="2:18" x14ac:dyDescent="0.25">
      <c r="B44" s="14">
        <v>43131.56407100569</v>
      </c>
      <c r="C44" s="14">
        <v>43080</v>
      </c>
      <c r="D44" s="14">
        <v>43131.56407100569</v>
      </c>
      <c r="E44" t="s">
        <v>20</v>
      </c>
      <c r="F44" t="s">
        <v>46</v>
      </c>
      <c r="G44" t="s">
        <v>100</v>
      </c>
      <c r="H44" s="17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COMPETENCIA]]="",0,MONTH(TbRegistroEntradas[[#This Row],[DATA DA COMPETENCIA]]))</f>
        <v>12</v>
      </c>
      <c r="L44">
        <f>IF(TbRegistroEntradas[[#This Row],[DATA DA COMPETENCIA]]="",0,YEAR(TbRegistroEntradas[[#This Row],[DATA DA COMPETENCIA]]))</f>
        <v>2017</v>
      </c>
      <c r="M44">
        <f>IF(TbRegistroEntradas[[#This Row],[DATA DO CAIXA PREVISTA]]="",0,MONTH(TbRegistroEntradas[[#This Row],[DATA DO CAIXA PREVISTA]]))</f>
        <v>1</v>
      </c>
      <c r="N44">
        <f>IF(TbRegistroEntradas[[#This Row],[DATA DO CAIXA PREVISTA]]="",0,YEAR(TbRegistroEntradas[[#This Row],[DATA DO CAIXA PREVISTA]]))</f>
        <v>2018</v>
      </c>
      <c r="O44" t="str">
        <f ca="1">IF(AND(TbRegistroEntradas[[#This Row],[DATA DO CAIXA PREVISTA]]&lt;TODAY(),TbRegistroEntradas[[#This Row],[DATA DO CAIXA REALIZADO]]=""),"Vencida","Não Vencida")</f>
        <v>Não Vencida</v>
      </c>
      <c r="P44" t="str">
        <f>IF(TbRegistroEntradas[[#This Row],[DATA DA COMPETENCIA]]=TbRegistroEntradas[[#This Row],[DATA DO CAIXA PREVISTA INT]],"VISTA","PRAZO")</f>
        <v>PRAZO</v>
      </c>
      <c r="Q44" s="14">
        <f>INT(TbRegistroEntradas[[#This Row],[DATA DO CAIXA PREVISTA]])</f>
        <v>43131</v>
      </c>
      <c r="R4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5" spans="2:18" x14ac:dyDescent="0.25">
      <c r="B45" s="14">
        <v>43103.027346399656</v>
      </c>
      <c r="C45" s="14">
        <v>43082</v>
      </c>
      <c r="D45" s="14">
        <v>43103.027346399656</v>
      </c>
      <c r="E45" t="s">
        <v>20</v>
      </c>
      <c r="F45" t="s">
        <v>46</v>
      </c>
      <c r="G45" t="s">
        <v>101</v>
      </c>
      <c r="H45" s="17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COMPETENCIA]]="",0,MONTH(TbRegistroEntradas[[#This Row],[DATA DA COMPETENCIA]]))</f>
        <v>12</v>
      </c>
      <c r="L45">
        <f>IF(TbRegistroEntradas[[#This Row],[DATA DA COMPETENCIA]]="",0,YEAR(TbRegistroEntradas[[#This Row],[DATA DA COMPETENCIA]]))</f>
        <v>2017</v>
      </c>
      <c r="M45">
        <f>IF(TbRegistroEntradas[[#This Row],[DATA DO CAIXA PREVISTA]]="",0,MONTH(TbRegistroEntradas[[#This Row],[DATA DO CAIXA PREVISTA]]))</f>
        <v>1</v>
      </c>
      <c r="N45">
        <f>IF(TbRegistroEntradas[[#This Row],[DATA DO CAIXA PREVISTA]]="",0,YEAR(TbRegistroEntradas[[#This Row],[DATA DO CAIXA PREVISTA]]))</f>
        <v>2018</v>
      </c>
      <c r="O45" t="str">
        <f ca="1">IF(AND(TbRegistroEntradas[[#This Row],[DATA DO CAIXA PREVISTA]]&lt;TODAY(),TbRegistroEntradas[[#This Row],[DATA DO CAIXA REALIZADO]]=""),"Vencida","Não Vencida")</f>
        <v>Não Vencida</v>
      </c>
      <c r="P45" t="str">
        <f>IF(TbRegistroEntradas[[#This Row],[DATA DA COMPETENCIA]]=TbRegistroEntradas[[#This Row],[DATA DO CAIXA PREVISTA INT]],"VISTA","PRAZO")</f>
        <v>PRAZO</v>
      </c>
      <c r="Q45" s="14">
        <f>INT(TbRegistroEntradas[[#This Row],[DATA DO CAIXA PREVISTA]])</f>
        <v>43103</v>
      </c>
      <c r="R4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6" spans="2:18" x14ac:dyDescent="0.25">
      <c r="B46" s="14">
        <v>43086.779201496618</v>
      </c>
      <c r="C46" s="14">
        <v>43083</v>
      </c>
      <c r="D46" s="14">
        <v>43086.779201496618</v>
      </c>
      <c r="E46" t="s">
        <v>20</v>
      </c>
      <c r="F46" t="s">
        <v>36</v>
      </c>
      <c r="G46" t="s">
        <v>102</v>
      </c>
      <c r="H46" s="17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COMPETENCIA]]="",0,MONTH(TbRegistroEntradas[[#This Row],[DATA DA COMPETENCIA]]))</f>
        <v>12</v>
      </c>
      <c r="L46">
        <f>IF(TbRegistroEntradas[[#This Row],[DATA DA COMPETENCIA]]="",0,YEAR(TbRegistroEntradas[[#This Row],[DATA DA COMPETENCIA]]))</f>
        <v>2017</v>
      </c>
      <c r="M46">
        <f>IF(TbRegistroEntradas[[#This Row],[DATA DO CAIXA PREVISTA]]="",0,MONTH(TbRegistroEntradas[[#This Row],[DATA DO CAIXA PREVISTA]]))</f>
        <v>12</v>
      </c>
      <c r="N46">
        <f>IF(TbRegistroEntradas[[#This Row],[DATA DO CAIXA PREVISTA]]="",0,YEAR(TbRegistroEntradas[[#This Row],[DATA DO CAIXA PREVISTA]]))</f>
        <v>2017</v>
      </c>
      <c r="O46" t="str">
        <f ca="1">IF(AND(TbRegistroEntradas[[#This Row],[DATA DO CAIXA PREVISTA]]&lt;TODAY(),TbRegistroEntradas[[#This Row],[DATA DO CAIXA REALIZADO]]=""),"Vencida","Não Vencida")</f>
        <v>Não Vencida</v>
      </c>
      <c r="P46" t="str">
        <f>IF(TbRegistroEntradas[[#This Row],[DATA DA COMPETENCIA]]=TbRegistroEntradas[[#This Row],[DATA DO CAIXA PREVISTA INT]],"VISTA","PRAZO")</f>
        <v>PRAZO</v>
      </c>
      <c r="Q46" s="14">
        <f>INT(TbRegistroEntradas[[#This Row],[DATA DO CAIXA PREVISTA]])</f>
        <v>43086</v>
      </c>
      <c r="R4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7" spans="2:18" x14ac:dyDescent="0.25">
      <c r="B47" s="14">
        <v>43135.384353482346</v>
      </c>
      <c r="C47" s="14">
        <v>43085</v>
      </c>
      <c r="D47" s="14">
        <v>43122.788615114718</v>
      </c>
      <c r="E47" t="s">
        <v>20</v>
      </c>
      <c r="F47" t="s">
        <v>37</v>
      </c>
      <c r="G47" t="s">
        <v>103</v>
      </c>
      <c r="H47" s="17">
        <v>3880</v>
      </c>
      <c r="I47">
        <f>IF(TbRegistroEntradas[[#This Row],[DATA DO CAIXA REALIZADO]]="",0,MONTH(TbRegistroEntradas[[#This Row],[DATA DO CAIXA REALIZADO]]))</f>
        <v>2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COMPETENCIA]]="",0,MONTH(TbRegistroEntradas[[#This Row],[DATA DA COMPETENCIA]]))</f>
        <v>12</v>
      </c>
      <c r="L47">
        <f>IF(TbRegistroEntradas[[#This Row],[DATA DA COMPETENCIA]]="",0,YEAR(TbRegistroEntradas[[#This Row],[DATA DA COMPETENCIA]]))</f>
        <v>2017</v>
      </c>
      <c r="M47">
        <f>IF(TbRegistroEntradas[[#This Row],[DATA DO CAIXA PREVISTA]]="",0,MONTH(TbRegistroEntradas[[#This Row],[DATA DO CAIXA PREVISTA]]))</f>
        <v>1</v>
      </c>
      <c r="N47">
        <f>IF(TbRegistroEntradas[[#This Row],[DATA DO CAIXA PREVISTA]]="",0,YEAR(TbRegistroEntradas[[#This Row],[DATA DO CAIXA PREVISTA]]))</f>
        <v>2018</v>
      </c>
      <c r="O47" t="str">
        <f ca="1">IF(AND(TbRegistroEntradas[[#This Row],[DATA DO CAIXA PREVISTA]]&lt;TODAY(),TbRegistroEntradas[[#This Row],[DATA DO CAIXA REALIZADO]]=""),"Vencida","Não Vencida")</f>
        <v>Não Vencida</v>
      </c>
      <c r="P47" t="str">
        <f>IF(TbRegistroEntradas[[#This Row],[DATA DA COMPETENCIA]]=TbRegistroEntradas[[#This Row],[DATA DO CAIXA PREVISTA INT]],"VISTA","PRAZO")</f>
        <v>PRAZO</v>
      </c>
      <c r="Q47" s="14">
        <f>INT(TbRegistroEntradas[[#This Row],[DATA DO CAIXA PREVISTA]])</f>
        <v>43122</v>
      </c>
      <c r="R4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12.595738367628655</v>
      </c>
    </row>
    <row r="48" spans="2:18" x14ac:dyDescent="0.25">
      <c r="B48" s="14">
        <v>43123.054998054176</v>
      </c>
      <c r="C48" s="14">
        <v>43086</v>
      </c>
      <c r="D48" s="14">
        <v>43123.054998054176</v>
      </c>
      <c r="E48" t="s">
        <v>20</v>
      </c>
      <c r="F48" t="s">
        <v>37</v>
      </c>
      <c r="G48" t="s">
        <v>104</v>
      </c>
      <c r="H48" s="17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COMPETENCIA]]="",0,MONTH(TbRegistroEntradas[[#This Row],[DATA DA COMPETENCIA]]))</f>
        <v>12</v>
      </c>
      <c r="L48">
        <f>IF(TbRegistroEntradas[[#This Row],[DATA DA COMPETENCIA]]="",0,YEAR(TbRegistroEntradas[[#This Row],[DATA DA COMPETENCIA]]))</f>
        <v>2017</v>
      </c>
      <c r="M48">
        <f>IF(TbRegistroEntradas[[#This Row],[DATA DO CAIXA PREVISTA]]="",0,MONTH(TbRegistroEntradas[[#This Row],[DATA DO CAIXA PREVISTA]]))</f>
        <v>1</v>
      </c>
      <c r="N48">
        <f>IF(TbRegistroEntradas[[#This Row],[DATA DO CAIXA PREVISTA]]="",0,YEAR(TbRegistroEntradas[[#This Row],[DATA DO CAIXA PREVISTA]]))</f>
        <v>2018</v>
      </c>
      <c r="O48" t="str">
        <f ca="1">IF(AND(TbRegistroEntradas[[#This Row],[DATA DO CAIXA PREVISTA]]&lt;TODAY(),TbRegistroEntradas[[#This Row],[DATA DO CAIXA REALIZADO]]=""),"Vencida","Não Vencida")</f>
        <v>Não Vencida</v>
      </c>
      <c r="P48" t="str">
        <f>IF(TbRegistroEntradas[[#This Row],[DATA DA COMPETENCIA]]=TbRegistroEntradas[[#This Row],[DATA DO CAIXA PREVISTA INT]],"VISTA","PRAZO")</f>
        <v>PRAZO</v>
      </c>
      <c r="Q48" s="14">
        <f>INT(TbRegistroEntradas[[#This Row],[DATA DO CAIXA PREVISTA]])</f>
        <v>43123</v>
      </c>
      <c r="R4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49" spans="2:18" x14ac:dyDescent="0.25">
      <c r="B49" s="14">
        <v>43125.461755740398</v>
      </c>
      <c r="C49" s="14">
        <v>43088</v>
      </c>
      <c r="D49" s="14">
        <v>43125.461755740398</v>
      </c>
      <c r="E49" t="s">
        <v>20</v>
      </c>
      <c r="F49" t="s">
        <v>36</v>
      </c>
      <c r="G49" t="s">
        <v>105</v>
      </c>
      <c r="H49" s="17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COMPETENCIA]]="",0,MONTH(TbRegistroEntradas[[#This Row],[DATA DA COMPETENCIA]]))</f>
        <v>12</v>
      </c>
      <c r="L49">
        <f>IF(TbRegistroEntradas[[#This Row],[DATA DA COMPETENCIA]]="",0,YEAR(TbRegistroEntradas[[#This Row],[DATA DA COMPETENCIA]]))</f>
        <v>2017</v>
      </c>
      <c r="M49">
        <f>IF(TbRegistroEntradas[[#This Row],[DATA DO CAIXA PREVISTA]]="",0,MONTH(TbRegistroEntradas[[#This Row],[DATA DO CAIXA PREVISTA]]))</f>
        <v>1</v>
      </c>
      <c r="N49">
        <f>IF(TbRegistroEntradas[[#This Row],[DATA DO CAIXA PREVISTA]]="",0,YEAR(TbRegistroEntradas[[#This Row],[DATA DO CAIXA PREVISTA]]))</f>
        <v>2018</v>
      </c>
      <c r="O49" t="str">
        <f ca="1">IF(AND(TbRegistroEntradas[[#This Row],[DATA DO CAIXA PREVISTA]]&lt;TODAY(),TbRegistroEntradas[[#This Row],[DATA DO CAIXA REALIZADO]]=""),"Vencida","Não Vencida")</f>
        <v>Não Vencida</v>
      </c>
      <c r="P49" t="str">
        <f>IF(TbRegistroEntradas[[#This Row],[DATA DA COMPETENCIA]]=TbRegistroEntradas[[#This Row],[DATA DO CAIXA PREVISTA INT]],"VISTA","PRAZO")</f>
        <v>PRAZO</v>
      </c>
      <c r="Q49" s="14">
        <f>INT(TbRegistroEntradas[[#This Row],[DATA DO CAIXA PREVISTA]])</f>
        <v>43125</v>
      </c>
      <c r="R4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0" spans="2:18" x14ac:dyDescent="0.25">
      <c r="B50" s="14">
        <v>43117.265187618672</v>
      </c>
      <c r="C50" s="14">
        <v>43089</v>
      </c>
      <c r="D50" s="14">
        <v>43117.265187618672</v>
      </c>
      <c r="E50" t="s">
        <v>20</v>
      </c>
      <c r="F50" t="s">
        <v>23</v>
      </c>
      <c r="G50" t="s">
        <v>106</v>
      </c>
      <c r="H50" s="17">
        <v>3721</v>
      </c>
      <c r="I50">
        <f>IF(TbRegistroEntradas[[#This Row],[DATA DO CAIXA REALIZADO]]="",0,MONTH(TbRegistroEntradas[[#This Row],[DATA DO CAIXA REALIZADO]]))</f>
        <v>1</v>
      </c>
      <c r="J50">
        <f>IF(TbRegistroEntradas[[#This Row],[DATA DO CAIXA REALIZADO]]="",0,YEAR(TbRegistroEntradas[[#This Row],[DATA DO CAIXA REALIZADO]]))</f>
        <v>2018</v>
      </c>
      <c r="K50">
        <f>IF(TbRegistroEntradas[[#This Row],[DATA DA COMPETENCIA]]="",0,MONTH(TbRegistroEntradas[[#This Row],[DATA DA COMPETENCIA]]))</f>
        <v>12</v>
      </c>
      <c r="L50">
        <f>IF(TbRegistroEntradas[[#This Row],[DATA DA COMPETENCIA]]="",0,YEAR(TbRegistroEntradas[[#This Row],[DATA DA COMPETENCIA]]))</f>
        <v>2017</v>
      </c>
      <c r="M50">
        <f>IF(TbRegistroEntradas[[#This Row],[DATA DO CAIXA PREVISTA]]="",0,MONTH(TbRegistroEntradas[[#This Row],[DATA DO CAIXA PREVISTA]]))</f>
        <v>1</v>
      </c>
      <c r="N50">
        <f>IF(TbRegistroEntradas[[#This Row],[DATA DO CAIXA PREVISTA]]="",0,YEAR(TbRegistroEntradas[[#This Row],[DATA DO CAIXA PREVISTA]]))</f>
        <v>2018</v>
      </c>
      <c r="O50" t="str">
        <f ca="1">IF(AND(TbRegistroEntradas[[#This Row],[DATA DO CAIXA PREVISTA]]&lt;TODAY(),TbRegistroEntradas[[#This Row],[DATA DO CAIXA REALIZADO]]=""),"Vencida","Não Vencida")</f>
        <v>Não Vencida</v>
      </c>
      <c r="P50" t="str">
        <f>IF(TbRegistroEntradas[[#This Row],[DATA DA COMPETENCIA]]=TbRegistroEntradas[[#This Row],[DATA DO CAIXA PREVISTA INT]],"VISTA","PRAZO")</f>
        <v>PRAZO</v>
      </c>
      <c r="Q50" s="14">
        <f>INT(TbRegistroEntradas[[#This Row],[DATA DO CAIXA PREVISTA]])</f>
        <v>43117</v>
      </c>
      <c r="R5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1" spans="2:18" x14ac:dyDescent="0.25">
      <c r="B51" s="14">
        <v>43222.826071389798</v>
      </c>
      <c r="C51" s="14">
        <v>43091</v>
      </c>
      <c r="D51" s="14">
        <v>43133.821281134544</v>
      </c>
      <c r="E51" t="s">
        <v>20</v>
      </c>
      <c r="F51" t="s">
        <v>37</v>
      </c>
      <c r="G51" t="s">
        <v>107</v>
      </c>
      <c r="H51" s="17">
        <v>3114</v>
      </c>
      <c r="I51">
        <f>IF(TbRegistroEntradas[[#This Row],[DATA DO CAIXA REALIZADO]]="",0,MONTH(TbRegistroEntradas[[#This Row],[DATA DO CAIXA REALIZADO]]))</f>
        <v>5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COMPETENCIA]]="",0,MONTH(TbRegistroEntradas[[#This Row],[DATA DA COMPETENCIA]]))</f>
        <v>12</v>
      </c>
      <c r="L51">
        <f>IF(TbRegistroEntradas[[#This Row],[DATA DA COMPETENCIA]]="",0,YEAR(TbRegistroEntradas[[#This Row],[DATA DA COMPETENCIA]]))</f>
        <v>2017</v>
      </c>
      <c r="M51">
        <f>IF(TbRegistroEntradas[[#This Row],[DATA DO CAIXA PREVISTA]]="",0,MONTH(TbRegistroEntradas[[#This Row],[DATA DO CAIXA PREVISTA]]))</f>
        <v>2</v>
      </c>
      <c r="N51">
        <f>IF(TbRegistroEntradas[[#This Row],[DATA DO CAIXA PREVISTA]]="",0,YEAR(TbRegistroEntradas[[#This Row],[DATA DO CAIXA PREVISTA]]))</f>
        <v>2018</v>
      </c>
      <c r="O51" t="str">
        <f ca="1">IF(AND(TbRegistroEntradas[[#This Row],[DATA DO CAIXA PREVISTA]]&lt;TODAY(),TbRegistroEntradas[[#This Row],[DATA DO CAIXA REALIZADO]]=""),"Vencida","Não Vencida")</f>
        <v>Não Vencida</v>
      </c>
      <c r="P51" t="str">
        <f>IF(TbRegistroEntradas[[#This Row],[DATA DA COMPETENCIA]]=TbRegistroEntradas[[#This Row],[DATA DO CAIXA PREVISTA INT]],"VISTA","PRAZO")</f>
        <v>PRAZO</v>
      </c>
      <c r="Q51" s="14">
        <f>INT(TbRegistroEntradas[[#This Row],[DATA DO CAIXA PREVISTA]])</f>
        <v>43133</v>
      </c>
      <c r="R5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89.004790255254193</v>
      </c>
    </row>
    <row r="52" spans="2:18" x14ac:dyDescent="0.25">
      <c r="B52" s="14">
        <v>43171.526334246679</v>
      </c>
      <c r="C52" s="14">
        <v>43095</v>
      </c>
      <c r="D52" s="14">
        <v>43150.040142629892</v>
      </c>
      <c r="E52" t="s">
        <v>20</v>
      </c>
      <c r="F52" t="s">
        <v>36</v>
      </c>
      <c r="G52" t="s">
        <v>108</v>
      </c>
      <c r="H52" s="17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COMPETENCIA]]="",0,MONTH(TbRegistroEntradas[[#This Row],[DATA DA COMPETENCIA]]))</f>
        <v>12</v>
      </c>
      <c r="L52">
        <f>IF(TbRegistroEntradas[[#This Row],[DATA DA COMPETENCIA]]="",0,YEAR(TbRegistroEntradas[[#This Row],[DATA DA COMPETENCIA]]))</f>
        <v>2017</v>
      </c>
      <c r="M52">
        <f>IF(TbRegistroEntradas[[#This Row],[DATA DO CAIXA PREVISTA]]="",0,MONTH(TbRegistroEntradas[[#This Row],[DATA DO CAIXA PREVISTA]]))</f>
        <v>2</v>
      </c>
      <c r="N52">
        <f>IF(TbRegistroEntradas[[#This Row],[DATA DO CAIXA PREVISTA]]="",0,YEAR(TbRegistroEntradas[[#This Row],[DATA DO CAIXA PREVISTA]]))</f>
        <v>2018</v>
      </c>
      <c r="O52" t="str">
        <f ca="1">IF(AND(TbRegistroEntradas[[#This Row],[DATA DO CAIXA PREVISTA]]&lt;TODAY(),TbRegistroEntradas[[#This Row],[DATA DO CAIXA REALIZADO]]=""),"Vencida","Não Vencida")</f>
        <v>Não Vencida</v>
      </c>
      <c r="P52" t="str">
        <f>IF(TbRegistroEntradas[[#This Row],[DATA DA COMPETENCIA]]=TbRegistroEntradas[[#This Row],[DATA DO CAIXA PREVISTA INT]],"VISTA","PRAZO")</f>
        <v>PRAZO</v>
      </c>
      <c r="Q52" s="14">
        <f>INT(TbRegistroEntradas[[#This Row],[DATA DO CAIXA PREVISTA]])</f>
        <v>43150</v>
      </c>
      <c r="R5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21.486191616786527</v>
      </c>
    </row>
    <row r="53" spans="2:18" x14ac:dyDescent="0.25">
      <c r="B53" s="14">
        <v>43101.6816504218</v>
      </c>
      <c r="C53" s="14">
        <v>43099</v>
      </c>
      <c r="D53" s="14">
        <v>43101.6816504218</v>
      </c>
      <c r="E53" t="s">
        <v>20</v>
      </c>
      <c r="F53" t="s">
        <v>36</v>
      </c>
      <c r="G53" t="s">
        <v>109</v>
      </c>
      <c r="H53" s="17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COMPETENCIA]]="",0,MONTH(TbRegistroEntradas[[#This Row],[DATA DA COMPETENCIA]]))</f>
        <v>12</v>
      </c>
      <c r="L53">
        <f>IF(TbRegistroEntradas[[#This Row],[DATA DA COMPETENCIA]]="",0,YEAR(TbRegistroEntradas[[#This Row],[DATA DA COMPETENCIA]]))</f>
        <v>2017</v>
      </c>
      <c r="M53">
        <f>IF(TbRegistroEntradas[[#This Row],[DATA DO CAIXA PREVISTA]]="",0,MONTH(TbRegistroEntradas[[#This Row],[DATA DO CAIXA PREVISTA]]))</f>
        <v>1</v>
      </c>
      <c r="N53">
        <f>IF(TbRegistroEntradas[[#This Row],[DATA DO CAIXA PREVISTA]]="",0,YEAR(TbRegistroEntradas[[#This Row],[DATA DO CAIXA PREVISTA]]))</f>
        <v>2018</v>
      </c>
      <c r="O53" t="str">
        <f ca="1">IF(AND(TbRegistroEntradas[[#This Row],[DATA DO CAIXA PREVISTA]]&lt;TODAY(),TbRegistroEntradas[[#This Row],[DATA DO CAIXA REALIZADO]]=""),"Vencida","Não Vencida")</f>
        <v>Não Vencida</v>
      </c>
      <c r="P53" t="str">
        <f>IF(TbRegistroEntradas[[#This Row],[DATA DA COMPETENCIA]]=TbRegistroEntradas[[#This Row],[DATA DO CAIXA PREVISTA INT]],"VISTA","PRAZO")</f>
        <v>PRAZO</v>
      </c>
      <c r="Q53" s="14">
        <f>INT(TbRegistroEntradas[[#This Row],[DATA DO CAIXA PREVISTA]])</f>
        <v>43101</v>
      </c>
      <c r="R5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4" spans="2:18" x14ac:dyDescent="0.25">
      <c r="B54" s="14">
        <v>43144.070709460881</v>
      </c>
      <c r="C54" s="14">
        <v>43100</v>
      </c>
      <c r="D54" s="14">
        <v>43144.070709460881</v>
      </c>
      <c r="E54" t="s">
        <v>20</v>
      </c>
      <c r="F54" t="s">
        <v>23</v>
      </c>
      <c r="G54" t="s">
        <v>110</v>
      </c>
      <c r="H54" s="17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COMPETENCIA]]="",0,MONTH(TbRegistroEntradas[[#This Row],[DATA DA COMPETENCIA]]))</f>
        <v>12</v>
      </c>
      <c r="L54">
        <f>IF(TbRegistroEntradas[[#This Row],[DATA DA COMPETENCIA]]="",0,YEAR(TbRegistroEntradas[[#This Row],[DATA DA COMPETENCIA]]))</f>
        <v>2017</v>
      </c>
      <c r="M54">
        <f>IF(TbRegistroEntradas[[#This Row],[DATA DO CAIXA PREVISTA]]="",0,MONTH(TbRegistroEntradas[[#This Row],[DATA DO CAIXA PREVISTA]]))</f>
        <v>2</v>
      </c>
      <c r="N54">
        <f>IF(TbRegistroEntradas[[#This Row],[DATA DO CAIXA PREVISTA]]="",0,YEAR(TbRegistroEntradas[[#This Row],[DATA DO CAIXA PREVISTA]]))</f>
        <v>2018</v>
      </c>
      <c r="O54" t="str">
        <f ca="1">IF(AND(TbRegistroEntradas[[#This Row],[DATA DO CAIXA PREVISTA]]&lt;TODAY(),TbRegistroEntradas[[#This Row],[DATA DO CAIXA REALIZADO]]=""),"Vencida","Não Vencida")</f>
        <v>Não Vencida</v>
      </c>
      <c r="P54" t="str">
        <f>IF(TbRegistroEntradas[[#This Row],[DATA DA COMPETENCIA]]=TbRegistroEntradas[[#This Row],[DATA DO CAIXA PREVISTA INT]],"VISTA","PRAZO")</f>
        <v>PRAZO</v>
      </c>
      <c r="Q54" s="14">
        <f>INT(TbRegistroEntradas[[#This Row],[DATA DO CAIXA PREVISTA]])</f>
        <v>43144</v>
      </c>
      <c r="R5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5" spans="2:18" x14ac:dyDescent="0.25">
      <c r="B55" s="14">
        <v>43159.768399969107</v>
      </c>
      <c r="C55" s="14">
        <v>43103</v>
      </c>
      <c r="D55" s="14">
        <v>43159.768399969107</v>
      </c>
      <c r="E55" t="s">
        <v>20</v>
      </c>
      <c r="F55" t="s">
        <v>36</v>
      </c>
      <c r="G55" t="s">
        <v>111</v>
      </c>
      <c r="H55" s="17">
        <v>1561</v>
      </c>
      <c r="I55">
        <f>IF(TbRegistroEntradas[[#This Row],[DATA DO CAIXA REALIZADO]]="",0,MONTH(TbRegistroEntradas[[#This Row],[DATA DO CAIXA REALIZADO]]))</f>
        <v>2</v>
      </c>
      <c r="J55">
        <f>IF(TbRegistroEntradas[[#This Row],[DATA DO CAIXA REALIZADO]]="",0,YEAR(TbRegistroEntradas[[#This Row],[DATA DO CAIXA REALIZADO]]))</f>
        <v>2018</v>
      </c>
      <c r="K55">
        <f>IF(TbRegistroEntradas[[#This Row],[DATA DA COMPETENCIA]]="",0,MONTH(TbRegistroEntradas[[#This Row],[DATA DA COMPETENCIA]]))</f>
        <v>1</v>
      </c>
      <c r="L55">
        <f>IF(TbRegistroEntradas[[#This Row],[DATA DA COMPETENCIA]]="",0,YEAR(TbRegistroEntradas[[#This Row],[DATA DA COMPETENCIA]]))</f>
        <v>2018</v>
      </c>
      <c r="M55">
        <f>IF(TbRegistroEntradas[[#This Row],[DATA DO CAIXA PREVISTA]]="",0,MONTH(TbRegistroEntradas[[#This Row],[DATA DO CAIXA PREVISTA]]))</f>
        <v>2</v>
      </c>
      <c r="N55">
        <f>IF(TbRegistroEntradas[[#This Row],[DATA DO CAIXA PREVISTA]]="",0,YEAR(TbRegistroEntradas[[#This Row],[DATA DO CAIXA PREVISTA]]))</f>
        <v>2018</v>
      </c>
      <c r="O55" t="str">
        <f ca="1">IF(AND(TbRegistroEntradas[[#This Row],[DATA DO CAIXA PREVISTA]]&lt;TODAY(),TbRegistroEntradas[[#This Row],[DATA DO CAIXA REALIZADO]]=""),"Vencida","Não Vencida")</f>
        <v>Não Vencida</v>
      </c>
      <c r="P55" t="str">
        <f>IF(TbRegistroEntradas[[#This Row],[DATA DA COMPETENCIA]]=TbRegistroEntradas[[#This Row],[DATA DO CAIXA PREVISTA INT]],"VISTA","PRAZO")</f>
        <v>PRAZO</v>
      </c>
      <c r="Q55" s="14">
        <f>INT(TbRegistroEntradas[[#This Row],[DATA DO CAIXA PREVISTA]])</f>
        <v>43159</v>
      </c>
      <c r="R5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6" spans="2:18" x14ac:dyDescent="0.25">
      <c r="B56" s="14">
        <v>43113.535870555577</v>
      </c>
      <c r="C56" s="14">
        <v>43109</v>
      </c>
      <c r="D56" s="14">
        <v>43113.535870555577</v>
      </c>
      <c r="E56" t="s">
        <v>20</v>
      </c>
      <c r="F56" t="s">
        <v>36</v>
      </c>
      <c r="G56" t="s">
        <v>112</v>
      </c>
      <c r="H56" s="17">
        <v>1573</v>
      </c>
      <c r="I56">
        <f>IF(TbRegistroEntradas[[#This Row],[DATA DO CAIXA REALIZADO]]="",0,MONTH(TbRegistroEntradas[[#This Row],[DATA DO CAIXA REALIZADO]]))</f>
        <v>1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COMPETENCIA]]="",0,MONTH(TbRegistroEntradas[[#This Row],[DATA DA COMPETENCIA]]))</f>
        <v>1</v>
      </c>
      <c r="L56">
        <f>IF(TbRegistroEntradas[[#This Row],[DATA DA COMPETENCIA]]="",0,YEAR(TbRegistroEntradas[[#This Row],[DATA DA COMPETENCIA]]))</f>
        <v>2018</v>
      </c>
      <c r="M56">
        <f>IF(TbRegistroEntradas[[#This Row],[DATA DO CAIXA PREVISTA]]="",0,MONTH(TbRegistroEntradas[[#This Row],[DATA DO CAIXA PREVISTA]]))</f>
        <v>1</v>
      </c>
      <c r="N56">
        <f>IF(TbRegistroEntradas[[#This Row],[DATA DO CAIXA PREVISTA]]="",0,YEAR(TbRegistroEntradas[[#This Row],[DATA DO CAIXA PREVISTA]]))</f>
        <v>2018</v>
      </c>
      <c r="O56" t="str">
        <f ca="1">IF(AND(TbRegistroEntradas[[#This Row],[DATA DO CAIXA PREVISTA]]&lt;TODAY(),TbRegistroEntradas[[#This Row],[DATA DO CAIXA REALIZADO]]=""),"Vencida","Não Vencida")</f>
        <v>Não Vencida</v>
      </c>
      <c r="P56" t="str">
        <f>IF(TbRegistroEntradas[[#This Row],[DATA DA COMPETENCIA]]=TbRegistroEntradas[[#This Row],[DATA DO CAIXA PREVISTA INT]],"VISTA","PRAZO")</f>
        <v>PRAZO</v>
      </c>
      <c r="Q56" s="14">
        <f>INT(TbRegistroEntradas[[#This Row],[DATA DO CAIXA PREVISTA]])</f>
        <v>43113</v>
      </c>
      <c r="R5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7" spans="2:18" x14ac:dyDescent="0.25">
      <c r="B57" s="14">
        <v>43147.636765206888</v>
      </c>
      <c r="C57" s="14">
        <v>43117</v>
      </c>
      <c r="D57" s="14">
        <v>43147.636765206888</v>
      </c>
      <c r="E57" t="s">
        <v>20</v>
      </c>
      <c r="F57" t="s">
        <v>36</v>
      </c>
      <c r="G57" t="s">
        <v>113</v>
      </c>
      <c r="H57" s="17">
        <v>1364</v>
      </c>
      <c r="I57">
        <f>IF(TbRegistroEntradas[[#This Row],[DATA DO CAIXA REALIZADO]]="",0,MONTH(TbRegistroEntradas[[#This Row],[DATA DO CAIXA REALIZADO]]))</f>
        <v>2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COMPETENCIA]]="",0,MONTH(TbRegistroEntradas[[#This Row],[DATA DA COMPETENCIA]]))</f>
        <v>1</v>
      </c>
      <c r="L57">
        <f>IF(TbRegistroEntradas[[#This Row],[DATA DA COMPETENCIA]]="",0,YEAR(TbRegistroEntradas[[#This Row],[DATA DA COMPETENCIA]]))</f>
        <v>2018</v>
      </c>
      <c r="M57">
        <f>IF(TbRegistroEntradas[[#This Row],[DATA DO CAIXA PREVISTA]]="",0,MONTH(TbRegistroEntradas[[#This Row],[DATA DO CAIXA PREVISTA]]))</f>
        <v>2</v>
      </c>
      <c r="N57">
        <f>IF(TbRegistroEntradas[[#This Row],[DATA DO CAIXA PREVISTA]]="",0,YEAR(TbRegistroEntradas[[#This Row],[DATA DO CAIXA PREVISTA]]))</f>
        <v>2018</v>
      </c>
      <c r="O57" t="str">
        <f ca="1">IF(AND(TbRegistroEntradas[[#This Row],[DATA DO CAIXA PREVISTA]]&lt;TODAY(),TbRegistroEntradas[[#This Row],[DATA DO CAIXA REALIZADO]]=""),"Vencida","Não Vencida")</f>
        <v>Não Vencida</v>
      </c>
      <c r="P57" t="str">
        <f>IF(TbRegistroEntradas[[#This Row],[DATA DA COMPETENCIA]]=TbRegistroEntradas[[#This Row],[DATA DO CAIXA PREVISTA INT]],"VISTA","PRAZO")</f>
        <v>PRAZO</v>
      </c>
      <c r="Q57" s="14">
        <f>INT(TbRegistroEntradas[[#This Row],[DATA DO CAIXA PREVISTA]])</f>
        <v>43147</v>
      </c>
      <c r="R5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8" spans="2:18" x14ac:dyDescent="0.25">
      <c r="B58" s="14">
        <v>43166.506331380886</v>
      </c>
      <c r="C58" s="14">
        <v>43121</v>
      </c>
      <c r="D58" s="14">
        <v>43166.506331380886</v>
      </c>
      <c r="E58" t="s">
        <v>20</v>
      </c>
      <c r="F58" t="s">
        <v>23</v>
      </c>
      <c r="G58" t="s">
        <v>114</v>
      </c>
      <c r="H58" s="17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COMPETENCIA]]="",0,MONTH(TbRegistroEntradas[[#This Row],[DATA DA COMPETENCIA]]))</f>
        <v>1</v>
      </c>
      <c r="L58">
        <f>IF(TbRegistroEntradas[[#This Row],[DATA DA COMPETENCIA]]="",0,YEAR(TbRegistroEntradas[[#This Row],[DATA DA COMPETENCIA]]))</f>
        <v>2018</v>
      </c>
      <c r="M58">
        <f>IF(TbRegistroEntradas[[#This Row],[DATA DO CAIXA PREVISTA]]="",0,MONTH(TbRegistroEntradas[[#This Row],[DATA DO CAIXA PREVISTA]]))</f>
        <v>3</v>
      </c>
      <c r="N58">
        <f>IF(TbRegistroEntradas[[#This Row],[DATA DO CAIXA PREVISTA]]="",0,YEAR(TbRegistroEntradas[[#This Row],[DATA DO CAIXA PREVISTA]]))</f>
        <v>2018</v>
      </c>
      <c r="O58" t="str">
        <f ca="1">IF(AND(TbRegistroEntradas[[#This Row],[DATA DO CAIXA PREVISTA]]&lt;TODAY(),TbRegistroEntradas[[#This Row],[DATA DO CAIXA REALIZADO]]=""),"Vencida","Não Vencida")</f>
        <v>Não Vencida</v>
      </c>
      <c r="P58" t="str">
        <f>IF(TbRegistroEntradas[[#This Row],[DATA DA COMPETENCIA]]=TbRegistroEntradas[[#This Row],[DATA DO CAIXA PREVISTA INT]],"VISTA","PRAZO")</f>
        <v>PRAZO</v>
      </c>
      <c r="Q58" s="14">
        <f>INT(TbRegistroEntradas[[#This Row],[DATA DO CAIXA PREVISTA]])</f>
        <v>43166</v>
      </c>
      <c r="R5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59" spans="2:18" x14ac:dyDescent="0.25">
      <c r="B59" s="14">
        <v>43164.402079160267</v>
      </c>
      <c r="C59" s="14">
        <v>43122</v>
      </c>
      <c r="D59" s="14">
        <v>43145.930248245008</v>
      </c>
      <c r="E59" t="s">
        <v>20</v>
      </c>
      <c r="F59" t="s">
        <v>23</v>
      </c>
      <c r="G59" t="s">
        <v>115</v>
      </c>
      <c r="H59" s="17">
        <v>3928</v>
      </c>
      <c r="I59">
        <f>IF(TbRegistroEntradas[[#This Row],[DATA DO CAIXA REALIZADO]]="",0,MONTH(TbRegistroEntradas[[#This Row],[DATA DO CAIXA REALIZADO]]))</f>
        <v>3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COMPETENCIA]]="",0,MONTH(TbRegistroEntradas[[#This Row],[DATA DA COMPETENCIA]]))</f>
        <v>1</v>
      </c>
      <c r="L59">
        <f>IF(TbRegistroEntradas[[#This Row],[DATA DA COMPETENCIA]]="",0,YEAR(TbRegistroEntradas[[#This Row],[DATA DA COMPETENCIA]]))</f>
        <v>2018</v>
      </c>
      <c r="M59">
        <f>IF(TbRegistroEntradas[[#This Row],[DATA DO CAIXA PREVISTA]]="",0,MONTH(TbRegistroEntradas[[#This Row],[DATA DO CAIXA PREVISTA]]))</f>
        <v>2</v>
      </c>
      <c r="N59">
        <f>IF(TbRegistroEntradas[[#This Row],[DATA DO CAIXA PREVISTA]]="",0,YEAR(TbRegistroEntradas[[#This Row],[DATA DO CAIXA PREVISTA]]))</f>
        <v>2018</v>
      </c>
      <c r="O59" t="str">
        <f ca="1">IF(AND(TbRegistroEntradas[[#This Row],[DATA DO CAIXA PREVISTA]]&lt;TODAY(),TbRegistroEntradas[[#This Row],[DATA DO CAIXA REALIZADO]]=""),"Vencida","Não Vencida")</f>
        <v>Não Vencida</v>
      </c>
      <c r="P59" t="str">
        <f>IF(TbRegistroEntradas[[#This Row],[DATA DA COMPETENCIA]]=TbRegistroEntradas[[#This Row],[DATA DO CAIXA PREVISTA INT]],"VISTA","PRAZO")</f>
        <v>PRAZO</v>
      </c>
      <c r="Q59" s="14">
        <f>INT(TbRegistroEntradas[[#This Row],[DATA DO CAIXA PREVISTA]])</f>
        <v>43145</v>
      </c>
      <c r="R5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18.471830915259488</v>
      </c>
    </row>
    <row r="60" spans="2:18" x14ac:dyDescent="0.25">
      <c r="B60" s="14">
        <v>43142.713591319029</v>
      </c>
      <c r="C60" s="14">
        <v>43124</v>
      </c>
      <c r="D60" s="14">
        <v>43142.713591319029</v>
      </c>
      <c r="E60" t="s">
        <v>20</v>
      </c>
      <c r="F60" t="s">
        <v>37</v>
      </c>
      <c r="G60" t="s">
        <v>116</v>
      </c>
      <c r="H60" s="17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COMPETENCIA]]="",0,MONTH(TbRegistroEntradas[[#This Row],[DATA DA COMPETENCIA]]))</f>
        <v>1</v>
      </c>
      <c r="L60">
        <f>IF(TbRegistroEntradas[[#This Row],[DATA DA COMPETENCIA]]="",0,YEAR(TbRegistroEntradas[[#This Row],[DATA DA COMPETENCIA]]))</f>
        <v>2018</v>
      </c>
      <c r="M60">
        <f>IF(TbRegistroEntradas[[#This Row],[DATA DO CAIXA PREVISTA]]="",0,MONTH(TbRegistroEntradas[[#This Row],[DATA DO CAIXA PREVISTA]]))</f>
        <v>2</v>
      </c>
      <c r="N60">
        <f>IF(TbRegistroEntradas[[#This Row],[DATA DO CAIXA PREVISTA]]="",0,YEAR(TbRegistroEntradas[[#This Row],[DATA DO CAIXA PREVISTA]]))</f>
        <v>2018</v>
      </c>
      <c r="O60" t="str">
        <f ca="1">IF(AND(TbRegistroEntradas[[#This Row],[DATA DO CAIXA PREVISTA]]&lt;TODAY(),TbRegistroEntradas[[#This Row],[DATA DO CAIXA REALIZADO]]=""),"Vencida","Não Vencida")</f>
        <v>Não Vencida</v>
      </c>
      <c r="P60" t="str">
        <f>IF(TbRegistroEntradas[[#This Row],[DATA DA COMPETENCIA]]=TbRegistroEntradas[[#This Row],[DATA DO CAIXA PREVISTA INT]],"VISTA","PRAZO")</f>
        <v>PRAZO</v>
      </c>
      <c r="Q60" s="14">
        <f>INT(TbRegistroEntradas[[#This Row],[DATA DO CAIXA PREVISTA]])</f>
        <v>43142</v>
      </c>
      <c r="R6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1" spans="2:18" x14ac:dyDescent="0.25">
      <c r="B61" s="14">
        <v>43183.516256023155</v>
      </c>
      <c r="C61" s="14">
        <v>43125</v>
      </c>
      <c r="D61" s="14">
        <v>43129.375302218272</v>
      </c>
      <c r="E61" t="s">
        <v>20</v>
      </c>
      <c r="F61" t="s">
        <v>46</v>
      </c>
      <c r="G61" t="s">
        <v>117</v>
      </c>
      <c r="H61" s="17">
        <v>1864</v>
      </c>
      <c r="I61">
        <f>IF(TbRegistroEntradas[[#This Row],[DATA DO CAIXA REALIZADO]]="",0,MONTH(TbRegistroEntradas[[#This Row],[DATA DO CAIXA REALIZADO]]))</f>
        <v>3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COMPETENCIA]]="",0,MONTH(TbRegistroEntradas[[#This Row],[DATA DA COMPETENCIA]]))</f>
        <v>1</v>
      </c>
      <c r="L61">
        <f>IF(TbRegistroEntradas[[#This Row],[DATA DA COMPETENCIA]]="",0,YEAR(TbRegistroEntradas[[#This Row],[DATA DA COMPETENCIA]]))</f>
        <v>2018</v>
      </c>
      <c r="M61">
        <f>IF(TbRegistroEntradas[[#This Row],[DATA DO CAIXA PREVISTA]]="",0,MONTH(TbRegistroEntradas[[#This Row],[DATA DO CAIXA PREVISTA]]))</f>
        <v>1</v>
      </c>
      <c r="N61">
        <f>IF(TbRegistroEntradas[[#This Row],[DATA DO CAIXA PREVISTA]]="",0,YEAR(TbRegistroEntradas[[#This Row],[DATA DO CAIXA PREVISTA]]))</f>
        <v>2018</v>
      </c>
      <c r="O61" t="str">
        <f ca="1">IF(AND(TbRegistroEntradas[[#This Row],[DATA DO CAIXA PREVISTA]]&lt;TODAY(),TbRegistroEntradas[[#This Row],[DATA DO CAIXA REALIZADO]]=""),"Vencida","Não Vencida")</f>
        <v>Não Vencida</v>
      </c>
      <c r="P61" t="str">
        <f>IF(TbRegistroEntradas[[#This Row],[DATA DA COMPETENCIA]]=TbRegistroEntradas[[#This Row],[DATA DO CAIXA PREVISTA INT]],"VISTA","PRAZO")</f>
        <v>PRAZO</v>
      </c>
      <c r="Q61" s="14">
        <f>INT(TbRegistroEntradas[[#This Row],[DATA DO CAIXA PREVISTA]])</f>
        <v>43129</v>
      </c>
      <c r="R6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54.140953804882884</v>
      </c>
    </row>
    <row r="62" spans="2:18" x14ac:dyDescent="0.25">
      <c r="B62" s="14">
        <v>43181.942093945734</v>
      </c>
      <c r="C62" s="14">
        <v>43128</v>
      </c>
      <c r="D62" s="14">
        <v>43181.942093945734</v>
      </c>
      <c r="E62" t="s">
        <v>20</v>
      </c>
      <c r="F62" t="s">
        <v>36</v>
      </c>
      <c r="G62" t="s">
        <v>118</v>
      </c>
      <c r="H62" s="17">
        <v>1184</v>
      </c>
      <c r="I62">
        <f>IF(TbRegistroEntradas[[#This Row],[DATA DO CAIXA REALIZADO]]="",0,MONTH(TbRegistroEntradas[[#This Row],[DATA DO CAIXA REALIZADO]]))</f>
        <v>3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COMPETENCIA]]="",0,MONTH(TbRegistroEntradas[[#This Row],[DATA DA COMPETENCIA]]))</f>
        <v>1</v>
      </c>
      <c r="L62">
        <f>IF(TbRegistroEntradas[[#This Row],[DATA DA COMPETENCIA]]="",0,YEAR(TbRegistroEntradas[[#This Row],[DATA DA COMPETENCIA]]))</f>
        <v>2018</v>
      </c>
      <c r="M62">
        <f>IF(TbRegistroEntradas[[#This Row],[DATA DO CAIXA PREVISTA]]="",0,MONTH(TbRegistroEntradas[[#This Row],[DATA DO CAIXA PREVISTA]]))</f>
        <v>3</v>
      </c>
      <c r="N62">
        <f>IF(TbRegistroEntradas[[#This Row],[DATA DO CAIXA PREVISTA]]="",0,YEAR(TbRegistroEntradas[[#This Row],[DATA DO CAIXA PREVISTA]]))</f>
        <v>2018</v>
      </c>
      <c r="O62" t="str">
        <f ca="1">IF(AND(TbRegistroEntradas[[#This Row],[DATA DO CAIXA PREVISTA]]&lt;TODAY(),TbRegistroEntradas[[#This Row],[DATA DO CAIXA REALIZADO]]=""),"Vencida","Não Vencida")</f>
        <v>Não Vencida</v>
      </c>
      <c r="P62" t="str">
        <f>IF(TbRegistroEntradas[[#This Row],[DATA DA COMPETENCIA]]=TbRegistroEntradas[[#This Row],[DATA DO CAIXA PREVISTA INT]],"VISTA","PRAZO")</f>
        <v>PRAZO</v>
      </c>
      <c r="Q62" s="14">
        <f>INT(TbRegistroEntradas[[#This Row],[DATA DO CAIXA PREVISTA]])</f>
        <v>43181</v>
      </c>
      <c r="R6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3" spans="2:18" x14ac:dyDescent="0.25">
      <c r="B63" s="14">
        <v>43161.227605046144</v>
      </c>
      <c r="C63" s="14">
        <v>43129</v>
      </c>
      <c r="D63" s="14">
        <v>43161.227605046144</v>
      </c>
      <c r="E63" t="s">
        <v>20</v>
      </c>
      <c r="F63" t="s">
        <v>36</v>
      </c>
      <c r="G63" t="s">
        <v>119</v>
      </c>
      <c r="H63" s="17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COMPETENCIA]]="",0,MONTH(TbRegistroEntradas[[#This Row],[DATA DA COMPETENCIA]]))</f>
        <v>1</v>
      </c>
      <c r="L63">
        <f>IF(TbRegistroEntradas[[#This Row],[DATA DA COMPETENCIA]]="",0,YEAR(TbRegistroEntradas[[#This Row],[DATA DA COMPETENCIA]]))</f>
        <v>2018</v>
      </c>
      <c r="M63">
        <f>IF(TbRegistroEntradas[[#This Row],[DATA DO CAIXA PREVISTA]]="",0,MONTH(TbRegistroEntradas[[#This Row],[DATA DO CAIXA PREVISTA]]))</f>
        <v>3</v>
      </c>
      <c r="N63">
        <f>IF(TbRegistroEntradas[[#This Row],[DATA DO CAIXA PREVISTA]]="",0,YEAR(TbRegistroEntradas[[#This Row],[DATA DO CAIXA PREVISTA]]))</f>
        <v>2018</v>
      </c>
      <c r="O63" t="str">
        <f ca="1">IF(AND(TbRegistroEntradas[[#This Row],[DATA DO CAIXA PREVISTA]]&lt;TODAY(),TbRegistroEntradas[[#This Row],[DATA DO CAIXA REALIZADO]]=""),"Vencida","Não Vencida")</f>
        <v>Não Vencida</v>
      </c>
      <c r="P63" t="str">
        <f>IF(TbRegistroEntradas[[#This Row],[DATA DA COMPETENCIA]]=TbRegistroEntradas[[#This Row],[DATA DO CAIXA PREVISTA INT]],"VISTA","PRAZO")</f>
        <v>PRAZO</v>
      </c>
      <c r="Q63" s="14">
        <f>INT(TbRegistroEntradas[[#This Row],[DATA DO CAIXA PREVISTA]])</f>
        <v>43161</v>
      </c>
      <c r="R6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4" spans="2:18" x14ac:dyDescent="0.25">
      <c r="B64" s="14">
        <v>43178.327075601032</v>
      </c>
      <c r="C64" s="14">
        <v>43130</v>
      </c>
      <c r="D64" s="14">
        <v>43178.327075601032</v>
      </c>
      <c r="E64" t="s">
        <v>20</v>
      </c>
      <c r="F64" t="s">
        <v>36</v>
      </c>
      <c r="G64" t="s">
        <v>120</v>
      </c>
      <c r="H64" s="17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COMPETENCIA]]="",0,MONTH(TbRegistroEntradas[[#This Row],[DATA DA COMPETENCIA]]))</f>
        <v>1</v>
      </c>
      <c r="L64">
        <f>IF(TbRegistroEntradas[[#This Row],[DATA DA COMPETENCIA]]="",0,YEAR(TbRegistroEntradas[[#This Row],[DATA DA COMPETENCIA]]))</f>
        <v>2018</v>
      </c>
      <c r="M64">
        <f>IF(TbRegistroEntradas[[#This Row],[DATA DO CAIXA PREVISTA]]="",0,MONTH(TbRegistroEntradas[[#This Row],[DATA DO CAIXA PREVISTA]]))</f>
        <v>3</v>
      </c>
      <c r="N64">
        <f>IF(TbRegistroEntradas[[#This Row],[DATA DO CAIXA PREVISTA]]="",0,YEAR(TbRegistroEntradas[[#This Row],[DATA DO CAIXA PREVISTA]]))</f>
        <v>2018</v>
      </c>
      <c r="O64" t="str">
        <f ca="1">IF(AND(TbRegistroEntradas[[#This Row],[DATA DO CAIXA PREVISTA]]&lt;TODAY(),TbRegistroEntradas[[#This Row],[DATA DO CAIXA REALIZADO]]=""),"Vencida","Não Vencida")</f>
        <v>Não Vencida</v>
      </c>
      <c r="P64" t="str">
        <f>IF(TbRegistroEntradas[[#This Row],[DATA DA COMPETENCIA]]=TbRegistroEntradas[[#This Row],[DATA DO CAIXA PREVISTA INT]],"VISTA","PRAZO")</f>
        <v>PRAZO</v>
      </c>
      <c r="Q64" s="14">
        <f>INT(TbRegistroEntradas[[#This Row],[DATA DO CAIXA PREVISTA]])</f>
        <v>43178</v>
      </c>
      <c r="R6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5" spans="2:18" x14ac:dyDescent="0.25">
      <c r="B65" s="14">
        <v>43138.085439585935</v>
      </c>
      <c r="C65" s="14">
        <v>43133</v>
      </c>
      <c r="D65" s="14">
        <v>43138.085439585935</v>
      </c>
      <c r="E65" t="s">
        <v>20</v>
      </c>
      <c r="F65" t="s">
        <v>38</v>
      </c>
      <c r="G65" t="s">
        <v>121</v>
      </c>
      <c r="H65" s="17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COMPETENCIA]]="",0,MONTH(TbRegistroEntradas[[#This Row],[DATA DA COMPETENCIA]]))</f>
        <v>2</v>
      </c>
      <c r="L65">
        <f>IF(TbRegistroEntradas[[#This Row],[DATA DA COMPETENCIA]]="",0,YEAR(TbRegistroEntradas[[#This Row],[DATA DA COMPETENCIA]]))</f>
        <v>2018</v>
      </c>
      <c r="M65">
        <f>IF(TbRegistroEntradas[[#This Row],[DATA DO CAIXA PREVISTA]]="",0,MONTH(TbRegistroEntradas[[#This Row],[DATA DO CAIXA PREVISTA]]))</f>
        <v>2</v>
      </c>
      <c r="N65">
        <f>IF(TbRegistroEntradas[[#This Row],[DATA DO CAIXA PREVISTA]]="",0,YEAR(TbRegistroEntradas[[#This Row],[DATA DO CAIXA PREVISTA]]))</f>
        <v>2018</v>
      </c>
      <c r="O65" t="str">
        <f ca="1">IF(AND(TbRegistroEntradas[[#This Row],[DATA DO CAIXA PREVISTA]]&lt;TODAY(),TbRegistroEntradas[[#This Row],[DATA DO CAIXA REALIZADO]]=""),"Vencida","Não Vencida")</f>
        <v>Não Vencida</v>
      </c>
      <c r="P65" t="str">
        <f>IF(TbRegistroEntradas[[#This Row],[DATA DA COMPETENCIA]]=TbRegistroEntradas[[#This Row],[DATA DO CAIXA PREVISTA INT]],"VISTA","PRAZO")</f>
        <v>PRAZO</v>
      </c>
      <c r="Q65" s="14">
        <f>INT(TbRegistroEntradas[[#This Row],[DATA DO CAIXA PREVISTA]])</f>
        <v>43138</v>
      </c>
      <c r="R6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6" spans="2:18" x14ac:dyDescent="0.25">
      <c r="B66" s="14">
        <v>43190.17599100792</v>
      </c>
      <c r="C66" s="14">
        <v>43136</v>
      </c>
      <c r="D66" s="14">
        <v>43190.17599100792</v>
      </c>
      <c r="E66" t="s">
        <v>20</v>
      </c>
      <c r="F66" t="s">
        <v>23</v>
      </c>
      <c r="G66" t="s">
        <v>122</v>
      </c>
      <c r="H66" s="17">
        <v>964</v>
      </c>
      <c r="I66">
        <f>IF(TbRegistroEntradas[[#This Row],[DATA DO CAIXA REALIZADO]]="",0,MONTH(TbRegistroEntradas[[#This Row],[DATA DO CAIXA REALIZADO]]))</f>
        <v>3</v>
      </c>
      <c r="J66">
        <f>IF(TbRegistroEntradas[[#This Row],[DATA DO CAIXA REALIZADO]]="",0,YEAR(TbRegistroEntradas[[#This Row],[DATA DO CAIXA REALIZADO]]))</f>
        <v>2018</v>
      </c>
      <c r="K66">
        <f>IF(TbRegistroEntradas[[#This Row],[DATA DA COMPETENCIA]]="",0,MONTH(TbRegistroEntradas[[#This Row],[DATA DA COMPETENCIA]]))</f>
        <v>2</v>
      </c>
      <c r="L66">
        <f>IF(TbRegistroEntradas[[#This Row],[DATA DA COMPETENCIA]]="",0,YEAR(TbRegistroEntradas[[#This Row],[DATA DA COMPETENCIA]]))</f>
        <v>2018</v>
      </c>
      <c r="M66">
        <f>IF(TbRegistroEntradas[[#This Row],[DATA DO CAIXA PREVISTA]]="",0,MONTH(TbRegistroEntradas[[#This Row],[DATA DO CAIXA PREVISTA]]))</f>
        <v>3</v>
      </c>
      <c r="N66">
        <f>IF(TbRegistroEntradas[[#This Row],[DATA DO CAIXA PREVISTA]]="",0,YEAR(TbRegistroEntradas[[#This Row],[DATA DO CAIXA PREVISTA]]))</f>
        <v>2018</v>
      </c>
      <c r="O66" t="str">
        <f ca="1">IF(AND(TbRegistroEntradas[[#This Row],[DATA DO CAIXA PREVISTA]]&lt;TODAY(),TbRegistroEntradas[[#This Row],[DATA DO CAIXA REALIZADO]]=""),"Vencida","Não Vencida")</f>
        <v>Não Vencida</v>
      </c>
      <c r="P66" t="str">
        <f>IF(TbRegistroEntradas[[#This Row],[DATA DA COMPETENCIA]]=TbRegistroEntradas[[#This Row],[DATA DO CAIXA PREVISTA INT]],"VISTA","PRAZO")</f>
        <v>PRAZO</v>
      </c>
      <c r="Q66" s="14">
        <f>INT(TbRegistroEntradas[[#This Row],[DATA DO CAIXA PREVISTA]])</f>
        <v>43190</v>
      </c>
      <c r="R6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7" spans="2:18" x14ac:dyDescent="0.25">
      <c r="B67" s="14">
        <v>43145.940969359632</v>
      </c>
      <c r="C67" s="14">
        <v>43140</v>
      </c>
      <c r="D67" s="14">
        <v>43145.940969359632</v>
      </c>
      <c r="E67" t="s">
        <v>20</v>
      </c>
      <c r="F67" t="s">
        <v>36</v>
      </c>
      <c r="G67" t="s">
        <v>123</v>
      </c>
      <c r="H67" s="17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COMPETENCIA]]="",0,MONTH(TbRegistroEntradas[[#This Row],[DATA DA COMPETENCIA]]))</f>
        <v>2</v>
      </c>
      <c r="L67">
        <f>IF(TbRegistroEntradas[[#This Row],[DATA DA COMPETENCIA]]="",0,YEAR(TbRegistroEntradas[[#This Row],[DATA DA COMPETENCIA]]))</f>
        <v>2018</v>
      </c>
      <c r="M67">
        <f>IF(TbRegistroEntradas[[#This Row],[DATA DO CAIXA PREVISTA]]="",0,MONTH(TbRegistroEntradas[[#This Row],[DATA DO CAIXA PREVISTA]]))</f>
        <v>2</v>
      </c>
      <c r="N67">
        <f>IF(TbRegistroEntradas[[#This Row],[DATA DO CAIXA PREVISTA]]="",0,YEAR(TbRegistroEntradas[[#This Row],[DATA DO CAIXA PREVISTA]]))</f>
        <v>2018</v>
      </c>
      <c r="O67" t="str">
        <f ca="1">IF(AND(TbRegistroEntradas[[#This Row],[DATA DO CAIXA PREVISTA]]&lt;TODAY(),TbRegistroEntradas[[#This Row],[DATA DO CAIXA REALIZADO]]=""),"Vencida","Não Vencida")</f>
        <v>Não Vencida</v>
      </c>
      <c r="P67" t="str">
        <f>IF(TbRegistroEntradas[[#This Row],[DATA DA COMPETENCIA]]=TbRegistroEntradas[[#This Row],[DATA DO CAIXA PREVISTA INT]],"VISTA","PRAZO")</f>
        <v>PRAZO</v>
      </c>
      <c r="Q67" s="14">
        <f>INT(TbRegistroEntradas[[#This Row],[DATA DO CAIXA PREVISTA]])</f>
        <v>43145</v>
      </c>
      <c r="R6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8" spans="2:18" x14ac:dyDescent="0.25">
      <c r="B68" s="14">
        <v>43146.225751185812</v>
      </c>
      <c r="C68" s="14">
        <v>43142</v>
      </c>
      <c r="D68" s="14">
        <v>43146.225751185812</v>
      </c>
      <c r="E68" t="s">
        <v>20</v>
      </c>
      <c r="F68" t="s">
        <v>37</v>
      </c>
      <c r="G68" t="s">
        <v>124</v>
      </c>
      <c r="H68" s="17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COMPETENCIA]]="",0,MONTH(TbRegistroEntradas[[#This Row],[DATA DA COMPETENCIA]]))</f>
        <v>2</v>
      </c>
      <c r="L68">
        <f>IF(TbRegistroEntradas[[#This Row],[DATA DA COMPETENCIA]]="",0,YEAR(TbRegistroEntradas[[#This Row],[DATA DA COMPETENCIA]]))</f>
        <v>2018</v>
      </c>
      <c r="M68">
        <f>IF(TbRegistroEntradas[[#This Row],[DATA DO CAIXA PREVISTA]]="",0,MONTH(TbRegistroEntradas[[#This Row],[DATA DO CAIXA PREVISTA]]))</f>
        <v>2</v>
      </c>
      <c r="N68">
        <f>IF(TbRegistroEntradas[[#This Row],[DATA DO CAIXA PREVISTA]]="",0,YEAR(TbRegistroEntradas[[#This Row],[DATA DO CAIXA PREVISTA]]))</f>
        <v>2018</v>
      </c>
      <c r="O68" t="str">
        <f ca="1">IF(AND(TbRegistroEntradas[[#This Row],[DATA DO CAIXA PREVISTA]]&lt;TODAY(),TbRegistroEntradas[[#This Row],[DATA DO CAIXA REALIZADO]]=""),"Vencida","Não Vencida")</f>
        <v>Não Vencida</v>
      </c>
      <c r="P68" t="str">
        <f>IF(TbRegistroEntradas[[#This Row],[DATA DA COMPETENCIA]]=TbRegistroEntradas[[#This Row],[DATA DO CAIXA PREVISTA INT]],"VISTA","PRAZO")</f>
        <v>PRAZO</v>
      </c>
      <c r="Q68" s="14">
        <f>INT(TbRegistroEntradas[[#This Row],[DATA DO CAIXA PREVISTA]])</f>
        <v>43146</v>
      </c>
      <c r="R6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69" spans="2:18" x14ac:dyDescent="0.25">
      <c r="B69" s="14">
        <v>43193.467827275977</v>
      </c>
      <c r="C69" s="14">
        <v>43148</v>
      </c>
      <c r="D69" s="14">
        <v>43193.467827275977</v>
      </c>
      <c r="E69" t="s">
        <v>20</v>
      </c>
      <c r="F69" t="s">
        <v>38</v>
      </c>
      <c r="G69" t="s">
        <v>125</v>
      </c>
      <c r="H69" s="17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COMPETENCIA]]="",0,MONTH(TbRegistroEntradas[[#This Row],[DATA DA COMPETENCIA]]))</f>
        <v>2</v>
      </c>
      <c r="L69">
        <f>IF(TbRegistroEntradas[[#This Row],[DATA DA COMPETENCIA]]="",0,YEAR(TbRegistroEntradas[[#This Row],[DATA DA COMPETENCIA]]))</f>
        <v>2018</v>
      </c>
      <c r="M69">
        <f>IF(TbRegistroEntradas[[#This Row],[DATA DO CAIXA PREVISTA]]="",0,MONTH(TbRegistroEntradas[[#This Row],[DATA DO CAIXA PREVISTA]]))</f>
        <v>4</v>
      </c>
      <c r="N69">
        <f>IF(TbRegistroEntradas[[#This Row],[DATA DO CAIXA PREVISTA]]="",0,YEAR(TbRegistroEntradas[[#This Row],[DATA DO CAIXA PREVISTA]]))</f>
        <v>2018</v>
      </c>
      <c r="O69" t="str">
        <f ca="1">IF(AND(TbRegistroEntradas[[#This Row],[DATA DO CAIXA PREVISTA]]&lt;TODAY(),TbRegistroEntradas[[#This Row],[DATA DO CAIXA REALIZADO]]=""),"Vencida","Não Vencida")</f>
        <v>Não Vencida</v>
      </c>
      <c r="P69" t="str">
        <f>IF(TbRegistroEntradas[[#This Row],[DATA DA COMPETENCIA]]=TbRegistroEntradas[[#This Row],[DATA DO CAIXA PREVISTA INT]],"VISTA","PRAZO")</f>
        <v>PRAZO</v>
      </c>
      <c r="Q69" s="14">
        <f>INT(TbRegistroEntradas[[#This Row],[DATA DO CAIXA PREVISTA]])</f>
        <v>43193</v>
      </c>
      <c r="R6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70" spans="2:18" x14ac:dyDescent="0.25">
      <c r="B70" s="14">
        <v>43193.409618971542</v>
      </c>
      <c r="C70" s="14">
        <v>43151</v>
      </c>
      <c r="D70" s="14">
        <v>43193.409618971542</v>
      </c>
      <c r="E70" t="s">
        <v>20</v>
      </c>
      <c r="F70" t="s">
        <v>38</v>
      </c>
      <c r="G70" t="s">
        <v>126</v>
      </c>
      <c r="H70" s="17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COMPETENCIA]]="",0,MONTH(TbRegistroEntradas[[#This Row],[DATA DA COMPETENCIA]]))</f>
        <v>2</v>
      </c>
      <c r="L70">
        <f>IF(TbRegistroEntradas[[#This Row],[DATA DA COMPETENCIA]]="",0,YEAR(TbRegistroEntradas[[#This Row],[DATA DA COMPETENCIA]]))</f>
        <v>2018</v>
      </c>
      <c r="M70">
        <f>IF(TbRegistroEntradas[[#This Row],[DATA DO CAIXA PREVISTA]]="",0,MONTH(TbRegistroEntradas[[#This Row],[DATA DO CAIXA PREVISTA]]))</f>
        <v>4</v>
      </c>
      <c r="N70">
        <f>IF(TbRegistroEntradas[[#This Row],[DATA DO CAIXA PREVISTA]]="",0,YEAR(TbRegistroEntradas[[#This Row],[DATA DO CAIXA PREVISTA]]))</f>
        <v>2018</v>
      </c>
      <c r="O70" t="str">
        <f ca="1">IF(AND(TbRegistroEntradas[[#This Row],[DATA DO CAIXA PREVISTA]]&lt;TODAY(),TbRegistroEntradas[[#This Row],[DATA DO CAIXA REALIZADO]]=""),"Vencida","Não Vencida")</f>
        <v>Não Vencida</v>
      </c>
      <c r="P70" t="str">
        <f>IF(TbRegistroEntradas[[#This Row],[DATA DA COMPETENCIA]]=TbRegistroEntradas[[#This Row],[DATA DO CAIXA PREVISTA INT]],"VISTA","PRAZO")</f>
        <v>PRAZO</v>
      </c>
      <c r="Q70" s="14">
        <f>INT(TbRegistroEntradas[[#This Row],[DATA DO CAIXA PREVISTA]])</f>
        <v>43193</v>
      </c>
      <c r="R7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71" spans="2:18" x14ac:dyDescent="0.25">
      <c r="B71" s="14">
        <v>43261.17512133922</v>
      </c>
      <c r="C71" s="14">
        <v>43154</v>
      </c>
      <c r="D71" s="14">
        <v>43180.340377186512</v>
      </c>
      <c r="E71" t="s">
        <v>20</v>
      </c>
      <c r="F71" t="s">
        <v>36</v>
      </c>
      <c r="G71" t="s">
        <v>127</v>
      </c>
      <c r="H71" s="17">
        <v>4322</v>
      </c>
      <c r="I71">
        <f>IF(TbRegistroEntradas[[#This Row],[DATA DO CAIXA REALIZADO]]="",0,MONTH(TbRegistroEntradas[[#This Row],[DATA DO CAIXA REALIZADO]]))</f>
        <v>6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COMPETENCIA]]="",0,MONTH(TbRegistroEntradas[[#This Row],[DATA DA COMPETENCIA]]))</f>
        <v>2</v>
      </c>
      <c r="L71">
        <f>IF(TbRegistroEntradas[[#This Row],[DATA DA COMPETENCIA]]="",0,YEAR(TbRegistroEntradas[[#This Row],[DATA DA COMPETENCIA]]))</f>
        <v>2018</v>
      </c>
      <c r="M71">
        <f>IF(TbRegistroEntradas[[#This Row],[DATA DO CAIXA PREVISTA]]="",0,MONTH(TbRegistroEntradas[[#This Row],[DATA DO CAIXA PREVISTA]]))</f>
        <v>3</v>
      </c>
      <c r="N71">
        <f>IF(TbRegistroEntradas[[#This Row],[DATA DO CAIXA PREVISTA]]="",0,YEAR(TbRegistroEntradas[[#This Row],[DATA DO CAIXA PREVISTA]]))</f>
        <v>2018</v>
      </c>
      <c r="O71" t="str">
        <f ca="1">IF(AND(TbRegistroEntradas[[#This Row],[DATA DO CAIXA PREVISTA]]&lt;TODAY(),TbRegistroEntradas[[#This Row],[DATA DO CAIXA REALIZADO]]=""),"Vencida","Não Vencida")</f>
        <v>Não Vencida</v>
      </c>
      <c r="P71" t="str">
        <f>IF(TbRegistroEntradas[[#This Row],[DATA DA COMPETENCIA]]=TbRegistroEntradas[[#This Row],[DATA DO CAIXA PREVISTA INT]],"VISTA","PRAZO")</f>
        <v>PRAZO</v>
      </c>
      <c r="Q71" s="14">
        <f>INT(TbRegistroEntradas[[#This Row],[DATA DO CAIXA PREVISTA]])</f>
        <v>43180</v>
      </c>
      <c r="R7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80.834744152707572</v>
      </c>
    </row>
    <row r="72" spans="2:18" x14ac:dyDescent="0.25">
      <c r="B72" s="14">
        <v>43253.722363167413</v>
      </c>
      <c r="C72" s="14">
        <v>43156</v>
      </c>
      <c r="D72" s="14">
        <v>43205.753397319932</v>
      </c>
      <c r="E72" t="s">
        <v>20</v>
      </c>
      <c r="F72" t="s">
        <v>37</v>
      </c>
      <c r="G72" t="s">
        <v>128</v>
      </c>
      <c r="H72" s="17">
        <v>3998</v>
      </c>
      <c r="I72">
        <f>IF(TbRegistroEntradas[[#This Row],[DATA DO CAIXA REALIZADO]]="",0,MONTH(TbRegistroEntradas[[#This Row],[DATA DO CAIXA REALIZADO]]))</f>
        <v>6</v>
      </c>
      <c r="J72">
        <f>IF(TbRegistroEntradas[[#This Row],[DATA DO CAIXA REALIZADO]]="",0,YEAR(TbRegistroEntradas[[#This Row],[DATA DO CAIXA REALIZADO]]))</f>
        <v>2018</v>
      </c>
      <c r="K72">
        <f>IF(TbRegistroEntradas[[#This Row],[DATA DA COMPETENCIA]]="",0,MONTH(TbRegistroEntradas[[#This Row],[DATA DA COMPETENCIA]]))</f>
        <v>2</v>
      </c>
      <c r="L72">
        <f>IF(TbRegistroEntradas[[#This Row],[DATA DA COMPETENCIA]]="",0,YEAR(TbRegistroEntradas[[#This Row],[DATA DA COMPETENCIA]]))</f>
        <v>2018</v>
      </c>
      <c r="M72">
        <f>IF(TbRegistroEntradas[[#This Row],[DATA DO CAIXA PREVISTA]]="",0,MONTH(TbRegistroEntradas[[#This Row],[DATA DO CAIXA PREVISTA]]))</f>
        <v>4</v>
      </c>
      <c r="N72">
        <f>IF(TbRegistroEntradas[[#This Row],[DATA DO CAIXA PREVISTA]]="",0,YEAR(TbRegistroEntradas[[#This Row],[DATA DO CAIXA PREVISTA]]))</f>
        <v>2018</v>
      </c>
      <c r="O72" t="str">
        <f ca="1">IF(AND(TbRegistroEntradas[[#This Row],[DATA DO CAIXA PREVISTA]]&lt;TODAY(),TbRegistroEntradas[[#This Row],[DATA DO CAIXA REALIZADO]]=""),"Vencida","Não Vencida")</f>
        <v>Não Vencida</v>
      </c>
      <c r="P72" t="str">
        <f>IF(TbRegistroEntradas[[#This Row],[DATA DA COMPETENCIA]]=TbRegistroEntradas[[#This Row],[DATA DO CAIXA PREVISTA INT]],"VISTA","PRAZO")</f>
        <v>PRAZO</v>
      </c>
      <c r="Q72" s="14">
        <f>INT(TbRegistroEntradas[[#This Row],[DATA DO CAIXA PREVISTA]])</f>
        <v>43205</v>
      </c>
      <c r="R7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47.968965847481741</v>
      </c>
    </row>
    <row r="73" spans="2:18" x14ac:dyDescent="0.25">
      <c r="B73" s="14">
        <v>43268.070563511268</v>
      </c>
      <c r="C73" s="14">
        <v>43158</v>
      </c>
      <c r="D73" s="14">
        <v>43188.829564949629</v>
      </c>
      <c r="E73" t="s">
        <v>20</v>
      </c>
      <c r="F73" t="s">
        <v>37</v>
      </c>
      <c r="G73" t="s">
        <v>129</v>
      </c>
      <c r="H73" s="17">
        <v>3252</v>
      </c>
      <c r="I73">
        <f>IF(TbRegistroEntradas[[#This Row],[DATA DO CAIXA REALIZADO]]="",0,MONTH(TbRegistroEntradas[[#This Row],[DATA DO CAIXA REALIZADO]]))</f>
        <v>6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COMPETENCIA]]="",0,MONTH(TbRegistroEntradas[[#This Row],[DATA DA COMPETENCIA]]))</f>
        <v>2</v>
      </c>
      <c r="L73">
        <f>IF(TbRegistroEntradas[[#This Row],[DATA DA COMPETENCIA]]="",0,YEAR(TbRegistroEntradas[[#This Row],[DATA DA COMPETENCIA]]))</f>
        <v>2018</v>
      </c>
      <c r="M73">
        <f>IF(TbRegistroEntradas[[#This Row],[DATA DO CAIXA PREVISTA]]="",0,MONTH(TbRegistroEntradas[[#This Row],[DATA DO CAIXA PREVISTA]]))</f>
        <v>3</v>
      </c>
      <c r="N73">
        <f>IF(TbRegistroEntradas[[#This Row],[DATA DO CAIXA PREVISTA]]="",0,YEAR(TbRegistroEntradas[[#This Row],[DATA DO CAIXA PREVISTA]]))</f>
        <v>2018</v>
      </c>
      <c r="O73" t="str">
        <f ca="1">IF(AND(TbRegistroEntradas[[#This Row],[DATA DO CAIXA PREVISTA]]&lt;TODAY(),TbRegistroEntradas[[#This Row],[DATA DO CAIXA REALIZADO]]=""),"Vencida","Não Vencida")</f>
        <v>Não Vencida</v>
      </c>
      <c r="P73" t="str">
        <f>IF(TbRegistroEntradas[[#This Row],[DATA DA COMPETENCIA]]=TbRegistroEntradas[[#This Row],[DATA DO CAIXA PREVISTA INT]],"VISTA","PRAZO")</f>
        <v>PRAZO</v>
      </c>
      <c r="Q73" s="14">
        <f>INT(TbRegistroEntradas[[#This Row],[DATA DO CAIXA PREVISTA]])</f>
        <v>43188</v>
      </c>
      <c r="R7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79.240998561639572</v>
      </c>
    </row>
    <row r="74" spans="2:18" x14ac:dyDescent="0.25">
      <c r="B74" s="14">
        <v>43169.443907551016</v>
      </c>
      <c r="C74" s="14">
        <v>43160</v>
      </c>
      <c r="D74" s="14">
        <v>43169.443907551016</v>
      </c>
      <c r="E74" t="s">
        <v>20</v>
      </c>
      <c r="F74" t="s">
        <v>38</v>
      </c>
      <c r="G74" t="s">
        <v>130</v>
      </c>
      <c r="H74" s="17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COMPETENCIA]]="",0,MONTH(TbRegistroEntradas[[#This Row],[DATA DA COMPETENCIA]]))</f>
        <v>3</v>
      </c>
      <c r="L74">
        <f>IF(TbRegistroEntradas[[#This Row],[DATA DA COMPETENCIA]]="",0,YEAR(TbRegistroEntradas[[#This Row],[DATA DA COMPETENCIA]]))</f>
        <v>2018</v>
      </c>
      <c r="M74">
        <f>IF(TbRegistroEntradas[[#This Row],[DATA DO CAIXA PREVISTA]]="",0,MONTH(TbRegistroEntradas[[#This Row],[DATA DO CAIXA PREVISTA]]))</f>
        <v>3</v>
      </c>
      <c r="N74">
        <f>IF(TbRegistroEntradas[[#This Row],[DATA DO CAIXA PREVISTA]]="",0,YEAR(TbRegistroEntradas[[#This Row],[DATA DO CAIXA PREVISTA]]))</f>
        <v>2018</v>
      </c>
      <c r="O74" t="str">
        <f ca="1">IF(AND(TbRegistroEntradas[[#This Row],[DATA DO CAIXA PREVISTA]]&lt;TODAY(),TbRegistroEntradas[[#This Row],[DATA DO CAIXA REALIZADO]]=""),"Vencida","Não Vencida")</f>
        <v>Não Vencida</v>
      </c>
      <c r="P74" t="str">
        <f>IF(TbRegistroEntradas[[#This Row],[DATA DA COMPETENCIA]]=TbRegistroEntradas[[#This Row],[DATA DO CAIXA PREVISTA INT]],"VISTA","PRAZO")</f>
        <v>PRAZO</v>
      </c>
      <c r="Q74" s="14">
        <f>INT(TbRegistroEntradas[[#This Row],[DATA DO CAIXA PREVISTA]])</f>
        <v>43169</v>
      </c>
      <c r="R7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75" spans="2:18" x14ac:dyDescent="0.25">
      <c r="B75" s="14">
        <v>43202.812742183109</v>
      </c>
      <c r="C75" s="14">
        <v>43162</v>
      </c>
      <c r="D75" s="14">
        <v>43202.812742183109</v>
      </c>
      <c r="E75" t="s">
        <v>20</v>
      </c>
      <c r="F75" t="s">
        <v>23</v>
      </c>
      <c r="G75" t="s">
        <v>131</v>
      </c>
      <c r="H75" s="17">
        <v>1977</v>
      </c>
      <c r="I75">
        <f>IF(TbRegistroEntradas[[#This Row],[DATA DO CAIXA REALIZADO]]="",0,MONTH(TbRegistroEntradas[[#This Row],[DATA DO CAIXA REALIZADO]]))</f>
        <v>4</v>
      </c>
      <c r="J75">
        <f>IF(TbRegistroEntradas[[#This Row],[DATA DO CAIXA REALIZADO]]="",0,YEAR(TbRegistroEntradas[[#This Row],[DATA DO CAIXA REALIZADO]]))</f>
        <v>2018</v>
      </c>
      <c r="K75">
        <f>IF(TbRegistroEntradas[[#This Row],[DATA DA COMPETENCIA]]="",0,MONTH(TbRegistroEntradas[[#This Row],[DATA DA COMPETENCIA]]))</f>
        <v>3</v>
      </c>
      <c r="L75">
        <f>IF(TbRegistroEntradas[[#This Row],[DATA DA COMPETENCIA]]="",0,YEAR(TbRegistroEntradas[[#This Row],[DATA DA COMPETENCIA]]))</f>
        <v>2018</v>
      </c>
      <c r="M75">
        <f>IF(TbRegistroEntradas[[#This Row],[DATA DO CAIXA PREVISTA]]="",0,MONTH(TbRegistroEntradas[[#This Row],[DATA DO CAIXA PREVISTA]]))</f>
        <v>4</v>
      </c>
      <c r="N75">
        <f>IF(TbRegistroEntradas[[#This Row],[DATA DO CAIXA PREVISTA]]="",0,YEAR(TbRegistroEntradas[[#This Row],[DATA DO CAIXA PREVISTA]]))</f>
        <v>2018</v>
      </c>
      <c r="O75" t="str">
        <f ca="1">IF(AND(TbRegistroEntradas[[#This Row],[DATA DO CAIXA PREVISTA]]&lt;TODAY(),TbRegistroEntradas[[#This Row],[DATA DO CAIXA REALIZADO]]=""),"Vencida","Não Vencida")</f>
        <v>Não Vencida</v>
      </c>
      <c r="P75" t="str">
        <f>IF(TbRegistroEntradas[[#This Row],[DATA DA COMPETENCIA]]=TbRegistroEntradas[[#This Row],[DATA DO CAIXA PREVISTA INT]],"VISTA","PRAZO")</f>
        <v>PRAZO</v>
      </c>
      <c r="Q75" s="14">
        <f>INT(TbRegistroEntradas[[#This Row],[DATA DO CAIXA PREVISTA]])</f>
        <v>43202</v>
      </c>
      <c r="R7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76" spans="2:18" x14ac:dyDescent="0.25">
      <c r="B76" s="14">
        <v>43277.69194849013</v>
      </c>
      <c r="C76" s="14">
        <v>43163</v>
      </c>
      <c r="D76" s="14">
        <v>43211.113627447019</v>
      </c>
      <c r="E76" t="s">
        <v>20</v>
      </c>
      <c r="F76" t="s">
        <v>38</v>
      </c>
      <c r="G76" t="s">
        <v>132</v>
      </c>
      <c r="H76" s="17">
        <v>1217</v>
      </c>
      <c r="I76">
        <f>IF(TbRegistroEntradas[[#This Row],[DATA DO CAIXA REALIZADO]]="",0,MONTH(TbRegistroEntradas[[#This Row],[DATA DO CAIXA REALIZADO]]))</f>
        <v>6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COMPETENCIA]]="",0,MONTH(TbRegistroEntradas[[#This Row],[DATA DA COMPETENCIA]]))</f>
        <v>3</v>
      </c>
      <c r="L76">
        <f>IF(TbRegistroEntradas[[#This Row],[DATA DA COMPETENCIA]]="",0,YEAR(TbRegistroEntradas[[#This Row],[DATA DA COMPETENCIA]]))</f>
        <v>2018</v>
      </c>
      <c r="M76">
        <f>IF(TbRegistroEntradas[[#This Row],[DATA DO CAIXA PREVISTA]]="",0,MONTH(TbRegistroEntradas[[#This Row],[DATA DO CAIXA PREVISTA]]))</f>
        <v>4</v>
      </c>
      <c r="N76">
        <f>IF(TbRegistroEntradas[[#This Row],[DATA DO CAIXA PREVISTA]]="",0,YEAR(TbRegistroEntradas[[#This Row],[DATA DO CAIXA PREVISTA]]))</f>
        <v>2018</v>
      </c>
      <c r="O76" t="str">
        <f ca="1">IF(AND(TbRegistroEntradas[[#This Row],[DATA DO CAIXA PREVISTA]]&lt;TODAY(),TbRegistroEntradas[[#This Row],[DATA DO CAIXA REALIZADO]]=""),"Vencida","Não Vencida")</f>
        <v>Não Vencida</v>
      </c>
      <c r="P76" t="str">
        <f>IF(TbRegistroEntradas[[#This Row],[DATA DA COMPETENCIA]]=TbRegistroEntradas[[#This Row],[DATA DO CAIXA PREVISTA INT]],"VISTA","PRAZO")</f>
        <v>PRAZO</v>
      </c>
      <c r="Q76" s="14">
        <f>INT(TbRegistroEntradas[[#This Row],[DATA DO CAIXA PREVISTA]])</f>
        <v>43211</v>
      </c>
      <c r="R7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66.578321043110918</v>
      </c>
    </row>
    <row r="77" spans="2:18" x14ac:dyDescent="0.25">
      <c r="B77" s="14">
        <v>43283.817447549081</v>
      </c>
      <c r="C77" s="14">
        <v>43166</v>
      </c>
      <c r="D77" s="14">
        <v>43203.174471123319</v>
      </c>
      <c r="E77" t="s">
        <v>20</v>
      </c>
      <c r="F77" t="s">
        <v>46</v>
      </c>
      <c r="G77" t="s">
        <v>133</v>
      </c>
      <c r="H77" s="17">
        <v>1660</v>
      </c>
      <c r="I77">
        <f>IF(TbRegistroEntradas[[#This Row],[DATA DO CAIXA REALIZADO]]="",0,MONTH(TbRegistroEntradas[[#This Row],[DATA DO CAIXA REALIZADO]]))</f>
        <v>7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COMPETENCIA]]="",0,MONTH(TbRegistroEntradas[[#This Row],[DATA DA COMPETENCIA]]))</f>
        <v>3</v>
      </c>
      <c r="L77">
        <f>IF(TbRegistroEntradas[[#This Row],[DATA DA COMPETENCIA]]="",0,YEAR(TbRegistroEntradas[[#This Row],[DATA DA COMPETENCIA]]))</f>
        <v>2018</v>
      </c>
      <c r="M77">
        <f>IF(TbRegistroEntradas[[#This Row],[DATA DO CAIXA PREVISTA]]="",0,MONTH(TbRegistroEntradas[[#This Row],[DATA DO CAIXA PREVISTA]]))</f>
        <v>4</v>
      </c>
      <c r="N77">
        <f>IF(TbRegistroEntradas[[#This Row],[DATA DO CAIXA PREVISTA]]="",0,YEAR(TbRegistroEntradas[[#This Row],[DATA DO CAIXA PREVISTA]]))</f>
        <v>2018</v>
      </c>
      <c r="O77" t="str">
        <f ca="1">IF(AND(TbRegistroEntradas[[#This Row],[DATA DO CAIXA PREVISTA]]&lt;TODAY(),TbRegistroEntradas[[#This Row],[DATA DO CAIXA REALIZADO]]=""),"Vencida","Não Vencida")</f>
        <v>Não Vencida</v>
      </c>
      <c r="P77" t="str">
        <f>IF(TbRegistroEntradas[[#This Row],[DATA DA COMPETENCIA]]=TbRegistroEntradas[[#This Row],[DATA DO CAIXA PREVISTA INT]],"VISTA","PRAZO")</f>
        <v>PRAZO</v>
      </c>
      <c r="Q77" s="14">
        <f>INT(TbRegistroEntradas[[#This Row],[DATA DO CAIXA PREVISTA]])</f>
        <v>43203</v>
      </c>
      <c r="R7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80.642976425762754</v>
      </c>
    </row>
    <row r="78" spans="2:18" x14ac:dyDescent="0.25">
      <c r="B78" s="14">
        <v>43184.083980960655</v>
      </c>
      <c r="C78" s="14">
        <v>43169</v>
      </c>
      <c r="D78" s="14">
        <v>43184.083980960655</v>
      </c>
      <c r="E78" t="s">
        <v>20</v>
      </c>
      <c r="F78" t="s">
        <v>46</v>
      </c>
      <c r="G78" t="s">
        <v>134</v>
      </c>
      <c r="H78" s="17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COMPETENCIA]]="",0,MONTH(TbRegistroEntradas[[#This Row],[DATA DA COMPETENCIA]]))</f>
        <v>3</v>
      </c>
      <c r="L78">
        <f>IF(TbRegistroEntradas[[#This Row],[DATA DA COMPETENCIA]]="",0,YEAR(TbRegistroEntradas[[#This Row],[DATA DA COMPETENCIA]]))</f>
        <v>2018</v>
      </c>
      <c r="M78">
        <f>IF(TbRegistroEntradas[[#This Row],[DATA DO CAIXA PREVISTA]]="",0,MONTH(TbRegistroEntradas[[#This Row],[DATA DO CAIXA PREVISTA]]))</f>
        <v>3</v>
      </c>
      <c r="N78">
        <f>IF(TbRegistroEntradas[[#This Row],[DATA DO CAIXA PREVISTA]]="",0,YEAR(TbRegistroEntradas[[#This Row],[DATA DO CAIXA PREVISTA]]))</f>
        <v>2018</v>
      </c>
      <c r="O78" t="str">
        <f ca="1">IF(AND(TbRegistroEntradas[[#This Row],[DATA DO CAIXA PREVISTA]]&lt;TODAY(),TbRegistroEntradas[[#This Row],[DATA DO CAIXA REALIZADO]]=""),"Vencida","Não Vencida")</f>
        <v>Não Vencida</v>
      </c>
      <c r="P78" t="str">
        <f>IF(TbRegistroEntradas[[#This Row],[DATA DA COMPETENCIA]]=TbRegistroEntradas[[#This Row],[DATA DO CAIXA PREVISTA INT]],"VISTA","PRAZO")</f>
        <v>PRAZO</v>
      </c>
      <c r="Q78" s="14">
        <f>INT(TbRegistroEntradas[[#This Row],[DATA DO CAIXA PREVISTA]])</f>
        <v>43184</v>
      </c>
      <c r="R7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79" spans="2:18" x14ac:dyDescent="0.25">
      <c r="B79" s="14">
        <v>43200.147034627953</v>
      </c>
      <c r="C79" s="14">
        <v>43171</v>
      </c>
      <c r="D79" s="14">
        <v>43200.147034627953</v>
      </c>
      <c r="E79" t="s">
        <v>20</v>
      </c>
      <c r="F79" t="s">
        <v>36</v>
      </c>
      <c r="G79" t="s">
        <v>135</v>
      </c>
      <c r="H79" s="17">
        <v>1838</v>
      </c>
      <c r="I79">
        <f>IF(TbRegistroEntradas[[#This Row],[DATA DO CAIXA REALIZADO]]="",0,MONTH(TbRegistroEntradas[[#This Row],[DATA DO CAIXA REALIZADO]]))</f>
        <v>4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COMPETENCIA]]="",0,MONTH(TbRegistroEntradas[[#This Row],[DATA DA COMPETENCIA]]))</f>
        <v>3</v>
      </c>
      <c r="L79">
        <f>IF(TbRegistroEntradas[[#This Row],[DATA DA COMPETENCIA]]="",0,YEAR(TbRegistroEntradas[[#This Row],[DATA DA COMPETENCIA]]))</f>
        <v>2018</v>
      </c>
      <c r="M79">
        <f>IF(TbRegistroEntradas[[#This Row],[DATA DO CAIXA PREVISTA]]="",0,MONTH(TbRegistroEntradas[[#This Row],[DATA DO CAIXA PREVISTA]]))</f>
        <v>4</v>
      </c>
      <c r="N79">
        <f>IF(TbRegistroEntradas[[#This Row],[DATA DO CAIXA PREVISTA]]="",0,YEAR(TbRegistroEntradas[[#This Row],[DATA DO CAIXA PREVISTA]]))</f>
        <v>2018</v>
      </c>
      <c r="O79" t="str">
        <f ca="1">IF(AND(TbRegistroEntradas[[#This Row],[DATA DO CAIXA PREVISTA]]&lt;TODAY(),TbRegistroEntradas[[#This Row],[DATA DO CAIXA REALIZADO]]=""),"Vencida","Não Vencida")</f>
        <v>Não Vencida</v>
      </c>
      <c r="P79" t="str">
        <f>IF(TbRegistroEntradas[[#This Row],[DATA DA COMPETENCIA]]=TbRegistroEntradas[[#This Row],[DATA DO CAIXA PREVISTA INT]],"VISTA","PRAZO")</f>
        <v>PRAZO</v>
      </c>
      <c r="Q79" s="14">
        <f>INT(TbRegistroEntradas[[#This Row],[DATA DO CAIXA PREVISTA]])</f>
        <v>43200</v>
      </c>
      <c r="R7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0" spans="2:18" x14ac:dyDescent="0.25">
      <c r="B80" s="14">
        <v>43207.818228031581</v>
      </c>
      <c r="C80" s="14">
        <v>43176</v>
      </c>
      <c r="D80" s="14">
        <v>43207.818228031581</v>
      </c>
      <c r="E80" t="s">
        <v>20</v>
      </c>
      <c r="F80" t="s">
        <v>23</v>
      </c>
      <c r="G80" t="s">
        <v>136</v>
      </c>
      <c r="H80" s="17">
        <v>4471</v>
      </c>
      <c r="I80">
        <f>IF(TbRegistroEntradas[[#This Row],[DATA DO CAIXA REALIZADO]]="",0,MONTH(TbRegistroEntradas[[#This Row],[DATA DO CAIXA REALIZADO]]))</f>
        <v>4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COMPETENCIA]]="",0,MONTH(TbRegistroEntradas[[#This Row],[DATA DA COMPETENCIA]]))</f>
        <v>3</v>
      </c>
      <c r="L80">
        <f>IF(TbRegistroEntradas[[#This Row],[DATA DA COMPETENCIA]]="",0,YEAR(TbRegistroEntradas[[#This Row],[DATA DA COMPETENCIA]]))</f>
        <v>2018</v>
      </c>
      <c r="M80">
        <f>IF(TbRegistroEntradas[[#This Row],[DATA DO CAIXA PREVISTA]]="",0,MONTH(TbRegistroEntradas[[#This Row],[DATA DO CAIXA PREVISTA]]))</f>
        <v>4</v>
      </c>
      <c r="N80">
        <f>IF(TbRegistroEntradas[[#This Row],[DATA DO CAIXA PREVISTA]]="",0,YEAR(TbRegistroEntradas[[#This Row],[DATA DO CAIXA PREVISTA]]))</f>
        <v>2018</v>
      </c>
      <c r="O80" t="str">
        <f ca="1">IF(AND(TbRegistroEntradas[[#This Row],[DATA DO CAIXA PREVISTA]]&lt;TODAY(),TbRegistroEntradas[[#This Row],[DATA DO CAIXA REALIZADO]]=""),"Vencida","Não Vencida")</f>
        <v>Não Vencida</v>
      </c>
      <c r="P80" t="str">
        <f>IF(TbRegistroEntradas[[#This Row],[DATA DA COMPETENCIA]]=TbRegistroEntradas[[#This Row],[DATA DO CAIXA PREVISTA INT]],"VISTA","PRAZO")</f>
        <v>PRAZO</v>
      </c>
      <c r="Q80" s="14">
        <f>INT(TbRegistroEntradas[[#This Row],[DATA DO CAIXA PREVISTA]])</f>
        <v>43207</v>
      </c>
      <c r="R8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1" spans="2:18" x14ac:dyDescent="0.25">
      <c r="B81" s="14">
        <v>43234.457970610572</v>
      </c>
      <c r="C81" s="14">
        <v>43177</v>
      </c>
      <c r="D81" s="14">
        <v>43234.457970610572</v>
      </c>
      <c r="E81" t="s">
        <v>20</v>
      </c>
      <c r="F81" t="s">
        <v>36</v>
      </c>
      <c r="G81" t="s">
        <v>137</v>
      </c>
      <c r="H81" s="17">
        <v>3540</v>
      </c>
      <c r="I81">
        <f>IF(TbRegistroEntradas[[#This Row],[DATA DO CAIXA REALIZADO]]="",0,MONTH(TbRegistroEntradas[[#This Row],[DATA DO CAIXA REALIZADO]]))</f>
        <v>5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COMPETENCIA]]="",0,MONTH(TbRegistroEntradas[[#This Row],[DATA DA COMPETENCIA]]))</f>
        <v>3</v>
      </c>
      <c r="L81">
        <f>IF(TbRegistroEntradas[[#This Row],[DATA DA COMPETENCIA]]="",0,YEAR(TbRegistroEntradas[[#This Row],[DATA DA COMPETENCIA]]))</f>
        <v>2018</v>
      </c>
      <c r="M81">
        <f>IF(TbRegistroEntradas[[#This Row],[DATA DO CAIXA PREVISTA]]="",0,MONTH(TbRegistroEntradas[[#This Row],[DATA DO CAIXA PREVISTA]]))</f>
        <v>5</v>
      </c>
      <c r="N81">
        <f>IF(TbRegistroEntradas[[#This Row],[DATA DO CAIXA PREVISTA]]="",0,YEAR(TbRegistroEntradas[[#This Row],[DATA DO CAIXA PREVISTA]]))</f>
        <v>2018</v>
      </c>
      <c r="O81" t="str">
        <f ca="1">IF(AND(TbRegistroEntradas[[#This Row],[DATA DO CAIXA PREVISTA]]&lt;TODAY(),TbRegistroEntradas[[#This Row],[DATA DO CAIXA REALIZADO]]=""),"Vencida","Não Vencida")</f>
        <v>Não Vencida</v>
      </c>
      <c r="P81" t="str">
        <f>IF(TbRegistroEntradas[[#This Row],[DATA DA COMPETENCIA]]=TbRegistroEntradas[[#This Row],[DATA DO CAIXA PREVISTA INT]],"VISTA","PRAZO")</f>
        <v>PRAZO</v>
      </c>
      <c r="Q81" s="14">
        <f>INT(TbRegistroEntradas[[#This Row],[DATA DO CAIXA PREVISTA]])</f>
        <v>43234</v>
      </c>
      <c r="R8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2" spans="2:18" x14ac:dyDescent="0.25">
      <c r="B82" s="14">
        <v>43220.822063654756</v>
      </c>
      <c r="C82" s="14">
        <v>43180</v>
      </c>
      <c r="D82" s="14">
        <v>43220.822063654756</v>
      </c>
      <c r="E82" t="s">
        <v>20</v>
      </c>
      <c r="F82" t="s">
        <v>36</v>
      </c>
      <c r="G82" t="s">
        <v>138</v>
      </c>
      <c r="H82" s="17">
        <v>4606</v>
      </c>
      <c r="I82">
        <f>IF(TbRegistroEntradas[[#This Row],[DATA DO CAIXA REALIZADO]]="",0,MONTH(TbRegistroEntradas[[#This Row],[DATA DO CAIXA REALIZADO]]))</f>
        <v>4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COMPETENCIA]]="",0,MONTH(TbRegistroEntradas[[#This Row],[DATA DA COMPETENCIA]]))</f>
        <v>3</v>
      </c>
      <c r="L82">
        <f>IF(TbRegistroEntradas[[#This Row],[DATA DA COMPETENCIA]]="",0,YEAR(TbRegistroEntradas[[#This Row],[DATA DA COMPETENCIA]]))</f>
        <v>2018</v>
      </c>
      <c r="M82">
        <f>IF(TbRegistroEntradas[[#This Row],[DATA DO CAIXA PREVISTA]]="",0,MONTH(TbRegistroEntradas[[#This Row],[DATA DO CAIXA PREVISTA]]))</f>
        <v>4</v>
      </c>
      <c r="N82">
        <f>IF(TbRegistroEntradas[[#This Row],[DATA DO CAIXA PREVISTA]]="",0,YEAR(TbRegistroEntradas[[#This Row],[DATA DO CAIXA PREVISTA]]))</f>
        <v>2018</v>
      </c>
      <c r="O82" t="str">
        <f ca="1">IF(AND(TbRegistroEntradas[[#This Row],[DATA DO CAIXA PREVISTA]]&lt;TODAY(),TbRegistroEntradas[[#This Row],[DATA DO CAIXA REALIZADO]]=""),"Vencida","Não Vencida")</f>
        <v>Não Vencida</v>
      </c>
      <c r="P82" t="str">
        <f>IF(TbRegistroEntradas[[#This Row],[DATA DA COMPETENCIA]]=TbRegistroEntradas[[#This Row],[DATA DO CAIXA PREVISTA INT]],"VISTA","PRAZO")</f>
        <v>PRAZO</v>
      </c>
      <c r="Q82" s="14">
        <f>INT(TbRegistroEntradas[[#This Row],[DATA DO CAIXA PREVISTA]])</f>
        <v>43220</v>
      </c>
      <c r="R8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3" spans="2:18" x14ac:dyDescent="0.25">
      <c r="B83" s="14" t="s">
        <v>68</v>
      </c>
      <c r="C83" s="14">
        <v>43182</v>
      </c>
      <c r="D83" s="14">
        <v>43199.063059084292</v>
      </c>
      <c r="E83" t="s">
        <v>20</v>
      </c>
      <c r="F83" t="s">
        <v>37</v>
      </c>
      <c r="G83" t="s">
        <v>139</v>
      </c>
      <c r="H83" s="17">
        <v>2388</v>
      </c>
      <c r="I83">
        <f>IF(TbRegistroEntradas[[#This Row],[DATA DO CAIXA REALIZADO]]="",0,MONTH(TbRegistroEntradas[[#This Row],[DATA DO CAIXA REALIZADO]]))</f>
        <v>0</v>
      </c>
      <c r="J83">
        <f>IF(TbRegistroEntradas[[#This Row],[DATA DO CAIXA REALIZADO]]="",0,YEAR(TbRegistroEntradas[[#This Row],[DATA DO CAIXA REALIZADO]]))</f>
        <v>0</v>
      </c>
      <c r="K83">
        <f>IF(TbRegistroEntradas[[#This Row],[DATA DA COMPETENCIA]]="",0,MONTH(TbRegistroEntradas[[#This Row],[DATA DA COMPETENCIA]]))</f>
        <v>3</v>
      </c>
      <c r="L83">
        <f>IF(TbRegistroEntradas[[#This Row],[DATA DA COMPETENCIA]]="",0,YEAR(TbRegistroEntradas[[#This Row],[DATA DA COMPETENCIA]]))</f>
        <v>2018</v>
      </c>
      <c r="M83">
        <f>IF(TbRegistroEntradas[[#This Row],[DATA DO CAIXA PREVISTA]]="",0,MONTH(TbRegistroEntradas[[#This Row],[DATA DO CAIXA PREVISTA]]))</f>
        <v>4</v>
      </c>
      <c r="N83">
        <f>IF(TbRegistroEntradas[[#This Row],[DATA DO CAIXA PREVISTA]]="",0,YEAR(TbRegistroEntradas[[#This Row],[DATA DO CAIXA PREVISTA]]))</f>
        <v>2018</v>
      </c>
      <c r="O83" t="str">
        <f ca="1">IF(AND(TbRegistroEntradas[[#This Row],[DATA DO CAIXA PREVISTA]]&lt;TODAY(),TbRegistroEntradas[[#This Row],[DATA DO CAIXA REALIZADO]]=""),"Vencida","Não Vencida")</f>
        <v>Vencida</v>
      </c>
      <c r="P83" t="str">
        <f>IF(TbRegistroEntradas[[#This Row],[DATA DA COMPETENCIA]]=TbRegistroEntradas[[#This Row],[DATA DO CAIXA PREVISTA INT]],"VISTA","PRAZO")</f>
        <v>PRAZO</v>
      </c>
      <c r="Q83" s="14">
        <f>INT(TbRegistroEntradas[[#This Row],[DATA DO CAIXA PREVISTA]])</f>
        <v>43199</v>
      </c>
      <c r="R8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84" spans="2:18" x14ac:dyDescent="0.25">
      <c r="B84" s="14">
        <v>43187.544050679455</v>
      </c>
      <c r="C84" s="14">
        <v>43184</v>
      </c>
      <c r="D84" s="14">
        <v>43187.544050679455</v>
      </c>
      <c r="E84" t="s">
        <v>20</v>
      </c>
      <c r="F84" t="s">
        <v>46</v>
      </c>
      <c r="G84" t="s">
        <v>140</v>
      </c>
      <c r="H84" s="17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COMPETENCIA]]="",0,MONTH(TbRegistroEntradas[[#This Row],[DATA DA COMPETENCIA]]))</f>
        <v>3</v>
      </c>
      <c r="L84">
        <f>IF(TbRegistroEntradas[[#This Row],[DATA DA COMPETENCIA]]="",0,YEAR(TbRegistroEntradas[[#This Row],[DATA DA COMPETENCIA]]))</f>
        <v>2018</v>
      </c>
      <c r="M84">
        <f>IF(TbRegistroEntradas[[#This Row],[DATA DO CAIXA PREVISTA]]="",0,MONTH(TbRegistroEntradas[[#This Row],[DATA DO CAIXA PREVISTA]]))</f>
        <v>3</v>
      </c>
      <c r="N84">
        <f>IF(TbRegistroEntradas[[#This Row],[DATA DO CAIXA PREVISTA]]="",0,YEAR(TbRegistroEntradas[[#This Row],[DATA DO CAIXA PREVISTA]]))</f>
        <v>2018</v>
      </c>
      <c r="O84" t="str">
        <f ca="1">IF(AND(TbRegistroEntradas[[#This Row],[DATA DO CAIXA PREVISTA]]&lt;TODAY(),TbRegistroEntradas[[#This Row],[DATA DO CAIXA REALIZADO]]=""),"Vencida","Não Vencida")</f>
        <v>Não Vencida</v>
      </c>
      <c r="P84" t="str">
        <f>IF(TbRegistroEntradas[[#This Row],[DATA DA COMPETENCIA]]=TbRegistroEntradas[[#This Row],[DATA DO CAIXA PREVISTA INT]],"VISTA","PRAZO")</f>
        <v>PRAZO</v>
      </c>
      <c r="Q84" s="14">
        <f>INT(TbRegistroEntradas[[#This Row],[DATA DO CAIXA PREVISTA]])</f>
        <v>43187</v>
      </c>
      <c r="R8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5" spans="2:18" x14ac:dyDescent="0.25">
      <c r="B85" s="14">
        <v>43205.258677559352</v>
      </c>
      <c r="C85" s="14">
        <v>43187</v>
      </c>
      <c r="D85" s="14">
        <v>43205.258677559352</v>
      </c>
      <c r="E85" t="s">
        <v>20</v>
      </c>
      <c r="F85" t="s">
        <v>23</v>
      </c>
      <c r="G85" t="s">
        <v>141</v>
      </c>
      <c r="H85" s="17">
        <v>1662</v>
      </c>
      <c r="I85">
        <f>IF(TbRegistroEntradas[[#This Row],[DATA DO CAIXA REALIZADO]]="",0,MONTH(TbRegistroEntradas[[#This Row],[DATA DO CAIXA REALIZADO]]))</f>
        <v>4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COMPETENCIA]]="",0,MONTH(TbRegistroEntradas[[#This Row],[DATA DA COMPETENCIA]]))</f>
        <v>3</v>
      </c>
      <c r="L85">
        <f>IF(TbRegistroEntradas[[#This Row],[DATA DA COMPETENCIA]]="",0,YEAR(TbRegistroEntradas[[#This Row],[DATA DA COMPETENCIA]]))</f>
        <v>2018</v>
      </c>
      <c r="M85">
        <f>IF(TbRegistroEntradas[[#This Row],[DATA DO CAIXA PREVISTA]]="",0,MONTH(TbRegistroEntradas[[#This Row],[DATA DO CAIXA PREVISTA]]))</f>
        <v>4</v>
      </c>
      <c r="N85">
        <f>IF(TbRegistroEntradas[[#This Row],[DATA DO CAIXA PREVISTA]]="",0,YEAR(TbRegistroEntradas[[#This Row],[DATA DO CAIXA PREVISTA]]))</f>
        <v>2018</v>
      </c>
      <c r="O85" t="str">
        <f ca="1">IF(AND(TbRegistroEntradas[[#This Row],[DATA DO CAIXA PREVISTA]]&lt;TODAY(),TbRegistroEntradas[[#This Row],[DATA DO CAIXA REALIZADO]]=""),"Vencida","Não Vencida")</f>
        <v>Não Vencida</v>
      </c>
      <c r="P85" t="str">
        <f>IF(TbRegistroEntradas[[#This Row],[DATA DA COMPETENCIA]]=TbRegistroEntradas[[#This Row],[DATA DO CAIXA PREVISTA INT]],"VISTA","PRAZO")</f>
        <v>PRAZO</v>
      </c>
      <c r="Q85" s="14">
        <f>INT(TbRegistroEntradas[[#This Row],[DATA DO CAIXA PREVISTA]])</f>
        <v>43205</v>
      </c>
      <c r="R8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6" spans="2:18" x14ac:dyDescent="0.25">
      <c r="B86" s="14">
        <v>43228.479640925485</v>
      </c>
      <c r="C86" s="14">
        <v>43189</v>
      </c>
      <c r="D86" s="14">
        <v>43228.479640925485</v>
      </c>
      <c r="E86" t="s">
        <v>20</v>
      </c>
      <c r="F86" t="s">
        <v>37</v>
      </c>
      <c r="G86" t="s">
        <v>142</v>
      </c>
      <c r="H86" s="17">
        <v>3241</v>
      </c>
      <c r="I86">
        <f>IF(TbRegistroEntradas[[#This Row],[DATA DO CAIXA REALIZADO]]="",0,MONTH(TbRegistroEntradas[[#This Row],[DATA DO CAIXA REALIZADO]]))</f>
        <v>5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COMPETENCIA]]="",0,MONTH(TbRegistroEntradas[[#This Row],[DATA DA COMPETENCIA]]))</f>
        <v>3</v>
      </c>
      <c r="L86">
        <f>IF(TbRegistroEntradas[[#This Row],[DATA DA COMPETENCIA]]="",0,YEAR(TbRegistroEntradas[[#This Row],[DATA DA COMPETENCIA]]))</f>
        <v>2018</v>
      </c>
      <c r="M86">
        <f>IF(TbRegistroEntradas[[#This Row],[DATA DO CAIXA PREVISTA]]="",0,MONTH(TbRegistroEntradas[[#This Row],[DATA DO CAIXA PREVISTA]]))</f>
        <v>5</v>
      </c>
      <c r="N86">
        <f>IF(TbRegistroEntradas[[#This Row],[DATA DO CAIXA PREVISTA]]="",0,YEAR(TbRegistroEntradas[[#This Row],[DATA DO CAIXA PREVISTA]]))</f>
        <v>2018</v>
      </c>
      <c r="O86" t="str">
        <f ca="1">IF(AND(TbRegistroEntradas[[#This Row],[DATA DO CAIXA PREVISTA]]&lt;TODAY(),TbRegistroEntradas[[#This Row],[DATA DO CAIXA REALIZADO]]=""),"Vencida","Não Vencida")</f>
        <v>Não Vencida</v>
      </c>
      <c r="P86" t="str">
        <f>IF(TbRegistroEntradas[[#This Row],[DATA DA COMPETENCIA]]=TbRegistroEntradas[[#This Row],[DATA DO CAIXA PREVISTA INT]],"VISTA","PRAZO")</f>
        <v>PRAZO</v>
      </c>
      <c r="Q86" s="14">
        <f>INT(TbRegistroEntradas[[#This Row],[DATA DO CAIXA PREVISTA]])</f>
        <v>43228</v>
      </c>
      <c r="R8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7" spans="2:18" x14ac:dyDescent="0.25">
      <c r="B87" s="14">
        <v>43228.526498585612</v>
      </c>
      <c r="C87" s="14">
        <v>43190</v>
      </c>
      <c r="D87" s="14">
        <v>43228.526498585612</v>
      </c>
      <c r="E87" t="s">
        <v>20</v>
      </c>
      <c r="F87" t="s">
        <v>23</v>
      </c>
      <c r="G87" t="s">
        <v>143</v>
      </c>
      <c r="H87" s="17">
        <v>4017</v>
      </c>
      <c r="I87">
        <f>IF(TbRegistroEntradas[[#This Row],[DATA DO CAIXA REALIZADO]]="",0,MONTH(TbRegistroEntradas[[#This Row],[DATA DO CAIXA REALIZADO]]))</f>
        <v>5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COMPETENCIA]]="",0,MONTH(TbRegistroEntradas[[#This Row],[DATA DA COMPETENCIA]]))</f>
        <v>3</v>
      </c>
      <c r="L87">
        <f>IF(TbRegistroEntradas[[#This Row],[DATA DA COMPETENCIA]]="",0,YEAR(TbRegistroEntradas[[#This Row],[DATA DA COMPETENCIA]]))</f>
        <v>2018</v>
      </c>
      <c r="M87">
        <f>IF(TbRegistroEntradas[[#This Row],[DATA DO CAIXA PREVISTA]]="",0,MONTH(TbRegistroEntradas[[#This Row],[DATA DO CAIXA PREVISTA]]))</f>
        <v>5</v>
      </c>
      <c r="N87">
        <f>IF(TbRegistroEntradas[[#This Row],[DATA DO CAIXA PREVISTA]]="",0,YEAR(TbRegistroEntradas[[#This Row],[DATA DO CAIXA PREVISTA]]))</f>
        <v>2018</v>
      </c>
      <c r="O87" t="str">
        <f ca="1">IF(AND(TbRegistroEntradas[[#This Row],[DATA DO CAIXA PREVISTA]]&lt;TODAY(),TbRegistroEntradas[[#This Row],[DATA DO CAIXA REALIZADO]]=""),"Vencida","Não Vencida")</f>
        <v>Não Vencida</v>
      </c>
      <c r="P87" t="str">
        <f>IF(TbRegistroEntradas[[#This Row],[DATA DA COMPETENCIA]]=TbRegistroEntradas[[#This Row],[DATA DO CAIXA PREVISTA INT]],"VISTA","PRAZO")</f>
        <v>PRAZO</v>
      </c>
      <c r="Q87" s="14">
        <f>INT(TbRegistroEntradas[[#This Row],[DATA DO CAIXA PREVISTA]])</f>
        <v>43228</v>
      </c>
      <c r="R8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88" spans="2:18" x14ac:dyDescent="0.25">
      <c r="B88" s="14">
        <v>43289.577504759094</v>
      </c>
      <c r="C88" s="14">
        <v>43193</v>
      </c>
      <c r="D88" s="14">
        <v>43251.952991180231</v>
      </c>
      <c r="E88" t="s">
        <v>20</v>
      </c>
      <c r="F88" t="s">
        <v>36</v>
      </c>
      <c r="G88" t="s">
        <v>144</v>
      </c>
      <c r="H88" s="17">
        <v>3586</v>
      </c>
      <c r="I88">
        <f>IF(TbRegistroEntradas[[#This Row],[DATA DO CAIXA REALIZADO]]="",0,MONTH(TbRegistroEntradas[[#This Row],[DATA DO CAIXA REALIZADO]]))</f>
        <v>7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COMPETENCIA]]="",0,MONTH(TbRegistroEntradas[[#This Row],[DATA DA COMPETENCIA]]))</f>
        <v>4</v>
      </c>
      <c r="L88">
        <f>IF(TbRegistroEntradas[[#This Row],[DATA DA COMPETENCIA]]="",0,YEAR(TbRegistroEntradas[[#This Row],[DATA DA COMPETENCIA]]))</f>
        <v>2018</v>
      </c>
      <c r="M88">
        <f>IF(TbRegistroEntradas[[#This Row],[DATA DO CAIXA PREVISTA]]="",0,MONTH(TbRegistroEntradas[[#This Row],[DATA DO CAIXA PREVISTA]]))</f>
        <v>5</v>
      </c>
      <c r="N88">
        <f>IF(TbRegistroEntradas[[#This Row],[DATA DO CAIXA PREVISTA]]="",0,YEAR(TbRegistroEntradas[[#This Row],[DATA DO CAIXA PREVISTA]]))</f>
        <v>2018</v>
      </c>
      <c r="O88" t="str">
        <f ca="1">IF(AND(TbRegistroEntradas[[#This Row],[DATA DO CAIXA PREVISTA]]&lt;TODAY(),TbRegistroEntradas[[#This Row],[DATA DO CAIXA REALIZADO]]=""),"Vencida","Não Vencida")</f>
        <v>Não Vencida</v>
      </c>
      <c r="P88" t="str">
        <f>IF(TbRegistroEntradas[[#This Row],[DATA DA COMPETENCIA]]=TbRegistroEntradas[[#This Row],[DATA DO CAIXA PREVISTA INT]],"VISTA","PRAZO")</f>
        <v>PRAZO</v>
      </c>
      <c r="Q88" s="14">
        <f>INT(TbRegistroEntradas[[#This Row],[DATA DO CAIXA PREVISTA]])</f>
        <v>43251</v>
      </c>
      <c r="R8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37.624513578863116</v>
      </c>
    </row>
    <row r="89" spans="2:18" x14ac:dyDescent="0.25">
      <c r="B89" s="14">
        <v>43221.091190775791</v>
      </c>
      <c r="C89" s="14">
        <v>43196</v>
      </c>
      <c r="D89" s="14">
        <v>43221.091190775791</v>
      </c>
      <c r="E89" t="s">
        <v>20</v>
      </c>
      <c r="F89" t="s">
        <v>37</v>
      </c>
      <c r="G89" t="s">
        <v>145</v>
      </c>
      <c r="H89" s="17">
        <v>4467</v>
      </c>
      <c r="I89">
        <f>IF(TbRegistroEntradas[[#This Row],[DATA DO CAIXA REALIZADO]]="",0,MONTH(TbRegistroEntradas[[#This Row],[DATA DO CAIXA REALIZADO]]))</f>
        <v>5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COMPETENCIA]]="",0,MONTH(TbRegistroEntradas[[#This Row],[DATA DA COMPETENCIA]]))</f>
        <v>4</v>
      </c>
      <c r="L89">
        <f>IF(TbRegistroEntradas[[#This Row],[DATA DA COMPETENCIA]]="",0,YEAR(TbRegistroEntradas[[#This Row],[DATA DA COMPETENCIA]]))</f>
        <v>2018</v>
      </c>
      <c r="M89">
        <f>IF(TbRegistroEntradas[[#This Row],[DATA DO CAIXA PREVISTA]]="",0,MONTH(TbRegistroEntradas[[#This Row],[DATA DO CAIXA PREVISTA]]))</f>
        <v>5</v>
      </c>
      <c r="N89">
        <f>IF(TbRegistroEntradas[[#This Row],[DATA DO CAIXA PREVISTA]]="",0,YEAR(TbRegistroEntradas[[#This Row],[DATA DO CAIXA PREVISTA]]))</f>
        <v>2018</v>
      </c>
      <c r="O89" t="str">
        <f ca="1">IF(AND(TbRegistroEntradas[[#This Row],[DATA DO CAIXA PREVISTA]]&lt;TODAY(),TbRegistroEntradas[[#This Row],[DATA DO CAIXA REALIZADO]]=""),"Vencida","Não Vencida")</f>
        <v>Não Vencida</v>
      </c>
      <c r="P89" t="str">
        <f>IF(TbRegistroEntradas[[#This Row],[DATA DA COMPETENCIA]]=TbRegistroEntradas[[#This Row],[DATA DO CAIXA PREVISTA INT]],"VISTA","PRAZO")</f>
        <v>PRAZO</v>
      </c>
      <c r="Q89" s="14">
        <f>INT(TbRegistroEntradas[[#This Row],[DATA DO CAIXA PREVISTA]])</f>
        <v>43221</v>
      </c>
      <c r="R8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90" spans="2:18" x14ac:dyDescent="0.25">
      <c r="B90" s="14">
        <v>43251.171133907985</v>
      </c>
      <c r="C90" s="14">
        <v>43199</v>
      </c>
      <c r="D90" s="14">
        <v>43251.171133907985</v>
      </c>
      <c r="E90" t="s">
        <v>20</v>
      </c>
      <c r="F90" t="s">
        <v>36</v>
      </c>
      <c r="G90" t="s">
        <v>146</v>
      </c>
      <c r="H90" s="17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COMPETENCIA]]="",0,MONTH(TbRegistroEntradas[[#This Row],[DATA DA COMPETENCIA]]))</f>
        <v>4</v>
      </c>
      <c r="L90">
        <f>IF(TbRegistroEntradas[[#This Row],[DATA DA COMPETENCIA]]="",0,YEAR(TbRegistroEntradas[[#This Row],[DATA DA COMPETENCIA]]))</f>
        <v>2018</v>
      </c>
      <c r="M90">
        <f>IF(TbRegistroEntradas[[#This Row],[DATA DO CAIXA PREVISTA]]="",0,MONTH(TbRegistroEntradas[[#This Row],[DATA DO CAIXA PREVISTA]]))</f>
        <v>5</v>
      </c>
      <c r="N90">
        <f>IF(TbRegistroEntradas[[#This Row],[DATA DO CAIXA PREVISTA]]="",0,YEAR(TbRegistroEntradas[[#This Row],[DATA DO CAIXA PREVISTA]]))</f>
        <v>2018</v>
      </c>
      <c r="O90" t="str">
        <f ca="1">IF(AND(TbRegistroEntradas[[#This Row],[DATA DO CAIXA PREVISTA]]&lt;TODAY(),TbRegistroEntradas[[#This Row],[DATA DO CAIXA REALIZADO]]=""),"Vencida","Não Vencida")</f>
        <v>Não Vencida</v>
      </c>
      <c r="P90" t="str">
        <f>IF(TbRegistroEntradas[[#This Row],[DATA DA COMPETENCIA]]=TbRegistroEntradas[[#This Row],[DATA DO CAIXA PREVISTA INT]],"VISTA","PRAZO")</f>
        <v>PRAZO</v>
      </c>
      <c r="Q90" s="14">
        <f>INT(TbRegistroEntradas[[#This Row],[DATA DO CAIXA PREVISTA]])</f>
        <v>43251</v>
      </c>
      <c r="R9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91" spans="2:18" x14ac:dyDescent="0.25">
      <c r="B91" s="14">
        <v>43264.89293629631</v>
      </c>
      <c r="C91" s="14">
        <v>43201</v>
      </c>
      <c r="D91" s="14">
        <v>43260.535750034454</v>
      </c>
      <c r="E91" t="s">
        <v>20</v>
      </c>
      <c r="F91" t="s">
        <v>36</v>
      </c>
      <c r="G91" t="s">
        <v>147</v>
      </c>
      <c r="H91" s="17">
        <v>2593</v>
      </c>
      <c r="I91">
        <f>IF(TbRegistroEntradas[[#This Row],[DATA DO CAIXA REALIZADO]]="",0,MONTH(TbRegistroEntradas[[#This Row],[DATA DO CAIXA REALIZADO]]))</f>
        <v>6</v>
      </c>
      <c r="J91">
        <f>IF(TbRegistroEntradas[[#This Row],[DATA DO CAIXA REALIZADO]]="",0,YEAR(TbRegistroEntradas[[#This Row],[DATA DO CAIXA REALIZADO]]))</f>
        <v>2018</v>
      </c>
      <c r="K91">
        <f>IF(TbRegistroEntradas[[#This Row],[DATA DA COMPETENCIA]]="",0,MONTH(TbRegistroEntradas[[#This Row],[DATA DA COMPETENCIA]]))</f>
        <v>4</v>
      </c>
      <c r="L91">
        <f>IF(TbRegistroEntradas[[#This Row],[DATA DA COMPETENCIA]]="",0,YEAR(TbRegistroEntradas[[#This Row],[DATA DA COMPETENCIA]]))</f>
        <v>2018</v>
      </c>
      <c r="M91">
        <f>IF(TbRegistroEntradas[[#This Row],[DATA DO CAIXA PREVISTA]]="",0,MONTH(TbRegistroEntradas[[#This Row],[DATA DO CAIXA PREVISTA]]))</f>
        <v>6</v>
      </c>
      <c r="N91">
        <f>IF(TbRegistroEntradas[[#This Row],[DATA DO CAIXA PREVISTA]]="",0,YEAR(TbRegistroEntradas[[#This Row],[DATA DO CAIXA PREVISTA]]))</f>
        <v>2018</v>
      </c>
      <c r="O91" t="str">
        <f ca="1">IF(AND(TbRegistroEntradas[[#This Row],[DATA DO CAIXA PREVISTA]]&lt;TODAY(),TbRegistroEntradas[[#This Row],[DATA DO CAIXA REALIZADO]]=""),"Vencida","Não Vencida")</f>
        <v>Não Vencida</v>
      </c>
      <c r="P91" t="str">
        <f>IF(TbRegistroEntradas[[#This Row],[DATA DA COMPETENCIA]]=TbRegistroEntradas[[#This Row],[DATA DO CAIXA PREVISTA INT]],"VISTA","PRAZO")</f>
        <v>PRAZO</v>
      </c>
      <c r="Q91" s="14">
        <f>INT(TbRegistroEntradas[[#This Row],[DATA DO CAIXA PREVISTA]])</f>
        <v>43260</v>
      </c>
      <c r="R9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4.3571862618555315</v>
      </c>
    </row>
    <row r="92" spans="2:18" x14ac:dyDescent="0.25">
      <c r="B92" s="14">
        <v>43224.851474146271</v>
      </c>
      <c r="C92" s="14">
        <v>43204</v>
      </c>
      <c r="D92" s="14">
        <v>43224.851474146271</v>
      </c>
      <c r="E92" t="s">
        <v>20</v>
      </c>
      <c r="F92" t="s">
        <v>36</v>
      </c>
      <c r="G92" t="s">
        <v>148</v>
      </c>
      <c r="H92" s="17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COMPETENCIA]]="",0,MONTH(TbRegistroEntradas[[#This Row],[DATA DA COMPETENCIA]]))</f>
        <v>4</v>
      </c>
      <c r="L92">
        <f>IF(TbRegistroEntradas[[#This Row],[DATA DA COMPETENCIA]]="",0,YEAR(TbRegistroEntradas[[#This Row],[DATA DA COMPETENCIA]]))</f>
        <v>2018</v>
      </c>
      <c r="M92">
        <f>IF(TbRegistroEntradas[[#This Row],[DATA DO CAIXA PREVISTA]]="",0,MONTH(TbRegistroEntradas[[#This Row],[DATA DO CAIXA PREVISTA]]))</f>
        <v>5</v>
      </c>
      <c r="N92">
        <f>IF(TbRegistroEntradas[[#This Row],[DATA DO CAIXA PREVISTA]]="",0,YEAR(TbRegistroEntradas[[#This Row],[DATA DO CAIXA PREVISTA]]))</f>
        <v>2018</v>
      </c>
      <c r="O92" t="str">
        <f ca="1">IF(AND(TbRegistroEntradas[[#This Row],[DATA DO CAIXA PREVISTA]]&lt;TODAY(),TbRegistroEntradas[[#This Row],[DATA DO CAIXA REALIZADO]]=""),"Vencida","Não Vencida")</f>
        <v>Não Vencida</v>
      </c>
      <c r="P92" t="str">
        <f>IF(TbRegistroEntradas[[#This Row],[DATA DA COMPETENCIA]]=TbRegistroEntradas[[#This Row],[DATA DO CAIXA PREVISTA INT]],"VISTA","PRAZO")</f>
        <v>PRAZO</v>
      </c>
      <c r="Q92" s="14">
        <f>INT(TbRegistroEntradas[[#This Row],[DATA DO CAIXA PREVISTA]])</f>
        <v>43224</v>
      </c>
      <c r="R9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93" spans="2:18" x14ac:dyDescent="0.25">
      <c r="B93" s="14" t="s">
        <v>68</v>
      </c>
      <c r="C93" s="14">
        <v>43209</v>
      </c>
      <c r="D93" s="14">
        <v>43266.340119269124</v>
      </c>
      <c r="E93" t="s">
        <v>20</v>
      </c>
      <c r="F93" t="s">
        <v>36</v>
      </c>
      <c r="G93" t="s">
        <v>149</v>
      </c>
      <c r="H93" s="17">
        <v>2224</v>
      </c>
      <c r="I93">
        <f>IF(TbRegistroEntradas[[#This Row],[DATA DO CAIXA REALIZADO]]="",0,MONTH(TbRegistroEntradas[[#This Row],[DATA DO CAIXA REALIZADO]]))</f>
        <v>0</v>
      </c>
      <c r="J93">
        <f>IF(TbRegistroEntradas[[#This Row],[DATA DO CAIXA REALIZADO]]="",0,YEAR(TbRegistroEntradas[[#This Row],[DATA DO CAIXA REALIZADO]]))</f>
        <v>0</v>
      </c>
      <c r="K93">
        <f>IF(TbRegistroEntradas[[#This Row],[DATA DA COMPETENCIA]]="",0,MONTH(TbRegistroEntradas[[#This Row],[DATA DA COMPETENCIA]]))</f>
        <v>4</v>
      </c>
      <c r="L93">
        <f>IF(TbRegistroEntradas[[#This Row],[DATA DA COMPETENCIA]]="",0,YEAR(TbRegistroEntradas[[#This Row],[DATA DA COMPETENCIA]]))</f>
        <v>2018</v>
      </c>
      <c r="M93">
        <f>IF(TbRegistroEntradas[[#This Row],[DATA DO CAIXA PREVISTA]]="",0,MONTH(TbRegistroEntradas[[#This Row],[DATA DO CAIXA PREVISTA]]))</f>
        <v>6</v>
      </c>
      <c r="N93">
        <f>IF(TbRegistroEntradas[[#This Row],[DATA DO CAIXA PREVISTA]]="",0,YEAR(TbRegistroEntradas[[#This Row],[DATA DO CAIXA PREVISTA]]))</f>
        <v>2018</v>
      </c>
      <c r="O93" t="str">
        <f ca="1">IF(AND(TbRegistroEntradas[[#This Row],[DATA DO CAIXA PREVISTA]]&lt;TODAY(),TbRegistroEntradas[[#This Row],[DATA DO CAIXA REALIZADO]]=""),"Vencida","Não Vencida")</f>
        <v>Vencida</v>
      </c>
      <c r="P93" t="str">
        <f>IF(TbRegistroEntradas[[#This Row],[DATA DA COMPETENCIA]]=TbRegistroEntradas[[#This Row],[DATA DO CAIXA PREVISTA INT]],"VISTA","PRAZO")</f>
        <v>PRAZO</v>
      </c>
      <c r="Q93" s="14">
        <f>INT(TbRegistroEntradas[[#This Row],[DATA DO CAIXA PREVISTA]])</f>
        <v>43266</v>
      </c>
      <c r="R9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94" spans="2:18" x14ac:dyDescent="0.25">
      <c r="B94" s="14">
        <v>43302.517348540277</v>
      </c>
      <c r="C94" s="14">
        <v>43213</v>
      </c>
      <c r="D94" s="14">
        <v>43234.087727619473</v>
      </c>
      <c r="E94" t="s">
        <v>20</v>
      </c>
      <c r="F94" t="s">
        <v>36</v>
      </c>
      <c r="G94" t="s">
        <v>150</v>
      </c>
      <c r="H94" s="17">
        <v>3223</v>
      </c>
      <c r="I94">
        <f>IF(TbRegistroEntradas[[#This Row],[DATA DO CAIXA REALIZADO]]="",0,MONTH(TbRegistroEntradas[[#This Row],[DATA DO CAIXA REALIZADO]]))</f>
        <v>7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COMPETENCIA]]="",0,MONTH(TbRegistroEntradas[[#This Row],[DATA DA COMPETENCIA]]))</f>
        <v>4</v>
      </c>
      <c r="L94">
        <f>IF(TbRegistroEntradas[[#This Row],[DATA DA COMPETENCIA]]="",0,YEAR(TbRegistroEntradas[[#This Row],[DATA DA COMPETENCIA]]))</f>
        <v>2018</v>
      </c>
      <c r="M94">
        <f>IF(TbRegistroEntradas[[#This Row],[DATA DO CAIXA PREVISTA]]="",0,MONTH(TbRegistroEntradas[[#This Row],[DATA DO CAIXA PREVISTA]]))</f>
        <v>5</v>
      </c>
      <c r="N94">
        <f>IF(TbRegistroEntradas[[#This Row],[DATA DO CAIXA PREVISTA]]="",0,YEAR(TbRegistroEntradas[[#This Row],[DATA DO CAIXA PREVISTA]]))</f>
        <v>2018</v>
      </c>
      <c r="O94" t="str">
        <f ca="1">IF(AND(TbRegistroEntradas[[#This Row],[DATA DO CAIXA PREVISTA]]&lt;TODAY(),TbRegistroEntradas[[#This Row],[DATA DO CAIXA REALIZADO]]=""),"Vencida","Não Vencida")</f>
        <v>Não Vencida</v>
      </c>
      <c r="P94" t="str">
        <f>IF(TbRegistroEntradas[[#This Row],[DATA DA COMPETENCIA]]=TbRegistroEntradas[[#This Row],[DATA DO CAIXA PREVISTA INT]],"VISTA","PRAZO")</f>
        <v>PRAZO</v>
      </c>
      <c r="Q94" s="14">
        <f>INT(TbRegistroEntradas[[#This Row],[DATA DO CAIXA PREVISTA]])</f>
        <v>43234</v>
      </c>
      <c r="R9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68.429620920804155</v>
      </c>
    </row>
    <row r="95" spans="2:18" x14ac:dyDescent="0.25">
      <c r="B95" s="14">
        <v>43299.933065152305</v>
      </c>
      <c r="C95" s="14">
        <v>43216</v>
      </c>
      <c r="D95" s="14">
        <v>43265.015379904566</v>
      </c>
      <c r="E95" t="s">
        <v>20</v>
      </c>
      <c r="F95" t="s">
        <v>38</v>
      </c>
      <c r="G95" t="s">
        <v>151</v>
      </c>
      <c r="H95" s="17">
        <v>3446</v>
      </c>
      <c r="I95">
        <f>IF(TbRegistroEntradas[[#This Row],[DATA DO CAIXA REALIZADO]]="",0,MONTH(TbRegistroEntradas[[#This Row],[DATA DO CAIXA REALIZADO]]))</f>
        <v>7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COMPETENCIA]]="",0,MONTH(TbRegistroEntradas[[#This Row],[DATA DA COMPETENCIA]]))</f>
        <v>4</v>
      </c>
      <c r="L95">
        <f>IF(TbRegistroEntradas[[#This Row],[DATA DA COMPETENCIA]]="",0,YEAR(TbRegistroEntradas[[#This Row],[DATA DA COMPETENCIA]]))</f>
        <v>2018</v>
      </c>
      <c r="M95">
        <f>IF(TbRegistroEntradas[[#This Row],[DATA DO CAIXA PREVISTA]]="",0,MONTH(TbRegistroEntradas[[#This Row],[DATA DO CAIXA PREVISTA]]))</f>
        <v>6</v>
      </c>
      <c r="N95">
        <f>IF(TbRegistroEntradas[[#This Row],[DATA DO CAIXA PREVISTA]]="",0,YEAR(TbRegistroEntradas[[#This Row],[DATA DO CAIXA PREVISTA]]))</f>
        <v>2018</v>
      </c>
      <c r="O95" t="str">
        <f ca="1">IF(AND(TbRegistroEntradas[[#This Row],[DATA DO CAIXA PREVISTA]]&lt;TODAY(),TbRegistroEntradas[[#This Row],[DATA DO CAIXA REALIZADO]]=""),"Vencida","Não Vencida")</f>
        <v>Não Vencida</v>
      </c>
      <c r="P95" t="str">
        <f>IF(TbRegistroEntradas[[#This Row],[DATA DA COMPETENCIA]]=TbRegistroEntradas[[#This Row],[DATA DO CAIXA PREVISTA INT]],"VISTA","PRAZO")</f>
        <v>PRAZO</v>
      </c>
      <c r="Q95" s="14">
        <f>INT(TbRegistroEntradas[[#This Row],[DATA DO CAIXA PREVISTA]])</f>
        <v>43265</v>
      </c>
      <c r="R9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34.917685247739428</v>
      </c>
    </row>
    <row r="96" spans="2:18" x14ac:dyDescent="0.25">
      <c r="B96" s="14">
        <v>43265.565544078599</v>
      </c>
      <c r="C96" s="14">
        <v>43220</v>
      </c>
      <c r="D96" s="14">
        <v>43265.565544078599</v>
      </c>
      <c r="E96" t="s">
        <v>20</v>
      </c>
      <c r="F96" t="s">
        <v>36</v>
      </c>
      <c r="G96" t="s">
        <v>152</v>
      </c>
      <c r="H96" s="17">
        <v>4540</v>
      </c>
      <c r="I96">
        <f>IF(TbRegistroEntradas[[#This Row],[DATA DO CAIXA REALIZADO]]="",0,MONTH(TbRegistroEntradas[[#This Row],[DATA DO CAIXA REALIZADO]]))</f>
        <v>6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COMPETENCIA]]="",0,MONTH(TbRegistroEntradas[[#This Row],[DATA DA COMPETENCIA]]))</f>
        <v>4</v>
      </c>
      <c r="L96">
        <f>IF(TbRegistroEntradas[[#This Row],[DATA DA COMPETENCIA]]="",0,YEAR(TbRegistroEntradas[[#This Row],[DATA DA COMPETENCIA]]))</f>
        <v>2018</v>
      </c>
      <c r="M96">
        <f>IF(TbRegistroEntradas[[#This Row],[DATA DO CAIXA PREVISTA]]="",0,MONTH(TbRegistroEntradas[[#This Row],[DATA DO CAIXA PREVISTA]]))</f>
        <v>6</v>
      </c>
      <c r="N96">
        <f>IF(TbRegistroEntradas[[#This Row],[DATA DO CAIXA PREVISTA]]="",0,YEAR(TbRegistroEntradas[[#This Row],[DATA DO CAIXA PREVISTA]]))</f>
        <v>2018</v>
      </c>
      <c r="O96" t="str">
        <f ca="1">IF(AND(TbRegistroEntradas[[#This Row],[DATA DO CAIXA PREVISTA]]&lt;TODAY(),TbRegistroEntradas[[#This Row],[DATA DO CAIXA REALIZADO]]=""),"Vencida","Não Vencida")</f>
        <v>Não Vencida</v>
      </c>
      <c r="P96" t="str">
        <f>IF(TbRegistroEntradas[[#This Row],[DATA DA COMPETENCIA]]=TbRegistroEntradas[[#This Row],[DATA DO CAIXA PREVISTA INT]],"VISTA","PRAZO")</f>
        <v>PRAZO</v>
      </c>
      <c r="Q96" s="14">
        <f>INT(TbRegistroEntradas[[#This Row],[DATA DO CAIXA PREVISTA]])</f>
        <v>43265</v>
      </c>
      <c r="R9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97" spans="2:18" x14ac:dyDescent="0.25">
      <c r="B97" s="14">
        <v>43330.643378541507</v>
      </c>
      <c r="C97" s="14">
        <v>43228</v>
      </c>
      <c r="D97" s="14">
        <v>43283.921086983224</v>
      </c>
      <c r="E97" t="s">
        <v>20</v>
      </c>
      <c r="F97" t="s">
        <v>23</v>
      </c>
      <c r="G97" t="s">
        <v>153</v>
      </c>
      <c r="H97" s="17">
        <v>3862</v>
      </c>
      <c r="I97">
        <f>IF(TbRegistroEntradas[[#This Row],[DATA DO CAIXA REALIZADO]]="",0,MONTH(TbRegistroEntradas[[#This Row],[DATA DO CAIXA REALIZADO]]))</f>
        <v>8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COMPETENCIA]]="",0,MONTH(TbRegistroEntradas[[#This Row],[DATA DA COMPETENCIA]]))</f>
        <v>5</v>
      </c>
      <c r="L97">
        <f>IF(TbRegistroEntradas[[#This Row],[DATA DA COMPETENCIA]]="",0,YEAR(TbRegistroEntradas[[#This Row],[DATA DA COMPETENCIA]]))</f>
        <v>2018</v>
      </c>
      <c r="M97">
        <f>IF(TbRegistroEntradas[[#This Row],[DATA DO CAIXA PREVISTA]]="",0,MONTH(TbRegistroEntradas[[#This Row],[DATA DO CAIXA PREVISTA]]))</f>
        <v>7</v>
      </c>
      <c r="N97">
        <f>IF(TbRegistroEntradas[[#This Row],[DATA DO CAIXA PREVISTA]]="",0,YEAR(TbRegistroEntradas[[#This Row],[DATA DO CAIXA PREVISTA]]))</f>
        <v>2018</v>
      </c>
      <c r="O97" t="str">
        <f ca="1">IF(AND(TbRegistroEntradas[[#This Row],[DATA DO CAIXA PREVISTA]]&lt;TODAY(),TbRegistroEntradas[[#This Row],[DATA DO CAIXA REALIZADO]]=""),"Vencida","Não Vencida")</f>
        <v>Não Vencida</v>
      </c>
      <c r="P97" t="str">
        <f>IF(TbRegistroEntradas[[#This Row],[DATA DA COMPETENCIA]]=TbRegistroEntradas[[#This Row],[DATA DO CAIXA PREVISTA INT]],"VISTA","PRAZO")</f>
        <v>PRAZO</v>
      </c>
      <c r="Q97" s="14">
        <f>INT(TbRegistroEntradas[[#This Row],[DATA DO CAIXA PREVISTA]])</f>
        <v>43283</v>
      </c>
      <c r="R9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46.72229155828245</v>
      </c>
    </row>
    <row r="98" spans="2:18" x14ac:dyDescent="0.25">
      <c r="B98" s="14">
        <v>43279.381017407846</v>
      </c>
      <c r="C98" s="14">
        <v>43231</v>
      </c>
      <c r="D98" s="14">
        <v>43279.381017407846</v>
      </c>
      <c r="E98" t="s">
        <v>20</v>
      </c>
      <c r="F98" t="s">
        <v>38</v>
      </c>
      <c r="G98" t="s">
        <v>154</v>
      </c>
      <c r="H98" s="17">
        <v>611</v>
      </c>
      <c r="I98">
        <f>IF(TbRegistroEntradas[[#This Row],[DATA DO CAIXA REALIZADO]]="",0,MONTH(TbRegistroEntradas[[#This Row],[DATA DO CAIXA REALIZADO]]))</f>
        <v>6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COMPETENCIA]]="",0,MONTH(TbRegistroEntradas[[#This Row],[DATA DA COMPETENCIA]]))</f>
        <v>5</v>
      </c>
      <c r="L98">
        <f>IF(TbRegistroEntradas[[#This Row],[DATA DA COMPETENCIA]]="",0,YEAR(TbRegistroEntradas[[#This Row],[DATA DA COMPETENCIA]]))</f>
        <v>2018</v>
      </c>
      <c r="M98">
        <f>IF(TbRegistroEntradas[[#This Row],[DATA DO CAIXA PREVISTA]]="",0,MONTH(TbRegistroEntradas[[#This Row],[DATA DO CAIXA PREVISTA]]))</f>
        <v>6</v>
      </c>
      <c r="N98">
        <f>IF(TbRegistroEntradas[[#This Row],[DATA DO CAIXA PREVISTA]]="",0,YEAR(TbRegistroEntradas[[#This Row],[DATA DO CAIXA PREVISTA]]))</f>
        <v>2018</v>
      </c>
      <c r="O98" t="str">
        <f ca="1">IF(AND(TbRegistroEntradas[[#This Row],[DATA DO CAIXA PREVISTA]]&lt;TODAY(),TbRegistroEntradas[[#This Row],[DATA DO CAIXA REALIZADO]]=""),"Vencida","Não Vencida")</f>
        <v>Não Vencida</v>
      </c>
      <c r="P98" t="str">
        <f>IF(TbRegistroEntradas[[#This Row],[DATA DA COMPETENCIA]]=TbRegistroEntradas[[#This Row],[DATA DO CAIXA PREVISTA INT]],"VISTA","PRAZO")</f>
        <v>PRAZO</v>
      </c>
      <c r="Q98" s="14">
        <f>INT(TbRegistroEntradas[[#This Row],[DATA DO CAIXA PREVISTA]])</f>
        <v>43279</v>
      </c>
      <c r="R9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99" spans="2:18" x14ac:dyDescent="0.25">
      <c r="B99" s="14">
        <v>43285.463133098099</v>
      </c>
      <c r="C99" s="14">
        <v>43233</v>
      </c>
      <c r="D99" s="14">
        <v>43285.463133098099</v>
      </c>
      <c r="E99" t="s">
        <v>20</v>
      </c>
      <c r="F99" t="s">
        <v>46</v>
      </c>
      <c r="G99" t="s">
        <v>155</v>
      </c>
      <c r="H99" s="17">
        <v>1486</v>
      </c>
      <c r="I99">
        <f>IF(TbRegistroEntradas[[#This Row],[DATA DO CAIXA REALIZADO]]="",0,MONTH(TbRegistroEntradas[[#This Row],[DATA DO CAIXA REALIZADO]]))</f>
        <v>7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COMPETENCIA]]="",0,MONTH(TbRegistroEntradas[[#This Row],[DATA DA COMPETENCIA]]))</f>
        <v>5</v>
      </c>
      <c r="L99">
        <f>IF(TbRegistroEntradas[[#This Row],[DATA DA COMPETENCIA]]="",0,YEAR(TbRegistroEntradas[[#This Row],[DATA DA COMPETENCIA]]))</f>
        <v>2018</v>
      </c>
      <c r="M99">
        <f>IF(TbRegistroEntradas[[#This Row],[DATA DO CAIXA PREVISTA]]="",0,MONTH(TbRegistroEntradas[[#This Row],[DATA DO CAIXA PREVISTA]]))</f>
        <v>7</v>
      </c>
      <c r="N99">
        <f>IF(TbRegistroEntradas[[#This Row],[DATA DO CAIXA PREVISTA]]="",0,YEAR(TbRegistroEntradas[[#This Row],[DATA DO CAIXA PREVISTA]]))</f>
        <v>2018</v>
      </c>
      <c r="O99" t="str">
        <f ca="1">IF(AND(TbRegistroEntradas[[#This Row],[DATA DO CAIXA PREVISTA]]&lt;TODAY(),TbRegistroEntradas[[#This Row],[DATA DO CAIXA REALIZADO]]=""),"Vencida","Não Vencida")</f>
        <v>Não Vencida</v>
      </c>
      <c r="P99" t="str">
        <f>IF(TbRegistroEntradas[[#This Row],[DATA DA COMPETENCIA]]=TbRegistroEntradas[[#This Row],[DATA DO CAIXA PREVISTA INT]],"VISTA","PRAZO")</f>
        <v>PRAZO</v>
      </c>
      <c r="Q99" s="14">
        <f>INT(TbRegistroEntradas[[#This Row],[DATA DO CAIXA PREVISTA]])</f>
        <v>43285</v>
      </c>
      <c r="R9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0" spans="2:18" x14ac:dyDescent="0.25">
      <c r="B100" s="14">
        <v>43252.121501784946</v>
      </c>
      <c r="C100" s="14">
        <v>43241</v>
      </c>
      <c r="D100" s="14">
        <v>43252.121501784946</v>
      </c>
      <c r="E100" t="s">
        <v>20</v>
      </c>
      <c r="F100" t="s">
        <v>36</v>
      </c>
      <c r="G100" t="s">
        <v>156</v>
      </c>
      <c r="H100" s="17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COMPETENCIA]]="",0,MONTH(TbRegistroEntradas[[#This Row],[DATA DA COMPETENCIA]]))</f>
        <v>5</v>
      </c>
      <c r="L100">
        <f>IF(TbRegistroEntradas[[#This Row],[DATA DA COMPETENCIA]]="",0,YEAR(TbRegistroEntradas[[#This Row],[DATA DA COMPETENCIA]]))</f>
        <v>2018</v>
      </c>
      <c r="M100">
        <f>IF(TbRegistroEntradas[[#This Row],[DATA DO CAIXA PREVISTA]]="",0,MONTH(TbRegistroEntradas[[#This Row],[DATA DO CAIXA PREVISTA]]))</f>
        <v>6</v>
      </c>
      <c r="N100">
        <f>IF(TbRegistroEntradas[[#This Row],[DATA DO CAIXA PREVISTA]]="",0,YEAR(TbRegistroEntradas[[#This Row],[DATA DO CAIXA PREVISTA]]))</f>
        <v>2018</v>
      </c>
      <c r="O100" t="str">
        <f ca="1">IF(AND(TbRegistroEntradas[[#This Row],[DATA DO CAIXA PREVISTA]]&lt;TODAY(),TbRegistroEntradas[[#This Row],[DATA DO CAIXA REALIZADO]]=""),"Vencida","Não Vencida")</f>
        <v>Não Vencida</v>
      </c>
      <c r="P100" t="str">
        <f>IF(TbRegistroEntradas[[#This Row],[DATA DA COMPETENCIA]]=TbRegistroEntradas[[#This Row],[DATA DO CAIXA PREVISTA INT]],"VISTA","PRAZO")</f>
        <v>PRAZO</v>
      </c>
      <c r="Q100" s="14">
        <f>INT(TbRegistroEntradas[[#This Row],[DATA DO CAIXA PREVISTA]])</f>
        <v>43252</v>
      </c>
      <c r="R10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1" spans="2:18" x14ac:dyDescent="0.25">
      <c r="B101" s="14" t="s">
        <v>68</v>
      </c>
      <c r="C101" s="14">
        <v>43244</v>
      </c>
      <c r="D101" s="14">
        <v>43275.457463184524</v>
      </c>
      <c r="E101" t="s">
        <v>20</v>
      </c>
      <c r="F101" t="s">
        <v>46</v>
      </c>
      <c r="G101" t="s">
        <v>95</v>
      </c>
      <c r="H101" s="17">
        <v>3878</v>
      </c>
      <c r="I101">
        <f>IF(TbRegistroEntradas[[#This Row],[DATA DO CAIXA REALIZADO]]="",0,MONTH(TbRegistroEntradas[[#This Row],[DATA DO CAIXA REALIZADO]]))</f>
        <v>0</v>
      </c>
      <c r="J101">
        <f>IF(TbRegistroEntradas[[#This Row],[DATA DO CAIXA REALIZADO]]="",0,YEAR(TbRegistroEntradas[[#This Row],[DATA DO CAIXA REALIZADO]]))</f>
        <v>0</v>
      </c>
      <c r="K101">
        <f>IF(TbRegistroEntradas[[#This Row],[DATA DA COMPETENCIA]]="",0,MONTH(TbRegistroEntradas[[#This Row],[DATA DA COMPETENCIA]]))</f>
        <v>5</v>
      </c>
      <c r="L101">
        <f>IF(TbRegistroEntradas[[#This Row],[DATA DA COMPETENCIA]]="",0,YEAR(TbRegistroEntradas[[#This Row],[DATA DA COMPETENCIA]]))</f>
        <v>2018</v>
      </c>
      <c r="M101">
        <f>IF(TbRegistroEntradas[[#This Row],[DATA DO CAIXA PREVISTA]]="",0,MONTH(TbRegistroEntradas[[#This Row],[DATA DO CAIXA PREVISTA]]))</f>
        <v>6</v>
      </c>
      <c r="N101">
        <f>IF(TbRegistroEntradas[[#This Row],[DATA DO CAIXA PREVISTA]]="",0,YEAR(TbRegistroEntradas[[#This Row],[DATA DO CAIXA PREVISTA]]))</f>
        <v>2018</v>
      </c>
      <c r="O101" t="str">
        <f ca="1">IF(AND(TbRegistroEntradas[[#This Row],[DATA DO CAIXA PREVISTA]]&lt;TODAY(),TbRegistroEntradas[[#This Row],[DATA DO CAIXA REALIZADO]]=""),"Vencida","Não Vencida")</f>
        <v>Vencida</v>
      </c>
      <c r="P101" t="str">
        <f>IF(TbRegistroEntradas[[#This Row],[DATA DA COMPETENCIA]]=TbRegistroEntradas[[#This Row],[DATA DO CAIXA PREVISTA INT]],"VISTA","PRAZO")</f>
        <v>PRAZO</v>
      </c>
      <c r="Q101" s="14">
        <f>INT(TbRegistroEntradas[[#This Row],[DATA DO CAIXA PREVISTA]])</f>
        <v>43275</v>
      </c>
      <c r="R101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02" spans="2:18" x14ac:dyDescent="0.25">
      <c r="B102" s="14">
        <v>43275.663970819842</v>
      </c>
      <c r="C102" s="14">
        <v>43249</v>
      </c>
      <c r="D102" s="14">
        <v>43275.663970819842</v>
      </c>
      <c r="E102" t="s">
        <v>20</v>
      </c>
      <c r="F102" t="s">
        <v>46</v>
      </c>
      <c r="G102" t="s">
        <v>157</v>
      </c>
      <c r="H102" s="17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COMPETENCIA]]="",0,MONTH(TbRegistroEntradas[[#This Row],[DATA DA COMPETENCIA]]))</f>
        <v>5</v>
      </c>
      <c r="L102">
        <f>IF(TbRegistroEntradas[[#This Row],[DATA DA COMPETENCIA]]="",0,YEAR(TbRegistroEntradas[[#This Row],[DATA DA COMPETENCIA]]))</f>
        <v>2018</v>
      </c>
      <c r="M102">
        <f>IF(TbRegistroEntradas[[#This Row],[DATA DO CAIXA PREVISTA]]="",0,MONTH(TbRegistroEntradas[[#This Row],[DATA DO CAIXA PREVISTA]]))</f>
        <v>6</v>
      </c>
      <c r="N102">
        <f>IF(TbRegistroEntradas[[#This Row],[DATA DO CAIXA PREVISTA]]="",0,YEAR(TbRegistroEntradas[[#This Row],[DATA DO CAIXA PREVISTA]]))</f>
        <v>2018</v>
      </c>
      <c r="O102" t="str">
        <f ca="1">IF(AND(TbRegistroEntradas[[#This Row],[DATA DO CAIXA PREVISTA]]&lt;TODAY(),TbRegistroEntradas[[#This Row],[DATA DO CAIXA REALIZADO]]=""),"Vencida","Não Vencida")</f>
        <v>Não Vencida</v>
      </c>
      <c r="P102" t="str">
        <f>IF(TbRegistroEntradas[[#This Row],[DATA DA COMPETENCIA]]=TbRegistroEntradas[[#This Row],[DATA DO CAIXA PREVISTA INT]],"VISTA","PRAZO")</f>
        <v>PRAZO</v>
      </c>
      <c r="Q102" s="14">
        <f>INT(TbRegistroEntradas[[#This Row],[DATA DO CAIXA PREVISTA]])</f>
        <v>43275</v>
      </c>
      <c r="R10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3" spans="2:18" x14ac:dyDescent="0.25">
      <c r="B103" s="14">
        <v>43265.40932974538</v>
      </c>
      <c r="C103" s="14">
        <v>43250</v>
      </c>
      <c r="D103" s="14">
        <v>43265.40932974538</v>
      </c>
      <c r="E103" t="s">
        <v>20</v>
      </c>
      <c r="F103" t="s">
        <v>23</v>
      </c>
      <c r="G103" t="s">
        <v>158</v>
      </c>
      <c r="H103" s="17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COMPETENCIA]]="",0,MONTH(TbRegistroEntradas[[#This Row],[DATA DA COMPETENCIA]]))</f>
        <v>5</v>
      </c>
      <c r="L103">
        <f>IF(TbRegistroEntradas[[#This Row],[DATA DA COMPETENCIA]]="",0,YEAR(TbRegistroEntradas[[#This Row],[DATA DA COMPETENCIA]]))</f>
        <v>2018</v>
      </c>
      <c r="M103">
        <f>IF(TbRegistroEntradas[[#This Row],[DATA DO CAIXA PREVISTA]]="",0,MONTH(TbRegistroEntradas[[#This Row],[DATA DO CAIXA PREVISTA]]))</f>
        <v>6</v>
      </c>
      <c r="N103">
        <f>IF(TbRegistroEntradas[[#This Row],[DATA DO CAIXA PREVISTA]]="",0,YEAR(TbRegistroEntradas[[#This Row],[DATA DO CAIXA PREVISTA]]))</f>
        <v>2018</v>
      </c>
      <c r="O103" t="str">
        <f ca="1">IF(AND(TbRegistroEntradas[[#This Row],[DATA DO CAIXA PREVISTA]]&lt;TODAY(),TbRegistroEntradas[[#This Row],[DATA DO CAIXA REALIZADO]]=""),"Vencida","Não Vencida")</f>
        <v>Não Vencida</v>
      </c>
      <c r="P103" t="str">
        <f>IF(TbRegistroEntradas[[#This Row],[DATA DA COMPETENCIA]]=TbRegistroEntradas[[#This Row],[DATA DO CAIXA PREVISTA INT]],"VISTA","PRAZO")</f>
        <v>PRAZO</v>
      </c>
      <c r="Q103" s="14">
        <f>INT(TbRegistroEntradas[[#This Row],[DATA DO CAIXA PREVISTA]])</f>
        <v>43265</v>
      </c>
      <c r="R10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4" spans="2:18" x14ac:dyDescent="0.25">
      <c r="B104" s="14">
        <v>43313.778330733978</v>
      </c>
      <c r="C104" s="14">
        <v>43254</v>
      </c>
      <c r="D104" s="14">
        <v>43313.778330733978</v>
      </c>
      <c r="E104" t="s">
        <v>20</v>
      </c>
      <c r="F104" t="s">
        <v>38</v>
      </c>
      <c r="G104" t="s">
        <v>159</v>
      </c>
      <c r="H104" s="17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COMPETENCIA]]="",0,MONTH(TbRegistroEntradas[[#This Row],[DATA DA COMPETENCIA]]))</f>
        <v>6</v>
      </c>
      <c r="L104">
        <f>IF(TbRegistroEntradas[[#This Row],[DATA DA COMPETENCIA]]="",0,YEAR(TbRegistroEntradas[[#This Row],[DATA DA COMPETENCIA]]))</f>
        <v>2018</v>
      </c>
      <c r="M104">
        <f>IF(TbRegistroEntradas[[#This Row],[DATA DO CAIXA PREVISTA]]="",0,MONTH(TbRegistroEntradas[[#This Row],[DATA DO CAIXA PREVISTA]]))</f>
        <v>8</v>
      </c>
      <c r="N104">
        <f>IF(TbRegistroEntradas[[#This Row],[DATA DO CAIXA PREVISTA]]="",0,YEAR(TbRegistroEntradas[[#This Row],[DATA DO CAIXA PREVISTA]]))</f>
        <v>2018</v>
      </c>
      <c r="O104" t="str">
        <f ca="1">IF(AND(TbRegistroEntradas[[#This Row],[DATA DO CAIXA PREVISTA]]&lt;TODAY(),TbRegistroEntradas[[#This Row],[DATA DO CAIXA REALIZADO]]=""),"Vencida","Não Vencida")</f>
        <v>Não Vencida</v>
      </c>
      <c r="P104" t="str">
        <f>IF(TbRegistroEntradas[[#This Row],[DATA DA COMPETENCIA]]=TbRegistroEntradas[[#This Row],[DATA DO CAIXA PREVISTA INT]],"VISTA","PRAZO")</f>
        <v>PRAZO</v>
      </c>
      <c r="Q104" s="14">
        <f>INT(TbRegistroEntradas[[#This Row],[DATA DO CAIXA PREVISTA]])</f>
        <v>43313</v>
      </c>
      <c r="R10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5" spans="2:18" x14ac:dyDescent="0.25">
      <c r="B105" s="14">
        <v>43309.034479812522</v>
      </c>
      <c r="C105" s="14">
        <v>43255</v>
      </c>
      <c r="D105" s="14">
        <v>43309.034479812522</v>
      </c>
      <c r="E105" t="s">
        <v>20</v>
      </c>
      <c r="F105" t="s">
        <v>38</v>
      </c>
      <c r="G105" t="s">
        <v>160</v>
      </c>
      <c r="H105" s="17">
        <v>2781</v>
      </c>
      <c r="I105">
        <f>IF(TbRegistroEntradas[[#This Row],[DATA DO CAIXA REALIZADO]]="",0,MONTH(TbRegistroEntradas[[#This Row],[DATA DO CAIXA REALIZADO]]))</f>
        <v>7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COMPETENCIA]]="",0,MONTH(TbRegistroEntradas[[#This Row],[DATA DA COMPETENCIA]]))</f>
        <v>6</v>
      </c>
      <c r="L105">
        <f>IF(TbRegistroEntradas[[#This Row],[DATA DA COMPETENCIA]]="",0,YEAR(TbRegistroEntradas[[#This Row],[DATA DA COMPETENCIA]]))</f>
        <v>2018</v>
      </c>
      <c r="M105">
        <f>IF(TbRegistroEntradas[[#This Row],[DATA DO CAIXA PREVISTA]]="",0,MONTH(TbRegistroEntradas[[#This Row],[DATA DO CAIXA PREVISTA]]))</f>
        <v>7</v>
      </c>
      <c r="N105">
        <f>IF(TbRegistroEntradas[[#This Row],[DATA DO CAIXA PREVISTA]]="",0,YEAR(TbRegistroEntradas[[#This Row],[DATA DO CAIXA PREVISTA]]))</f>
        <v>2018</v>
      </c>
      <c r="O105" t="str">
        <f ca="1">IF(AND(TbRegistroEntradas[[#This Row],[DATA DO CAIXA PREVISTA]]&lt;TODAY(),TbRegistroEntradas[[#This Row],[DATA DO CAIXA REALIZADO]]=""),"Vencida","Não Vencida")</f>
        <v>Não Vencida</v>
      </c>
      <c r="P105" t="str">
        <f>IF(TbRegistroEntradas[[#This Row],[DATA DA COMPETENCIA]]=TbRegistroEntradas[[#This Row],[DATA DO CAIXA PREVISTA INT]],"VISTA","PRAZO")</f>
        <v>PRAZO</v>
      </c>
      <c r="Q105" s="14">
        <f>INT(TbRegistroEntradas[[#This Row],[DATA DO CAIXA PREVISTA]])</f>
        <v>43309</v>
      </c>
      <c r="R10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6" spans="2:18" x14ac:dyDescent="0.25">
      <c r="B106" s="14">
        <v>43267.639792395334</v>
      </c>
      <c r="C106" s="14">
        <v>43256</v>
      </c>
      <c r="D106" s="14">
        <v>43267.639792395334</v>
      </c>
      <c r="E106" t="s">
        <v>20</v>
      </c>
      <c r="F106" t="s">
        <v>46</v>
      </c>
      <c r="G106" t="s">
        <v>161</v>
      </c>
      <c r="H106" s="17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COMPETENCIA]]="",0,MONTH(TbRegistroEntradas[[#This Row],[DATA DA COMPETENCIA]]))</f>
        <v>6</v>
      </c>
      <c r="L106">
        <f>IF(TbRegistroEntradas[[#This Row],[DATA DA COMPETENCIA]]="",0,YEAR(TbRegistroEntradas[[#This Row],[DATA DA COMPETENCIA]]))</f>
        <v>2018</v>
      </c>
      <c r="M106">
        <f>IF(TbRegistroEntradas[[#This Row],[DATA DO CAIXA PREVISTA]]="",0,MONTH(TbRegistroEntradas[[#This Row],[DATA DO CAIXA PREVISTA]]))</f>
        <v>6</v>
      </c>
      <c r="N106">
        <f>IF(TbRegistroEntradas[[#This Row],[DATA DO CAIXA PREVISTA]]="",0,YEAR(TbRegistroEntradas[[#This Row],[DATA DO CAIXA PREVISTA]]))</f>
        <v>2018</v>
      </c>
      <c r="O106" t="str">
        <f ca="1">IF(AND(TbRegistroEntradas[[#This Row],[DATA DO CAIXA PREVISTA]]&lt;TODAY(),TbRegistroEntradas[[#This Row],[DATA DO CAIXA REALIZADO]]=""),"Vencida","Não Vencida")</f>
        <v>Não Vencida</v>
      </c>
      <c r="P106" t="str">
        <f>IF(TbRegistroEntradas[[#This Row],[DATA DA COMPETENCIA]]=TbRegistroEntradas[[#This Row],[DATA DO CAIXA PREVISTA INT]],"VISTA","PRAZO")</f>
        <v>PRAZO</v>
      </c>
      <c r="Q106" s="14">
        <f>INT(TbRegistroEntradas[[#This Row],[DATA DO CAIXA PREVISTA]])</f>
        <v>43267</v>
      </c>
      <c r="R10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7" spans="2:18" x14ac:dyDescent="0.25">
      <c r="B107" s="14">
        <v>43295.992726264638</v>
      </c>
      <c r="C107" s="14">
        <v>43259</v>
      </c>
      <c r="D107" s="14">
        <v>43295.992726264638</v>
      </c>
      <c r="E107" t="s">
        <v>20</v>
      </c>
      <c r="F107" t="s">
        <v>36</v>
      </c>
      <c r="G107" t="s">
        <v>162</v>
      </c>
      <c r="H107" s="17">
        <v>3134</v>
      </c>
      <c r="I107">
        <f>IF(TbRegistroEntradas[[#This Row],[DATA DO CAIXA REALIZADO]]="",0,MONTH(TbRegistroEntradas[[#This Row],[DATA DO CAIXA REALIZADO]]))</f>
        <v>7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COMPETENCIA]]="",0,MONTH(TbRegistroEntradas[[#This Row],[DATA DA COMPETENCIA]]))</f>
        <v>6</v>
      </c>
      <c r="L107">
        <f>IF(TbRegistroEntradas[[#This Row],[DATA DA COMPETENCIA]]="",0,YEAR(TbRegistroEntradas[[#This Row],[DATA DA COMPETENCIA]]))</f>
        <v>2018</v>
      </c>
      <c r="M107">
        <f>IF(TbRegistroEntradas[[#This Row],[DATA DO CAIXA PREVISTA]]="",0,MONTH(TbRegistroEntradas[[#This Row],[DATA DO CAIXA PREVISTA]]))</f>
        <v>7</v>
      </c>
      <c r="N107">
        <f>IF(TbRegistroEntradas[[#This Row],[DATA DO CAIXA PREVISTA]]="",0,YEAR(TbRegistroEntradas[[#This Row],[DATA DO CAIXA PREVISTA]]))</f>
        <v>2018</v>
      </c>
      <c r="O107" t="str">
        <f ca="1">IF(AND(TbRegistroEntradas[[#This Row],[DATA DO CAIXA PREVISTA]]&lt;TODAY(),TbRegistroEntradas[[#This Row],[DATA DO CAIXA REALIZADO]]=""),"Vencida","Não Vencida")</f>
        <v>Não Vencida</v>
      </c>
      <c r="P107" t="str">
        <f>IF(TbRegistroEntradas[[#This Row],[DATA DA COMPETENCIA]]=TbRegistroEntradas[[#This Row],[DATA DO CAIXA PREVISTA INT]],"VISTA","PRAZO")</f>
        <v>PRAZO</v>
      </c>
      <c r="Q107" s="14">
        <f>INT(TbRegistroEntradas[[#This Row],[DATA DO CAIXA PREVISTA]])</f>
        <v>43295</v>
      </c>
      <c r="R10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8" spans="2:18" x14ac:dyDescent="0.25">
      <c r="B108" s="14">
        <v>43276.511490365912</v>
      </c>
      <c r="C108" s="14">
        <v>43261</v>
      </c>
      <c r="D108" s="14">
        <v>43276.511490365912</v>
      </c>
      <c r="E108" t="s">
        <v>20</v>
      </c>
      <c r="F108" t="s">
        <v>37</v>
      </c>
      <c r="G108" t="s">
        <v>163</v>
      </c>
      <c r="H108" s="17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COMPETENCIA]]="",0,MONTH(TbRegistroEntradas[[#This Row],[DATA DA COMPETENCIA]]))</f>
        <v>6</v>
      </c>
      <c r="L108">
        <f>IF(TbRegistroEntradas[[#This Row],[DATA DA COMPETENCIA]]="",0,YEAR(TbRegistroEntradas[[#This Row],[DATA DA COMPETENCIA]]))</f>
        <v>2018</v>
      </c>
      <c r="M108">
        <f>IF(TbRegistroEntradas[[#This Row],[DATA DO CAIXA PREVISTA]]="",0,MONTH(TbRegistroEntradas[[#This Row],[DATA DO CAIXA PREVISTA]]))</f>
        <v>6</v>
      </c>
      <c r="N108">
        <f>IF(TbRegistroEntradas[[#This Row],[DATA DO CAIXA PREVISTA]]="",0,YEAR(TbRegistroEntradas[[#This Row],[DATA DO CAIXA PREVISTA]]))</f>
        <v>2018</v>
      </c>
      <c r="O108" t="str">
        <f ca="1">IF(AND(TbRegistroEntradas[[#This Row],[DATA DO CAIXA PREVISTA]]&lt;TODAY(),TbRegistroEntradas[[#This Row],[DATA DO CAIXA REALIZADO]]=""),"Vencida","Não Vencida")</f>
        <v>Não Vencida</v>
      </c>
      <c r="P108" t="str">
        <f>IF(TbRegistroEntradas[[#This Row],[DATA DA COMPETENCIA]]=TbRegistroEntradas[[#This Row],[DATA DO CAIXA PREVISTA INT]],"VISTA","PRAZO")</f>
        <v>PRAZO</v>
      </c>
      <c r="Q108" s="14">
        <f>INT(TbRegistroEntradas[[#This Row],[DATA DO CAIXA PREVISTA]])</f>
        <v>43276</v>
      </c>
      <c r="R10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09" spans="2:18" x14ac:dyDescent="0.25">
      <c r="B109" s="14">
        <v>43320.151513939236</v>
      </c>
      <c r="C109" s="14">
        <v>43264</v>
      </c>
      <c r="D109" s="14">
        <v>43320.151513939236</v>
      </c>
      <c r="E109" t="s">
        <v>20</v>
      </c>
      <c r="F109" t="s">
        <v>46</v>
      </c>
      <c r="G109" t="s">
        <v>164</v>
      </c>
      <c r="H109" s="17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COMPETENCIA]]="",0,MONTH(TbRegistroEntradas[[#This Row],[DATA DA COMPETENCIA]]))</f>
        <v>6</v>
      </c>
      <c r="L109">
        <f>IF(TbRegistroEntradas[[#This Row],[DATA DA COMPETENCIA]]="",0,YEAR(TbRegistroEntradas[[#This Row],[DATA DA COMPETENCIA]]))</f>
        <v>2018</v>
      </c>
      <c r="M109">
        <f>IF(TbRegistroEntradas[[#This Row],[DATA DO CAIXA PREVISTA]]="",0,MONTH(TbRegistroEntradas[[#This Row],[DATA DO CAIXA PREVISTA]]))</f>
        <v>8</v>
      </c>
      <c r="N109">
        <f>IF(TbRegistroEntradas[[#This Row],[DATA DO CAIXA PREVISTA]]="",0,YEAR(TbRegistroEntradas[[#This Row],[DATA DO CAIXA PREVISTA]]))</f>
        <v>2018</v>
      </c>
      <c r="O109" t="str">
        <f ca="1">IF(AND(TbRegistroEntradas[[#This Row],[DATA DO CAIXA PREVISTA]]&lt;TODAY(),TbRegistroEntradas[[#This Row],[DATA DO CAIXA REALIZADO]]=""),"Vencida","Não Vencida")</f>
        <v>Não Vencida</v>
      </c>
      <c r="P109" t="str">
        <f>IF(TbRegistroEntradas[[#This Row],[DATA DA COMPETENCIA]]=TbRegistroEntradas[[#This Row],[DATA DO CAIXA PREVISTA INT]],"VISTA","PRAZO")</f>
        <v>PRAZO</v>
      </c>
      <c r="Q109" s="14">
        <f>INT(TbRegistroEntradas[[#This Row],[DATA DO CAIXA PREVISTA]])</f>
        <v>43320</v>
      </c>
      <c r="R10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0" spans="2:18" x14ac:dyDescent="0.25">
      <c r="B110" s="14">
        <v>43303.335943391627</v>
      </c>
      <c r="C110" s="14">
        <v>43265</v>
      </c>
      <c r="D110" s="14">
        <v>43303.335943391627</v>
      </c>
      <c r="E110" t="s">
        <v>20</v>
      </c>
      <c r="F110" t="s">
        <v>36</v>
      </c>
      <c r="G110" t="s">
        <v>165</v>
      </c>
      <c r="H110" s="17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COMPETENCIA]]="",0,MONTH(TbRegistroEntradas[[#This Row],[DATA DA COMPETENCIA]]))</f>
        <v>6</v>
      </c>
      <c r="L110">
        <f>IF(TbRegistroEntradas[[#This Row],[DATA DA COMPETENCIA]]="",0,YEAR(TbRegistroEntradas[[#This Row],[DATA DA COMPETENCIA]]))</f>
        <v>2018</v>
      </c>
      <c r="M110">
        <f>IF(TbRegistroEntradas[[#This Row],[DATA DO CAIXA PREVISTA]]="",0,MONTH(TbRegistroEntradas[[#This Row],[DATA DO CAIXA PREVISTA]]))</f>
        <v>7</v>
      </c>
      <c r="N110">
        <f>IF(TbRegistroEntradas[[#This Row],[DATA DO CAIXA PREVISTA]]="",0,YEAR(TbRegistroEntradas[[#This Row],[DATA DO CAIXA PREVISTA]]))</f>
        <v>2018</v>
      </c>
      <c r="O110" t="str">
        <f ca="1">IF(AND(TbRegistroEntradas[[#This Row],[DATA DO CAIXA PREVISTA]]&lt;TODAY(),TbRegistroEntradas[[#This Row],[DATA DO CAIXA REALIZADO]]=""),"Vencida","Não Vencida")</f>
        <v>Não Vencida</v>
      </c>
      <c r="P110" t="str">
        <f>IF(TbRegistroEntradas[[#This Row],[DATA DA COMPETENCIA]]=TbRegistroEntradas[[#This Row],[DATA DO CAIXA PREVISTA INT]],"VISTA","PRAZO")</f>
        <v>PRAZO</v>
      </c>
      <c r="Q110" s="14">
        <f>INT(TbRegistroEntradas[[#This Row],[DATA DO CAIXA PREVISTA]])</f>
        <v>43303</v>
      </c>
      <c r="R11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1" spans="2:18" x14ac:dyDescent="0.25">
      <c r="B111" s="14">
        <v>43293.385542692129</v>
      </c>
      <c r="C111" s="14">
        <v>43266</v>
      </c>
      <c r="D111" s="14">
        <v>43293.385542692129</v>
      </c>
      <c r="E111" t="s">
        <v>20</v>
      </c>
      <c r="F111" t="s">
        <v>36</v>
      </c>
      <c r="G111" t="s">
        <v>166</v>
      </c>
      <c r="H111" s="17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COMPETENCIA]]="",0,MONTH(TbRegistroEntradas[[#This Row],[DATA DA COMPETENCIA]]))</f>
        <v>6</v>
      </c>
      <c r="L111">
        <f>IF(TbRegistroEntradas[[#This Row],[DATA DA COMPETENCIA]]="",0,YEAR(TbRegistroEntradas[[#This Row],[DATA DA COMPETENCIA]]))</f>
        <v>2018</v>
      </c>
      <c r="M111">
        <f>IF(TbRegistroEntradas[[#This Row],[DATA DO CAIXA PREVISTA]]="",0,MONTH(TbRegistroEntradas[[#This Row],[DATA DO CAIXA PREVISTA]]))</f>
        <v>7</v>
      </c>
      <c r="N111">
        <f>IF(TbRegistroEntradas[[#This Row],[DATA DO CAIXA PREVISTA]]="",0,YEAR(TbRegistroEntradas[[#This Row],[DATA DO CAIXA PREVISTA]]))</f>
        <v>2018</v>
      </c>
      <c r="O111" t="str">
        <f ca="1">IF(AND(TbRegistroEntradas[[#This Row],[DATA DO CAIXA PREVISTA]]&lt;TODAY(),TbRegistroEntradas[[#This Row],[DATA DO CAIXA REALIZADO]]=""),"Vencida","Não Vencida")</f>
        <v>Não Vencida</v>
      </c>
      <c r="P111" t="str">
        <f>IF(TbRegistroEntradas[[#This Row],[DATA DA COMPETENCIA]]=TbRegistroEntradas[[#This Row],[DATA DO CAIXA PREVISTA INT]],"VISTA","PRAZO")</f>
        <v>PRAZO</v>
      </c>
      <c r="Q111" s="14">
        <f>INT(TbRegistroEntradas[[#This Row],[DATA DO CAIXA PREVISTA]])</f>
        <v>43293</v>
      </c>
      <c r="R11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2" spans="2:18" x14ac:dyDescent="0.25">
      <c r="B112" s="14">
        <v>43347.784698126074</v>
      </c>
      <c r="C112" s="14">
        <v>43268</v>
      </c>
      <c r="D112" s="14">
        <v>43310.26005003383</v>
      </c>
      <c r="E112" t="s">
        <v>20</v>
      </c>
      <c r="F112" t="s">
        <v>23</v>
      </c>
      <c r="G112" t="s">
        <v>167</v>
      </c>
      <c r="H112" s="17">
        <v>3045</v>
      </c>
      <c r="I112">
        <f>IF(TbRegistroEntradas[[#This Row],[DATA DO CAIXA REALIZADO]]="",0,MONTH(TbRegistroEntradas[[#This Row],[DATA DO CAIXA REALIZADO]]))</f>
        <v>9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COMPETENCIA]]="",0,MONTH(TbRegistroEntradas[[#This Row],[DATA DA COMPETENCIA]]))</f>
        <v>6</v>
      </c>
      <c r="L112">
        <f>IF(TbRegistroEntradas[[#This Row],[DATA DA COMPETENCIA]]="",0,YEAR(TbRegistroEntradas[[#This Row],[DATA DA COMPETENCIA]]))</f>
        <v>2018</v>
      </c>
      <c r="M112">
        <f>IF(TbRegistroEntradas[[#This Row],[DATA DO CAIXA PREVISTA]]="",0,MONTH(TbRegistroEntradas[[#This Row],[DATA DO CAIXA PREVISTA]]))</f>
        <v>7</v>
      </c>
      <c r="N112">
        <f>IF(TbRegistroEntradas[[#This Row],[DATA DO CAIXA PREVISTA]]="",0,YEAR(TbRegistroEntradas[[#This Row],[DATA DO CAIXA PREVISTA]]))</f>
        <v>2018</v>
      </c>
      <c r="O112" t="str">
        <f ca="1">IF(AND(TbRegistroEntradas[[#This Row],[DATA DO CAIXA PREVISTA]]&lt;TODAY(),TbRegistroEntradas[[#This Row],[DATA DO CAIXA REALIZADO]]=""),"Vencida","Não Vencida")</f>
        <v>Não Vencida</v>
      </c>
      <c r="P112" t="str">
        <f>IF(TbRegistroEntradas[[#This Row],[DATA DA COMPETENCIA]]=TbRegistroEntradas[[#This Row],[DATA DO CAIXA PREVISTA INT]],"VISTA","PRAZO")</f>
        <v>PRAZO</v>
      </c>
      <c r="Q112" s="14">
        <f>INT(TbRegistroEntradas[[#This Row],[DATA DO CAIXA PREVISTA]])</f>
        <v>43310</v>
      </c>
      <c r="R11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37.524648092243297</v>
      </c>
    </row>
    <row r="113" spans="2:18" x14ac:dyDescent="0.25">
      <c r="B113" s="14">
        <v>43328.142631140596</v>
      </c>
      <c r="C113" s="14">
        <v>43272</v>
      </c>
      <c r="D113" s="14">
        <v>43309.393451525575</v>
      </c>
      <c r="E113" t="s">
        <v>20</v>
      </c>
      <c r="F113" t="s">
        <v>23</v>
      </c>
      <c r="G113" t="s">
        <v>168</v>
      </c>
      <c r="H113" s="17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COMPETENCIA]]="",0,MONTH(TbRegistroEntradas[[#This Row],[DATA DA COMPETENCIA]]))</f>
        <v>6</v>
      </c>
      <c r="L113">
        <f>IF(TbRegistroEntradas[[#This Row],[DATA DA COMPETENCIA]]="",0,YEAR(TbRegistroEntradas[[#This Row],[DATA DA COMPETENCIA]]))</f>
        <v>2018</v>
      </c>
      <c r="M113">
        <f>IF(TbRegistroEntradas[[#This Row],[DATA DO CAIXA PREVISTA]]="",0,MONTH(TbRegistroEntradas[[#This Row],[DATA DO CAIXA PREVISTA]]))</f>
        <v>7</v>
      </c>
      <c r="N113">
        <f>IF(TbRegistroEntradas[[#This Row],[DATA DO CAIXA PREVISTA]]="",0,YEAR(TbRegistroEntradas[[#This Row],[DATA DO CAIXA PREVISTA]]))</f>
        <v>2018</v>
      </c>
      <c r="O113" t="str">
        <f ca="1">IF(AND(TbRegistroEntradas[[#This Row],[DATA DO CAIXA PREVISTA]]&lt;TODAY(),TbRegistroEntradas[[#This Row],[DATA DO CAIXA REALIZADO]]=""),"Vencida","Não Vencida")</f>
        <v>Não Vencida</v>
      </c>
      <c r="P113" t="str">
        <f>IF(TbRegistroEntradas[[#This Row],[DATA DA COMPETENCIA]]=TbRegistroEntradas[[#This Row],[DATA DO CAIXA PREVISTA INT]],"VISTA","PRAZO")</f>
        <v>PRAZO</v>
      </c>
      <c r="Q113" s="14">
        <f>INT(TbRegistroEntradas[[#This Row],[DATA DO CAIXA PREVISTA]])</f>
        <v>43309</v>
      </c>
      <c r="R11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18.749179615020694</v>
      </c>
    </row>
    <row r="114" spans="2:18" x14ac:dyDescent="0.25">
      <c r="B114" s="14" t="s">
        <v>68</v>
      </c>
      <c r="C114" s="14">
        <v>43275</v>
      </c>
      <c r="D114" s="14">
        <v>43313.637699425337</v>
      </c>
      <c r="E114" t="s">
        <v>20</v>
      </c>
      <c r="F114" t="s">
        <v>23</v>
      </c>
      <c r="G114" t="s">
        <v>169</v>
      </c>
      <c r="H114" s="17">
        <v>770</v>
      </c>
      <c r="I114">
        <f>IF(TbRegistroEntradas[[#This Row],[DATA DO CAIXA REALIZADO]]="",0,MONTH(TbRegistroEntradas[[#This Row],[DATA DO CAIXA REALIZADO]]))</f>
        <v>0</v>
      </c>
      <c r="J114">
        <f>IF(TbRegistroEntradas[[#This Row],[DATA DO CAIXA REALIZADO]]="",0,YEAR(TbRegistroEntradas[[#This Row],[DATA DO CAIXA REALIZADO]]))</f>
        <v>0</v>
      </c>
      <c r="K114">
        <f>IF(TbRegistroEntradas[[#This Row],[DATA DA COMPETENCIA]]="",0,MONTH(TbRegistroEntradas[[#This Row],[DATA DA COMPETENCIA]]))</f>
        <v>6</v>
      </c>
      <c r="L114">
        <f>IF(TbRegistroEntradas[[#This Row],[DATA DA COMPETENCIA]]="",0,YEAR(TbRegistroEntradas[[#This Row],[DATA DA COMPETENCIA]]))</f>
        <v>2018</v>
      </c>
      <c r="M114">
        <f>IF(TbRegistroEntradas[[#This Row],[DATA DO CAIXA PREVISTA]]="",0,MONTH(TbRegistroEntradas[[#This Row],[DATA DO CAIXA PREVISTA]]))</f>
        <v>8</v>
      </c>
      <c r="N114">
        <f>IF(TbRegistroEntradas[[#This Row],[DATA DO CAIXA PREVISTA]]="",0,YEAR(TbRegistroEntradas[[#This Row],[DATA DO CAIXA PREVISTA]]))</f>
        <v>2018</v>
      </c>
      <c r="O114" t="str">
        <f ca="1">IF(AND(TbRegistroEntradas[[#This Row],[DATA DO CAIXA PREVISTA]]&lt;TODAY(),TbRegistroEntradas[[#This Row],[DATA DO CAIXA REALIZADO]]=""),"Vencida","Não Vencida")</f>
        <v>Vencida</v>
      </c>
      <c r="P114" t="str">
        <f>IF(TbRegistroEntradas[[#This Row],[DATA DA COMPETENCIA]]=TbRegistroEntradas[[#This Row],[DATA DO CAIXA PREVISTA INT]],"VISTA","PRAZO")</f>
        <v>PRAZO</v>
      </c>
      <c r="Q114" s="14">
        <f>INT(TbRegistroEntradas[[#This Row],[DATA DO CAIXA PREVISTA]])</f>
        <v>43313</v>
      </c>
      <c r="R114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15" spans="2:18" x14ac:dyDescent="0.25">
      <c r="B115" s="14">
        <v>43321.066181249873</v>
      </c>
      <c r="C115" s="14">
        <v>43276</v>
      </c>
      <c r="D115" s="14">
        <v>43317.738042183715</v>
      </c>
      <c r="E115" t="s">
        <v>20</v>
      </c>
      <c r="F115" t="s">
        <v>36</v>
      </c>
      <c r="G115" t="s">
        <v>170</v>
      </c>
      <c r="H115" s="17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COMPETENCIA]]="",0,MONTH(TbRegistroEntradas[[#This Row],[DATA DA COMPETENCIA]]))</f>
        <v>6</v>
      </c>
      <c r="L115">
        <f>IF(TbRegistroEntradas[[#This Row],[DATA DA COMPETENCIA]]="",0,YEAR(TbRegistroEntradas[[#This Row],[DATA DA COMPETENCIA]]))</f>
        <v>2018</v>
      </c>
      <c r="M115">
        <f>IF(TbRegistroEntradas[[#This Row],[DATA DO CAIXA PREVISTA]]="",0,MONTH(TbRegistroEntradas[[#This Row],[DATA DO CAIXA PREVISTA]]))</f>
        <v>8</v>
      </c>
      <c r="N115">
        <f>IF(TbRegistroEntradas[[#This Row],[DATA DO CAIXA PREVISTA]]="",0,YEAR(TbRegistroEntradas[[#This Row],[DATA DO CAIXA PREVISTA]]))</f>
        <v>2018</v>
      </c>
      <c r="O115" t="str">
        <f ca="1">IF(AND(TbRegistroEntradas[[#This Row],[DATA DO CAIXA PREVISTA]]&lt;TODAY(),TbRegistroEntradas[[#This Row],[DATA DO CAIXA REALIZADO]]=""),"Vencida","Não Vencida")</f>
        <v>Não Vencida</v>
      </c>
      <c r="P115" t="str">
        <f>IF(TbRegistroEntradas[[#This Row],[DATA DA COMPETENCIA]]=TbRegistroEntradas[[#This Row],[DATA DO CAIXA PREVISTA INT]],"VISTA","PRAZO")</f>
        <v>PRAZO</v>
      </c>
      <c r="Q115" s="14">
        <f>INT(TbRegistroEntradas[[#This Row],[DATA DO CAIXA PREVISTA]])</f>
        <v>43317</v>
      </c>
      <c r="R11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3.3281390661577461</v>
      </c>
    </row>
    <row r="116" spans="2:18" x14ac:dyDescent="0.25">
      <c r="B116" s="14">
        <v>43328.896220051167</v>
      </c>
      <c r="C116" s="14">
        <v>43280</v>
      </c>
      <c r="D116" s="14">
        <v>43328.896220051167</v>
      </c>
      <c r="E116" t="s">
        <v>20</v>
      </c>
      <c r="F116" t="s">
        <v>36</v>
      </c>
      <c r="G116" t="s">
        <v>171</v>
      </c>
      <c r="H116" s="17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COMPETENCIA]]="",0,MONTH(TbRegistroEntradas[[#This Row],[DATA DA COMPETENCIA]]))</f>
        <v>6</v>
      </c>
      <c r="L116">
        <f>IF(TbRegistroEntradas[[#This Row],[DATA DA COMPETENCIA]]="",0,YEAR(TbRegistroEntradas[[#This Row],[DATA DA COMPETENCIA]]))</f>
        <v>2018</v>
      </c>
      <c r="M116">
        <f>IF(TbRegistroEntradas[[#This Row],[DATA DO CAIXA PREVISTA]]="",0,MONTH(TbRegistroEntradas[[#This Row],[DATA DO CAIXA PREVISTA]]))</f>
        <v>8</v>
      </c>
      <c r="N116">
        <f>IF(TbRegistroEntradas[[#This Row],[DATA DO CAIXA PREVISTA]]="",0,YEAR(TbRegistroEntradas[[#This Row],[DATA DO CAIXA PREVISTA]]))</f>
        <v>2018</v>
      </c>
      <c r="O116" t="str">
        <f ca="1">IF(AND(TbRegistroEntradas[[#This Row],[DATA DO CAIXA PREVISTA]]&lt;TODAY(),TbRegistroEntradas[[#This Row],[DATA DO CAIXA REALIZADO]]=""),"Vencida","Não Vencida")</f>
        <v>Não Vencida</v>
      </c>
      <c r="P116" t="str">
        <f>IF(TbRegistroEntradas[[#This Row],[DATA DA COMPETENCIA]]=TbRegistroEntradas[[#This Row],[DATA DO CAIXA PREVISTA INT]],"VISTA","PRAZO")</f>
        <v>PRAZO</v>
      </c>
      <c r="Q116" s="14">
        <f>INT(TbRegistroEntradas[[#This Row],[DATA DO CAIXA PREVISTA]])</f>
        <v>43328</v>
      </c>
      <c r="R11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7" spans="2:18" x14ac:dyDescent="0.25">
      <c r="B117" s="14">
        <v>43310.362560784597</v>
      </c>
      <c r="C117" s="14">
        <v>43284</v>
      </c>
      <c r="D117" s="14">
        <v>43310.362560784597</v>
      </c>
      <c r="E117" t="s">
        <v>20</v>
      </c>
      <c r="F117" t="s">
        <v>36</v>
      </c>
      <c r="G117" t="s">
        <v>172</v>
      </c>
      <c r="H117" s="17">
        <v>3940</v>
      </c>
      <c r="I117">
        <f>IF(TbRegistroEntradas[[#This Row],[DATA DO CAIXA REALIZADO]]="",0,MONTH(TbRegistroEntradas[[#This Row],[DATA DO CAIXA REALIZADO]]))</f>
        <v>7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COMPETENCIA]]="",0,MONTH(TbRegistroEntradas[[#This Row],[DATA DA COMPETENCIA]]))</f>
        <v>7</v>
      </c>
      <c r="L117">
        <f>IF(TbRegistroEntradas[[#This Row],[DATA DA COMPETENCIA]]="",0,YEAR(TbRegistroEntradas[[#This Row],[DATA DA COMPETENCIA]]))</f>
        <v>2018</v>
      </c>
      <c r="M117">
        <f>IF(TbRegistroEntradas[[#This Row],[DATA DO CAIXA PREVISTA]]="",0,MONTH(TbRegistroEntradas[[#This Row],[DATA DO CAIXA PREVISTA]]))</f>
        <v>7</v>
      </c>
      <c r="N117">
        <f>IF(TbRegistroEntradas[[#This Row],[DATA DO CAIXA PREVISTA]]="",0,YEAR(TbRegistroEntradas[[#This Row],[DATA DO CAIXA PREVISTA]]))</f>
        <v>2018</v>
      </c>
      <c r="O117" t="str">
        <f ca="1">IF(AND(TbRegistroEntradas[[#This Row],[DATA DO CAIXA PREVISTA]]&lt;TODAY(),TbRegistroEntradas[[#This Row],[DATA DO CAIXA REALIZADO]]=""),"Vencida","Não Vencida")</f>
        <v>Não Vencida</v>
      </c>
      <c r="P117" t="str">
        <f>IF(TbRegistroEntradas[[#This Row],[DATA DA COMPETENCIA]]=TbRegistroEntradas[[#This Row],[DATA DO CAIXA PREVISTA INT]],"VISTA","PRAZO")</f>
        <v>PRAZO</v>
      </c>
      <c r="Q117" s="14">
        <f>INT(TbRegistroEntradas[[#This Row],[DATA DO CAIXA PREVISTA]])</f>
        <v>43310</v>
      </c>
      <c r="R11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8" spans="2:18" x14ac:dyDescent="0.25">
      <c r="B118" s="14">
        <v>43343.848263098727</v>
      </c>
      <c r="C118" s="14">
        <v>43285</v>
      </c>
      <c r="D118" s="14">
        <v>43343.848263098727</v>
      </c>
      <c r="E118" t="s">
        <v>20</v>
      </c>
      <c r="F118" t="s">
        <v>36</v>
      </c>
      <c r="G118" t="s">
        <v>173</v>
      </c>
      <c r="H118" s="17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COMPETENCIA]]="",0,MONTH(TbRegistroEntradas[[#This Row],[DATA DA COMPETENCIA]]))</f>
        <v>7</v>
      </c>
      <c r="L118">
        <f>IF(TbRegistroEntradas[[#This Row],[DATA DA COMPETENCIA]]="",0,YEAR(TbRegistroEntradas[[#This Row],[DATA DA COMPETENCIA]]))</f>
        <v>2018</v>
      </c>
      <c r="M118">
        <f>IF(TbRegistroEntradas[[#This Row],[DATA DO CAIXA PREVISTA]]="",0,MONTH(TbRegistroEntradas[[#This Row],[DATA DO CAIXA PREVISTA]]))</f>
        <v>8</v>
      </c>
      <c r="N118">
        <f>IF(TbRegistroEntradas[[#This Row],[DATA DO CAIXA PREVISTA]]="",0,YEAR(TbRegistroEntradas[[#This Row],[DATA DO CAIXA PREVISTA]]))</f>
        <v>2018</v>
      </c>
      <c r="O118" t="str">
        <f ca="1">IF(AND(TbRegistroEntradas[[#This Row],[DATA DO CAIXA PREVISTA]]&lt;TODAY(),TbRegistroEntradas[[#This Row],[DATA DO CAIXA REALIZADO]]=""),"Vencida","Não Vencida")</f>
        <v>Não Vencida</v>
      </c>
      <c r="P118" t="str">
        <f>IF(TbRegistroEntradas[[#This Row],[DATA DA COMPETENCIA]]=TbRegistroEntradas[[#This Row],[DATA DO CAIXA PREVISTA INT]],"VISTA","PRAZO")</f>
        <v>PRAZO</v>
      </c>
      <c r="Q118" s="14">
        <f>INT(TbRegistroEntradas[[#This Row],[DATA DO CAIXA PREVISTA]])</f>
        <v>43343</v>
      </c>
      <c r="R11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19" spans="2:18" x14ac:dyDescent="0.25">
      <c r="B119" s="14">
        <v>43316.086897207155</v>
      </c>
      <c r="C119" s="14">
        <v>43286</v>
      </c>
      <c r="D119" s="14">
        <v>43316.086897207155</v>
      </c>
      <c r="E119" t="s">
        <v>20</v>
      </c>
      <c r="F119" t="s">
        <v>38</v>
      </c>
      <c r="G119" t="s">
        <v>174</v>
      </c>
      <c r="H119" s="17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COMPETENCIA]]="",0,MONTH(TbRegistroEntradas[[#This Row],[DATA DA COMPETENCIA]]))</f>
        <v>7</v>
      </c>
      <c r="L119">
        <f>IF(TbRegistroEntradas[[#This Row],[DATA DA COMPETENCIA]]="",0,YEAR(TbRegistroEntradas[[#This Row],[DATA DA COMPETENCIA]]))</f>
        <v>2018</v>
      </c>
      <c r="M119">
        <f>IF(TbRegistroEntradas[[#This Row],[DATA DO CAIXA PREVISTA]]="",0,MONTH(TbRegistroEntradas[[#This Row],[DATA DO CAIXA PREVISTA]]))</f>
        <v>8</v>
      </c>
      <c r="N119">
        <f>IF(TbRegistroEntradas[[#This Row],[DATA DO CAIXA PREVISTA]]="",0,YEAR(TbRegistroEntradas[[#This Row],[DATA DO CAIXA PREVISTA]]))</f>
        <v>2018</v>
      </c>
      <c r="O119" t="str">
        <f ca="1">IF(AND(TbRegistroEntradas[[#This Row],[DATA DO CAIXA PREVISTA]]&lt;TODAY(),TbRegistroEntradas[[#This Row],[DATA DO CAIXA REALIZADO]]=""),"Vencida","Não Vencida")</f>
        <v>Não Vencida</v>
      </c>
      <c r="P119" t="str">
        <f>IF(TbRegistroEntradas[[#This Row],[DATA DA COMPETENCIA]]=TbRegistroEntradas[[#This Row],[DATA DO CAIXA PREVISTA INT]],"VISTA","PRAZO")</f>
        <v>PRAZO</v>
      </c>
      <c r="Q119" s="14">
        <f>INT(TbRegistroEntradas[[#This Row],[DATA DO CAIXA PREVISTA]])</f>
        <v>43316</v>
      </c>
      <c r="R11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0" spans="2:18" x14ac:dyDescent="0.25">
      <c r="B120" s="14">
        <v>43336.184362990563</v>
      </c>
      <c r="C120" s="14">
        <v>43288</v>
      </c>
      <c r="D120" s="14">
        <v>43336.184362990563</v>
      </c>
      <c r="E120" t="s">
        <v>20</v>
      </c>
      <c r="F120" t="s">
        <v>37</v>
      </c>
      <c r="G120" t="s">
        <v>175</v>
      </c>
      <c r="H120" s="17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COMPETENCIA]]="",0,MONTH(TbRegistroEntradas[[#This Row],[DATA DA COMPETENCIA]]))</f>
        <v>7</v>
      </c>
      <c r="L120">
        <f>IF(TbRegistroEntradas[[#This Row],[DATA DA COMPETENCIA]]="",0,YEAR(TbRegistroEntradas[[#This Row],[DATA DA COMPETENCIA]]))</f>
        <v>2018</v>
      </c>
      <c r="M120">
        <f>IF(TbRegistroEntradas[[#This Row],[DATA DO CAIXA PREVISTA]]="",0,MONTH(TbRegistroEntradas[[#This Row],[DATA DO CAIXA PREVISTA]]))</f>
        <v>8</v>
      </c>
      <c r="N120">
        <f>IF(TbRegistroEntradas[[#This Row],[DATA DO CAIXA PREVISTA]]="",0,YEAR(TbRegistroEntradas[[#This Row],[DATA DO CAIXA PREVISTA]]))</f>
        <v>2018</v>
      </c>
      <c r="O120" t="str">
        <f ca="1">IF(AND(TbRegistroEntradas[[#This Row],[DATA DO CAIXA PREVISTA]]&lt;TODAY(),TbRegistroEntradas[[#This Row],[DATA DO CAIXA REALIZADO]]=""),"Vencida","Não Vencida")</f>
        <v>Não Vencida</v>
      </c>
      <c r="P120" t="str">
        <f>IF(TbRegistroEntradas[[#This Row],[DATA DA COMPETENCIA]]=TbRegistroEntradas[[#This Row],[DATA DO CAIXA PREVISTA INT]],"VISTA","PRAZO")</f>
        <v>PRAZO</v>
      </c>
      <c r="Q120" s="14">
        <f>INT(TbRegistroEntradas[[#This Row],[DATA DO CAIXA PREVISTA]])</f>
        <v>43336</v>
      </c>
      <c r="R12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1" spans="2:18" x14ac:dyDescent="0.25">
      <c r="B121" s="14">
        <v>43367.055849144577</v>
      </c>
      <c r="C121" s="14">
        <v>43292</v>
      </c>
      <c r="D121" s="14">
        <v>43323.658986192779</v>
      </c>
      <c r="E121" t="s">
        <v>20</v>
      </c>
      <c r="F121" t="s">
        <v>23</v>
      </c>
      <c r="G121" t="s">
        <v>176</v>
      </c>
      <c r="H121" s="17">
        <v>4090</v>
      </c>
      <c r="I121">
        <f>IF(TbRegistroEntradas[[#This Row],[DATA DO CAIXA REALIZADO]]="",0,MONTH(TbRegistroEntradas[[#This Row],[DATA DO CAIXA REALIZADO]]))</f>
        <v>9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COMPETENCIA]]="",0,MONTH(TbRegistroEntradas[[#This Row],[DATA DA COMPETENCIA]]))</f>
        <v>7</v>
      </c>
      <c r="L121">
        <f>IF(TbRegistroEntradas[[#This Row],[DATA DA COMPETENCIA]]="",0,YEAR(TbRegistroEntradas[[#This Row],[DATA DA COMPETENCIA]]))</f>
        <v>2018</v>
      </c>
      <c r="M121">
        <f>IF(TbRegistroEntradas[[#This Row],[DATA DO CAIXA PREVISTA]]="",0,MONTH(TbRegistroEntradas[[#This Row],[DATA DO CAIXA PREVISTA]]))</f>
        <v>8</v>
      </c>
      <c r="N121">
        <f>IF(TbRegistroEntradas[[#This Row],[DATA DO CAIXA PREVISTA]]="",0,YEAR(TbRegistroEntradas[[#This Row],[DATA DO CAIXA PREVISTA]]))</f>
        <v>2018</v>
      </c>
      <c r="O121" t="str">
        <f ca="1">IF(AND(TbRegistroEntradas[[#This Row],[DATA DO CAIXA PREVISTA]]&lt;TODAY(),TbRegistroEntradas[[#This Row],[DATA DO CAIXA REALIZADO]]=""),"Vencida","Não Vencida")</f>
        <v>Não Vencida</v>
      </c>
      <c r="P121" t="str">
        <f>IF(TbRegistroEntradas[[#This Row],[DATA DA COMPETENCIA]]=TbRegistroEntradas[[#This Row],[DATA DO CAIXA PREVISTA INT]],"VISTA","PRAZO")</f>
        <v>PRAZO</v>
      </c>
      <c r="Q121" s="14">
        <f>INT(TbRegistroEntradas[[#This Row],[DATA DO CAIXA PREVISTA]])</f>
        <v>43323</v>
      </c>
      <c r="R12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43.396862951798539</v>
      </c>
    </row>
    <row r="122" spans="2:18" x14ac:dyDescent="0.25">
      <c r="B122" s="14">
        <v>43311.051743268465</v>
      </c>
      <c r="C122" s="14">
        <v>43293</v>
      </c>
      <c r="D122" s="14">
        <v>43311.051743268465</v>
      </c>
      <c r="E122" t="s">
        <v>20</v>
      </c>
      <c r="F122" t="s">
        <v>46</v>
      </c>
      <c r="G122" t="s">
        <v>177</v>
      </c>
      <c r="H122" s="17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COMPETENCIA]]="",0,MONTH(TbRegistroEntradas[[#This Row],[DATA DA COMPETENCIA]]))</f>
        <v>7</v>
      </c>
      <c r="L122">
        <f>IF(TbRegistroEntradas[[#This Row],[DATA DA COMPETENCIA]]="",0,YEAR(TbRegistroEntradas[[#This Row],[DATA DA COMPETENCIA]]))</f>
        <v>2018</v>
      </c>
      <c r="M122">
        <f>IF(TbRegistroEntradas[[#This Row],[DATA DO CAIXA PREVISTA]]="",0,MONTH(TbRegistroEntradas[[#This Row],[DATA DO CAIXA PREVISTA]]))</f>
        <v>7</v>
      </c>
      <c r="N122">
        <f>IF(TbRegistroEntradas[[#This Row],[DATA DO CAIXA PREVISTA]]="",0,YEAR(TbRegistroEntradas[[#This Row],[DATA DO CAIXA PREVISTA]]))</f>
        <v>2018</v>
      </c>
      <c r="O122" t="str">
        <f ca="1">IF(AND(TbRegistroEntradas[[#This Row],[DATA DO CAIXA PREVISTA]]&lt;TODAY(),TbRegistroEntradas[[#This Row],[DATA DO CAIXA REALIZADO]]=""),"Vencida","Não Vencida")</f>
        <v>Não Vencida</v>
      </c>
      <c r="P122" t="str">
        <f>IF(TbRegistroEntradas[[#This Row],[DATA DA COMPETENCIA]]=TbRegistroEntradas[[#This Row],[DATA DO CAIXA PREVISTA INT]],"VISTA","PRAZO")</f>
        <v>PRAZO</v>
      </c>
      <c r="Q122" s="14">
        <f>INT(TbRegistroEntradas[[#This Row],[DATA DO CAIXA PREVISTA]])</f>
        <v>43311</v>
      </c>
      <c r="R12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3" spans="2:18" x14ac:dyDescent="0.25">
      <c r="B123" s="14">
        <v>43302.671415134202</v>
      </c>
      <c r="C123" s="14">
        <v>43297</v>
      </c>
      <c r="D123" s="14">
        <v>43302.671415134202</v>
      </c>
      <c r="E123" t="s">
        <v>20</v>
      </c>
      <c r="F123" t="s">
        <v>36</v>
      </c>
      <c r="G123" t="s">
        <v>178</v>
      </c>
      <c r="H123" s="17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COMPETENCIA]]="",0,MONTH(TbRegistroEntradas[[#This Row],[DATA DA COMPETENCIA]]))</f>
        <v>7</v>
      </c>
      <c r="L123">
        <f>IF(TbRegistroEntradas[[#This Row],[DATA DA COMPETENCIA]]="",0,YEAR(TbRegistroEntradas[[#This Row],[DATA DA COMPETENCIA]]))</f>
        <v>2018</v>
      </c>
      <c r="M123">
        <f>IF(TbRegistroEntradas[[#This Row],[DATA DO CAIXA PREVISTA]]="",0,MONTH(TbRegistroEntradas[[#This Row],[DATA DO CAIXA PREVISTA]]))</f>
        <v>7</v>
      </c>
      <c r="N123">
        <f>IF(TbRegistroEntradas[[#This Row],[DATA DO CAIXA PREVISTA]]="",0,YEAR(TbRegistroEntradas[[#This Row],[DATA DO CAIXA PREVISTA]]))</f>
        <v>2018</v>
      </c>
      <c r="O123" t="str">
        <f ca="1">IF(AND(TbRegistroEntradas[[#This Row],[DATA DO CAIXA PREVISTA]]&lt;TODAY(),TbRegistroEntradas[[#This Row],[DATA DO CAIXA REALIZADO]]=""),"Vencida","Não Vencida")</f>
        <v>Não Vencida</v>
      </c>
      <c r="P123" t="str">
        <f>IF(TbRegistroEntradas[[#This Row],[DATA DA COMPETENCIA]]=TbRegistroEntradas[[#This Row],[DATA DO CAIXA PREVISTA INT]],"VISTA","PRAZO")</f>
        <v>PRAZO</v>
      </c>
      <c r="Q123" s="14">
        <f>INT(TbRegistroEntradas[[#This Row],[DATA DO CAIXA PREVISTA]])</f>
        <v>43302</v>
      </c>
      <c r="R12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4" spans="2:18" x14ac:dyDescent="0.25">
      <c r="B124" s="14">
        <v>43346.313143570049</v>
      </c>
      <c r="C124" s="14">
        <v>43299</v>
      </c>
      <c r="D124" s="14">
        <v>43346.313143570049</v>
      </c>
      <c r="E124" t="s">
        <v>20</v>
      </c>
      <c r="F124" t="s">
        <v>36</v>
      </c>
      <c r="G124" t="s">
        <v>179</v>
      </c>
      <c r="H124" s="17">
        <v>2071</v>
      </c>
      <c r="I124">
        <f>IF(TbRegistroEntradas[[#This Row],[DATA DO CAIXA REALIZADO]]="",0,MONTH(TbRegistroEntradas[[#This Row],[DATA DO CAIXA REALIZADO]]))</f>
        <v>9</v>
      </c>
      <c r="J124">
        <f>IF(TbRegistroEntradas[[#This Row],[DATA DO CAIXA REALIZADO]]="",0,YEAR(TbRegistroEntradas[[#This Row],[DATA DO CAIXA REALIZADO]]))</f>
        <v>2018</v>
      </c>
      <c r="K124">
        <f>IF(TbRegistroEntradas[[#This Row],[DATA DA COMPETENCIA]]="",0,MONTH(TbRegistroEntradas[[#This Row],[DATA DA COMPETENCIA]]))</f>
        <v>7</v>
      </c>
      <c r="L124">
        <f>IF(TbRegistroEntradas[[#This Row],[DATA DA COMPETENCIA]]="",0,YEAR(TbRegistroEntradas[[#This Row],[DATA DA COMPETENCIA]]))</f>
        <v>2018</v>
      </c>
      <c r="M124">
        <f>IF(TbRegistroEntradas[[#This Row],[DATA DO CAIXA PREVISTA]]="",0,MONTH(TbRegistroEntradas[[#This Row],[DATA DO CAIXA PREVISTA]]))</f>
        <v>9</v>
      </c>
      <c r="N124">
        <f>IF(TbRegistroEntradas[[#This Row],[DATA DO CAIXA PREVISTA]]="",0,YEAR(TbRegistroEntradas[[#This Row],[DATA DO CAIXA PREVISTA]]))</f>
        <v>2018</v>
      </c>
      <c r="O124" t="str">
        <f ca="1">IF(AND(TbRegistroEntradas[[#This Row],[DATA DO CAIXA PREVISTA]]&lt;TODAY(),TbRegistroEntradas[[#This Row],[DATA DO CAIXA REALIZADO]]=""),"Vencida","Não Vencida")</f>
        <v>Não Vencida</v>
      </c>
      <c r="P124" t="str">
        <f>IF(TbRegistroEntradas[[#This Row],[DATA DA COMPETENCIA]]=TbRegistroEntradas[[#This Row],[DATA DO CAIXA PREVISTA INT]],"VISTA","PRAZO")</f>
        <v>PRAZO</v>
      </c>
      <c r="Q124" s="14">
        <f>INT(TbRegistroEntradas[[#This Row],[DATA DO CAIXA PREVISTA]])</f>
        <v>43346</v>
      </c>
      <c r="R12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5" spans="2:18" x14ac:dyDescent="0.25">
      <c r="B125" s="14">
        <v>43333.777244922574</v>
      </c>
      <c r="C125" s="14">
        <v>43304</v>
      </c>
      <c r="D125" s="14">
        <v>43333.777244922574</v>
      </c>
      <c r="E125" t="s">
        <v>20</v>
      </c>
      <c r="F125" t="s">
        <v>23</v>
      </c>
      <c r="G125" t="s">
        <v>180</v>
      </c>
      <c r="H125" s="17">
        <v>4258</v>
      </c>
      <c r="I125">
        <f>IF(TbRegistroEntradas[[#This Row],[DATA DO CAIXA REALIZADO]]="",0,MONTH(TbRegistroEntradas[[#This Row],[DATA DO CAIXA REALIZADO]]))</f>
        <v>8</v>
      </c>
      <c r="J125">
        <f>IF(TbRegistroEntradas[[#This Row],[DATA DO CAIXA REALIZADO]]="",0,YEAR(TbRegistroEntradas[[#This Row],[DATA DO CAIXA REALIZADO]]))</f>
        <v>2018</v>
      </c>
      <c r="K125">
        <f>IF(TbRegistroEntradas[[#This Row],[DATA DA COMPETENCIA]]="",0,MONTH(TbRegistroEntradas[[#This Row],[DATA DA COMPETENCIA]]))</f>
        <v>7</v>
      </c>
      <c r="L125">
        <f>IF(TbRegistroEntradas[[#This Row],[DATA DA COMPETENCIA]]="",0,YEAR(TbRegistroEntradas[[#This Row],[DATA DA COMPETENCIA]]))</f>
        <v>2018</v>
      </c>
      <c r="M125">
        <f>IF(TbRegistroEntradas[[#This Row],[DATA DO CAIXA PREVISTA]]="",0,MONTH(TbRegistroEntradas[[#This Row],[DATA DO CAIXA PREVISTA]]))</f>
        <v>8</v>
      </c>
      <c r="N125">
        <f>IF(TbRegistroEntradas[[#This Row],[DATA DO CAIXA PREVISTA]]="",0,YEAR(TbRegistroEntradas[[#This Row],[DATA DO CAIXA PREVISTA]]))</f>
        <v>2018</v>
      </c>
      <c r="O125" t="str">
        <f ca="1">IF(AND(TbRegistroEntradas[[#This Row],[DATA DO CAIXA PREVISTA]]&lt;TODAY(),TbRegistroEntradas[[#This Row],[DATA DO CAIXA REALIZADO]]=""),"Vencida","Não Vencida")</f>
        <v>Não Vencida</v>
      </c>
      <c r="P125" t="str">
        <f>IF(TbRegistroEntradas[[#This Row],[DATA DA COMPETENCIA]]=TbRegistroEntradas[[#This Row],[DATA DO CAIXA PREVISTA INT]],"VISTA","PRAZO")</f>
        <v>PRAZO</v>
      </c>
      <c r="Q125" s="14">
        <f>INT(TbRegistroEntradas[[#This Row],[DATA DO CAIXA PREVISTA]])</f>
        <v>43333</v>
      </c>
      <c r="R12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6" spans="2:18" x14ac:dyDescent="0.25">
      <c r="B126" s="14">
        <v>43428.73128891184</v>
      </c>
      <c r="C126" s="14">
        <v>43306</v>
      </c>
      <c r="D126" s="14">
        <v>43350.178253053913</v>
      </c>
      <c r="E126" t="s">
        <v>20</v>
      </c>
      <c r="F126" t="s">
        <v>37</v>
      </c>
      <c r="G126" t="s">
        <v>181</v>
      </c>
      <c r="H126" s="17">
        <v>4383</v>
      </c>
      <c r="I126">
        <f>IF(TbRegistroEntradas[[#This Row],[DATA DO CAIXA REALIZADO]]="",0,MONTH(TbRegistroEntradas[[#This Row],[DATA DO CAIXA REALIZADO]]))</f>
        <v>11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COMPETENCIA]]="",0,MONTH(TbRegistroEntradas[[#This Row],[DATA DA COMPETENCIA]]))</f>
        <v>7</v>
      </c>
      <c r="L126">
        <f>IF(TbRegistroEntradas[[#This Row],[DATA DA COMPETENCIA]]="",0,YEAR(TbRegistroEntradas[[#This Row],[DATA DA COMPETENCIA]]))</f>
        <v>2018</v>
      </c>
      <c r="M126">
        <f>IF(TbRegistroEntradas[[#This Row],[DATA DO CAIXA PREVISTA]]="",0,MONTH(TbRegistroEntradas[[#This Row],[DATA DO CAIXA PREVISTA]]))</f>
        <v>9</v>
      </c>
      <c r="N126">
        <f>IF(TbRegistroEntradas[[#This Row],[DATA DO CAIXA PREVISTA]]="",0,YEAR(TbRegistroEntradas[[#This Row],[DATA DO CAIXA PREVISTA]]))</f>
        <v>2018</v>
      </c>
      <c r="O126" t="str">
        <f ca="1">IF(AND(TbRegistroEntradas[[#This Row],[DATA DO CAIXA PREVISTA]]&lt;TODAY(),TbRegistroEntradas[[#This Row],[DATA DO CAIXA REALIZADO]]=""),"Vencida","Não Vencida")</f>
        <v>Não Vencida</v>
      </c>
      <c r="P126" t="str">
        <f>IF(TbRegistroEntradas[[#This Row],[DATA DA COMPETENCIA]]=TbRegistroEntradas[[#This Row],[DATA DO CAIXA PREVISTA INT]],"VISTA","PRAZO")</f>
        <v>PRAZO</v>
      </c>
      <c r="Q126" s="14">
        <f>INT(TbRegistroEntradas[[#This Row],[DATA DO CAIXA PREVISTA]])</f>
        <v>43350</v>
      </c>
      <c r="R12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78.553035857927171</v>
      </c>
    </row>
    <row r="127" spans="2:18" x14ac:dyDescent="0.25">
      <c r="B127" s="14">
        <v>43352.69621488743</v>
      </c>
      <c r="C127" s="14">
        <v>43310</v>
      </c>
      <c r="D127" s="14">
        <v>43352.69621488743</v>
      </c>
      <c r="E127" t="s">
        <v>20</v>
      </c>
      <c r="F127" t="s">
        <v>36</v>
      </c>
      <c r="G127" t="s">
        <v>182</v>
      </c>
      <c r="H127" s="17">
        <v>1369</v>
      </c>
      <c r="I127">
        <f>IF(TbRegistroEntradas[[#This Row],[DATA DO CAIXA REALIZADO]]="",0,MONTH(TbRegistroEntradas[[#This Row],[DATA DO CAIXA REALIZADO]]))</f>
        <v>9</v>
      </c>
      <c r="J127">
        <f>IF(TbRegistroEntradas[[#This Row],[DATA DO CAIXA REALIZADO]]="",0,YEAR(TbRegistroEntradas[[#This Row],[DATA DO CAIXA REALIZADO]]))</f>
        <v>2018</v>
      </c>
      <c r="K127">
        <f>IF(TbRegistroEntradas[[#This Row],[DATA DA COMPETENCIA]]="",0,MONTH(TbRegistroEntradas[[#This Row],[DATA DA COMPETENCIA]]))</f>
        <v>7</v>
      </c>
      <c r="L127">
        <f>IF(TbRegistroEntradas[[#This Row],[DATA DA COMPETENCIA]]="",0,YEAR(TbRegistroEntradas[[#This Row],[DATA DA COMPETENCIA]]))</f>
        <v>2018</v>
      </c>
      <c r="M127">
        <f>IF(TbRegistroEntradas[[#This Row],[DATA DO CAIXA PREVISTA]]="",0,MONTH(TbRegistroEntradas[[#This Row],[DATA DO CAIXA PREVISTA]]))</f>
        <v>9</v>
      </c>
      <c r="N127">
        <f>IF(TbRegistroEntradas[[#This Row],[DATA DO CAIXA PREVISTA]]="",0,YEAR(TbRegistroEntradas[[#This Row],[DATA DO CAIXA PREVISTA]]))</f>
        <v>2018</v>
      </c>
      <c r="O127" t="str">
        <f ca="1">IF(AND(TbRegistroEntradas[[#This Row],[DATA DO CAIXA PREVISTA]]&lt;TODAY(),TbRegistroEntradas[[#This Row],[DATA DO CAIXA REALIZADO]]=""),"Vencida","Não Vencida")</f>
        <v>Não Vencida</v>
      </c>
      <c r="P127" t="str">
        <f>IF(TbRegistroEntradas[[#This Row],[DATA DA COMPETENCIA]]=TbRegistroEntradas[[#This Row],[DATA DO CAIXA PREVISTA INT]],"VISTA","PRAZO")</f>
        <v>PRAZO</v>
      </c>
      <c r="Q127" s="14">
        <f>INT(TbRegistroEntradas[[#This Row],[DATA DO CAIXA PREVISTA]])</f>
        <v>43352</v>
      </c>
      <c r="R12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8" spans="2:18" x14ac:dyDescent="0.25">
      <c r="B128" s="14">
        <v>43357.5698549507</v>
      </c>
      <c r="C128" s="14">
        <v>43315</v>
      </c>
      <c r="D128" s="14">
        <v>43357.5698549507</v>
      </c>
      <c r="E128" t="s">
        <v>20</v>
      </c>
      <c r="F128" t="s">
        <v>36</v>
      </c>
      <c r="G128" t="s">
        <v>183</v>
      </c>
      <c r="H128" s="17">
        <v>331</v>
      </c>
      <c r="I128">
        <f>IF(TbRegistroEntradas[[#This Row],[DATA DO CAIXA REALIZADO]]="",0,MONTH(TbRegistroEntradas[[#This Row],[DATA DO CAIXA REALIZADO]]))</f>
        <v>9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COMPETENCIA]]="",0,MONTH(TbRegistroEntradas[[#This Row],[DATA DA COMPETENCIA]]))</f>
        <v>8</v>
      </c>
      <c r="L128">
        <f>IF(TbRegistroEntradas[[#This Row],[DATA DA COMPETENCIA]]="",0,YEAR(TbRegistroEntradas[[#This Row],[DATA DA COMPETENCIA]]))</f>
        <v>2018</v>
      </c>
      <c r="M128">
        <f>IF(TbRegistroEntradas[[#This Row],[DATA DO CAIXA PREVISTA]]="",0,MONTH(TbRegistroEntradas[[#This Row],[DATA DO CAIXA PREVISTA]]))</f>
        <v>9</v>
      </c>
      <c r="N128">
        <f>IF(TbRegistroEntradas[[#This Row],[DATA DO CAIXA PREVISTA]]="",0,YEAR(TbRegistroEntradas[[#This Row],[DATA DO CAIXA PREVISTA]]))</f>
        <v>2018</v>
      </c>
      <c r="O128" t="str">
        <f ca="1">IF(AND(TbRegistroEntradas[[#This Row],[DATA DO CAIXA PREVISTA]]&lt;TODAY(),TbRegistroEntradas[[#This Row],[DATA DO CAIXA REALIZADO]]=""),"Vencida","Não Vencida")</f>
        <v>Não Vencida</v>
      </c>
      <c r="P128" t="str">
        <f>IF(TbRegistroEntradas[[#This Row],[DATA DA COMPETENCIA]]=TbRegistroEntradas[[#This Row],[DATA DO CAIXA PREVISTA INT]],"VISTA","PRAZO")</f>
        <v>PRAZO</v>
      </c>
      <c r="Q128" s="14">
        <f>INT(TbRegistroEntradas[[#This Row],[DATA DO CAIXA PREVISTA]])</f>
        <v>43357</v>
      </c>
      <c r="R12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29" spans="2:18" x14ac:dyDescent="0.25">
      <c r="B129" s="14">
        <v>43321.343775306508</v>
      </c>
      <c r="C129" s="14">
        <v>43318</v>
      </c>
      <c r="D129" s="14">
        <v>43321.343775306508</v>
      </c>
      <c r="E129" t="s">
        <v>20</v>
      </c>
      <c r="F129" t="s">
        <v>36</v>
      </c>
      <c r="G129" t="s">
        <v>184</v>
      </c>
      <c r="H129" s="17">
        <v>3031</v>
      </c>
      <c r="I129">
        <f>IF(TbRegistroEntradas[[#This Row],[DATA DO CAIXA REALIZADO]]="",0,MONTH(TbRegistroEntradas[[#This Row],[DATA DO CAIXA REALIZADO]]))</f>
        <v>8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COMPETENCIA]]="",0,MONTH(TbRegistroEntradas[[#This Row],[DATA DA COMPETENCIA]]))</f>
        <v>8</v>
      </c>
      <c r="L129">
        <f>IF(TbRegistroEntradas[[#This Row],[DATA DA COMPETENCIA]]="",0,YEAR(TbRegistroEntradas[[#This Row],[DATA DA COMPETENCIA]]))</f>
        <v>2018</v>
      </c>
      <c r="M129">
        <f>IF(TbRegistroEntradas[[#This Row],[DATA DO CAIXA PREVISTA]]="",0,MONTH(TbRegistroEntradas[[#This Row],[DATA DO CAIXA PREVISTA]]))</f>
        <v>8</v>
      </c>
      <c r="N129">
        <f>IF(TbRegistroEntradas[[#This Row],[DATA DO CAIXA PREVISTA]]="",0,YEAR(TbRegistroEntradas[[#This Row],[DATA DO CAIXA PREVISTA]]))</f>
        <v>2018</v>
      </c>
      <c r="O129" t="str">
        <f ca="1">IF(AND(TbRegistroEntradas[[#This Row],[DATA DO CAIXA PREVISTA]]&lt;TODAY(),TbRegistroEntradas[[#This Row],[DATA DO CAIXA REALIZADO]]=""),"Vencida","Não Vencida")</f>
        <v>Não Vencida</v>
      </c>
      <c r="P129" t="str">
        <f>IF(TbRegistroEntradas[[#This Row],[DATA DA COMPETENCIA]]=TbRegistroEntradas[[#This Row],[DATA DO CAIXA PREVISTA INT]],"VISTA","PRAZO")</f>
        <v>PRAZO</v>
      </c>
      <c r="Q129" s="14">
        <f>INT(TbRegistroEntradas[[#This Row],[DATA DO CAIXA PREVISTA]])</f>
        <v>43321</v>
      </c>
      <c r="R12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0" spans="2:18" x14ac:dyDescent="0.25">
      <c r="B130" s="14">
        <v>43341.446775987133</v>
      </c>
      <c r="C130" s="14">
        <v>43321</v>
      </c>
      <c r="D130" s="14">
        <v>43341.446775987133</v>
      </c>
      <c r="E130" t="s">
        <v>20</v>
      </c>
      <c r="F130" t="s">
        <v>37</v>
      </c>
      <c r="G130" t="s">
        <v>185</v>
      </c>
      <c r="H130" s="17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COMPETENCIA]]="",0,MONTH(TbRegistroEntradas[[#This Row],[DATA DA COMPETENCIA]]))</f>
        <v>8</v>
      </c>
      <c r="L130">
        <f>IF(TbRegistroEntradas[[#This Row],[DATA DA COMPETENCIA]]="",0,YEAR(TbRegistroEntradas[[#This Row],[DATA DA COMPETENCIA]]))</f>
        <v>2018</v>
      </c>
      <c r="M130">
        <f>IF(TbRegistroEntradas[[#This Row],[DATA DO CAIXA PREVISTA]]="",0,MONTH(TbRegistroEntradas[[#This Row],[DATA DO CAIXA PREVISTA]]))</f>
        <v>8</v>
      </c>
      <c r="N130">
        <f>IF(TbRegistroEntradas[[#This Row],[DATA DO CAIXA PREVISTA]]="",0,YEAR(TbRegistroEntradas[[#This Row],[DATA DO CAIXA PREVISTA]]))</f>
        <v>2018</v>
      </c>
      <c r="O130" t="str">
        <f ca="1">IF(AND(TbRegistroEntradas[[#This Row],[DATA DO CAIXA PREVISTA]]&lt;TODAY(),TbRegistroEntradas[[#This Row],[DATA DO CAIXA REALIZADO]]=""),"Vencida","Não Vencida")</f>
        <v>Não Vencida</v>
      </c>
      <c r="P130" t="str">
        <f>IF(TbRegistroEntradas[[#This Row],[DATA DA COMPETENCIA]]=TbRegistroEntradas[[#This Row],[DATA DO CAIXA PREVISTA INT]],"VISTA","PRAZO")</f>
        <v>PRAZO</v>
      </c>
      <c r="Q130" s="14">
        <f>INT(TbRegistroEntradas[[#This Row],[DATA DO CAIXA PREVISTA]])</f>
        <v>43341</v>
      </c>
      <c r="R13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1" spans="2:18" x14ac:dyDescent="0.25">
      <c r="B131" s="14">
        <v>43343.77071694022</v>
      </c>
      <c r="C131" s="14">
        <v>43323</v>
      </c>
      <c r="D131" s="14">
        <v>43343.77071694022</v>
      </c>
      <c r="E131" t="s">
        <v>20</v>
      </c>
      <c r="F131" t="s">
        <v>37</v>
      </c>
      <c r="G131" t="s">
        <v>186</v>
      </c>
      <c r="H131" s="17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COMPETENCIA]]="",0,MONTH(TbRegistroEntradas[[#This Row],[DATA DA COMPETENCIA]]))</f>
        <v>8</v>
      </c>
      <c r="L131">
        <f>IF(TbRegistroEntradas[[#This Row],[DATA DA COMPETENCIA]]="",0,YEAR(TbRegistroEntradas[[#This Row],[DATA DA COMPETENCIA]]))</f>
        <v>2018</v>
      </c>
      <c r="M131">
        <f>IF(TbRegistroEntradas[[#This Row],[DATA DO CAIXA PREVISTA]]="",0,MONTH(TbRegistroEntradas[[#This Row],[DATA DO CAIXA PREVISTA]]))</f>
        <v>8</v>
      </c>
      <c r="N131">
        <f>IF(TbRegistroEntradas[[#This Row],[DATA DO CAIXA PREVISTA]]="",0,YEAR(TbRegistroEntradas[[#This Row],[DATA DO CAIXA PREVISTA]]))</f>
        <v>2018</v>
      </c>
      <c r="O131" t="str">
        <f ca="1">IF(AND(TbRegistroEntradas[[#This Row],[DATA DO CAIXA PREVISTA]]&lt;TODAY(),TbRegistroEntradas[[#This Row],[DATA DO CAIXA REALIZADO]]=""),"Vencida","Não Vencida")</f>
        <v>Não Vencida</v>
      </c>
      <c r="P131" t="str">
        <f>IF(TbRegistroEntradas[[#This Row],[DATA DA COMPETENCIA]]=TbRegistroEntradas[[#This Row],[DATA DO CAIXA PREVISTA INT]],"VISTA","PRAZO")</f>
        <v>PRAZO</v>
      </c>
      <c r="Q131" s="14">
        <f>INT(TbRegistroEntradas[[#This Row],[DATA DO CAIXA PREVISTA]])</f>
        <v>43343</v>
      </c>
      <c r="R13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2" spans="2:18" x14ac:dyDescent="0.25">
      <c r="B132" s="14">
        <v>43360.32999077069</v>
      </c>
      <c r="C132" s="14">
        <v>43326</v>
      </c>
      <c r="D132" s="14">
        <v>43360.32999077069</v>
      </c>
      <c r="E132" t="s">
        <v>20</v>
      </c>
      <c r="F132" t="s">
        <v>46</v>
      </c>
      <c r="G132" t="s">
        <v>152</v>
      </c>
      <c r="H132" s="17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COMPETENCIA]]="",0,MONTH(TbRegistroEntradas[[#This Row],[DATA DA COMPETENCIA]]))</f>
        <v>8</v>
      </c>
      <c r="L132">
        <f>IF(TbRegistroEntradas[[#This Row],[DATA DA COMPETENCIA]]="",0,YEAR(TbRegistroEntradas[[#This Row],[DATA DA COMPETENCIA]]))</f>
        <v>2018</v>
      </c>
      <c r="M132">
        <f>IF(TbRegistroEntradas[[#This Row],[DATA DO CAIXA PREVISTA]]="",0,MONTH(TbRegistroEntradas[[#This Row],[DATA DO CAIXA PREVISTA]]))</f>
        <v>9</v>
      </c>
      <c r="N132">
        <f>IF(TbRegistroEntradas[[#This Row],[DATA DO CAIXA PREVISTA]]="",0,YEAR(TbRegistroEntradas[[#This Row],[DATA DO CAIXA PREVISTA]]))</f>
        <v>2018</v>
      </c>
      <c r="O132" t="str">
        <f ca="1">IF(AND(TbRegistroEntradas[[#This Row],[DATA DO CAIXA PREVISTA]]&lt;TODAY(),TbRegistroEntradas[[#This Row],[DATA DO CAIXA REALIZADO]]=""),"Vencida","Não Vencida")</f>
        <v>Não Vencida</v>
      </c>
      <c r="P132" t="str">
        <f>IF(TbRegistroEntradas[[#This Row],[DATA DA COMPETENCIA]]=TbRegistroEntradas[[#This Row],[DATA DO CAIXA PREVISTA INT]],"VISTA","PRAZO")</f>
        <v>PRAZO</v>
      </c>
      <c r="Q132" s="14">
        <f>INT(TbRegistroEntradas[[#This Row],[DATA DO CAIXA PREVISTA]])</f>
        <v>43360</v>
      </c>
      <c r="R13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3" spans="2:18" x14ac:dyDescent="0.25">
      <c r="B133" s="14">
        <v>43329.315214521994</v>
      </c>
      <c r="C133" s="14">
        <v>43329</v>
      </c>
      <c r="D133" s="14">
        <v>43329.315214521994</v>
      </c>
      <c r="E133" t="s">
        <v>20</v>
      </c>
      <c r="F133" t="s">
        <v>36</v>
      </c>
      <c r="G133" t="s">
        <v>187</v>
      </c>
      <c r="H133" s="17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COMPETENCIA]]="",0,MONTH(TbRegistroEntradas[[#This Row],[DATA DA COMPETENCIA]]))</f>
        <v>8</v>
      </c>
      <c r="L133">
        <f>IF(TbRegistroEntradas[[#This Row],[DATA DA COMPETENCIA]]="",0,YEAR(TbRegistroEntradas[[#This Row],[DATA DA COMPETENCIA]]))</f>
        <v>2018</v>
      </c>
      <c r="M133">
        <f>IF(TbRegistroEntradas[[#This Row],[DATA DO CAIXA PREVISTA]]="",0,MONTH(TbRegistroEntradas[[#This Row],[DATA DO CAIXA PREVISTA]]))</f>
        <v>8</v>
      </c>
      <c r="N133">
        <f>IF(TbRegistroEntradas[[#This Row],[DATA DO CAIXA PREVISTA]]="",0,YEAR(TbRegistroEntradas[[#This Row],[DATA DO CAIXA PREVISTA]]))</f>
        <v>2018</v>
      </c>
      <c r="O133" t="str">
        <f ca="1">IF(AND(TbRegistroEntradas[[#This Row],[DATA DO CAIXA PREVISTA]]&lt;TODAY(),TbRegistroEntradas[[#This Row],[DATA DO CAIXA REALIZADO]]=""),"Vencida","Não Vencida")</f>
        <v>Não Vencida</v>
      </c>
      <c r="P133" t="str">
        <f>IF(TbRegistroEntradas[[#This Row],[DATA DA COMPETENCIA]]=TbRegistroEntradas[[#This Row],[DATA DO CAIXA PREVISTA INT]],"VISTA","PRAZO")</f>
        <v>VISTA</v>
      </c>
      <c r="Q133" s="14">
        <f>INT(TbRegistroEntradas[[#This Row],[DATA DO CAIXA PREVISTA]])</f>
        <v>43329</v>
      </c>
      <c r="R13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4" spans="2:18" x14ac:dyDescent="0.25">
      <c r="B134" s="14">
        <v>43388.49957155843</v>
      </c>
      <c r="C134" s="14">
        <v>43336</v>
      </c>
      <c r="D134" s="14">
        <v>43388.49957155843</v>
      </c>
      <c r="E134" t="s">
        <v>20</v>
      </c>
      <c r="F134" t="s">
        <v>23</v>
      </c>
      <c r="G134" t="s">
        <v>188</v>
      </c>
      <c r="H134" s="17">
        <v>4287</v>
      </c>
      <c r="I134">
        <f>IF(TbRegistroEntradas[[#This Row],[DATA DO CAIXA REALIZADO]]="",0,MONTH(TbRegistroEntradas[[#This Row],[DATA DO CAIXA REALIZADO]]))</f>
        <v>10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COMPETENCIA]]="",0,MONTH(TbRegistroEntradas[[#This Row],[DATA DA COMPETENCIA]]))</f>
        <v>8</v>
      </c>
      <c r="L134">
        <f>IF(TbRegistroEntradas[[#This Row],[DATA DA COMPETENCIA]]="",0,YEAR(TbRegistroEntradas[[#This Row],[DATA DA COMPETENCIA]]))</f>
        <v>2018</v>
      </c>
      <c r="M134">
        <f>IF(TbRegistroEntradas[[#This Row],[DATA DO CAIXA PREVISTA]]="",0,MONTH(TbRegistroEntradas[[#This Row],[DATA DO CAIXA PREVISTA]]))</f>
        <v>10</v>
      </c>
      <c r="N134">
        <f>IF(TbRegistroEntradas[[#This Row],[DATA DO CAIXA PREVISTA]]="",0,YEAR(TbRegistroEntradas[[#This Row],[DATA DO CAIXA PREVISTA]]))</f>
        <v>2018</v>
      </c>
      <c r="O134" t="str">
        <f ca="1">IF(AND(TbRegistroEntradas[[#This Row],[DATA DO CAIXA PREVISTA]]&lt;TODAY(),TbRegistroEntradas[[#This Row],[DATA DO CAIXA REALIZADO]]=""),"Vencida","Não Vencida")</f>
        <v>Não Vencida</v>
      </c>
      <c r="P134" t="str">
        <f>IF(TbRegistroEntradas[[#This Row],[DATA DA COMPETENCIA]]=TbRegistroEntradas[[#This Row],[DATA DO CAIXA PREVISTA INT]],"VISTA","PRAZO")</f>
        <v>PRAZO</v>
      </c>
      <c r="Q134" s="14">
        <f>INT(TbRegistroEntradas[[#This Row],[DATA DO CAIXA PREVISTA]])</f>
        <v>43388</v>
      </c>
      <c r="R13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5" spans="2:18" x14ac:dyDescent="0.25">
      <c r="B135" s="14">
        <v>43395.898810917068</v>
      </c>
      <c r="C135" s="14">
        <v>43338</v>
      </c>
      <c r="D135" s="14">
        <v>43395.898810917068</v>
      </c>
      <c r="E135" t="s">
        <v>20</v>
      </c>
      <c r="F135" t="s">
        <v>23</v>
      </c>
      <c r="G135" t="s">
        <v>189</v>
      </c>
      <c r="H135" s="17">
        <v>4857</v>
      </c>
      <c r="I135">
        <f>IF(TbRegistroEntradas[[#This Row],[DATA DO CAIXA REALIZADO]]="",0,MONTH(TbRegistroEntradas[[#This Row],[DATA DO CAIXA REALIZADO]]))</f>
        <v>10</v>
      </c>
      <c r="J135">
        <f>IF(TbRegistroEntradas[[#This Row],[DATA DO CAIXA REALIZADO]]="",0,YEAR(TbRegistroEntradas[[#This Row],[DATA DO CAIXA REALIZADO]]))</f>
        <v>2018</v>
      </c>
      <c r="K135">
        <f>IF(TbRegistroEntradas[[#This Row],[DATA DA COMPETENCIA]]="",0,MONTH(TbRegistroEntradas[[#This Row],[DATA DA COMPETENCIA]]))</f>
        <v>8</v>
      </c>
      <c r="L135">
        <f>IF(TbRegistroEntradas[[#This Row],[DATA DA COMPETENCIA]]="",0,YEAR(TbRegistroEntradas[[#This Row],[DATA DA COMPETENCIA]]))</f>
        <v>2018</v>
      </c>
      <c r="M135">
        <f>IF(TbRegistroEntradas[[#This Row],[DATA DO CAIXA PREVISTA]]="",0,MONTH(TbRegistroEntradas[[#This Row],[DATA DO CAIXA PREVISTA]]))</f>
        <v>10</v>
      </c>
      <c r="N135">
        <f>IF(TbRegistroEntradas[[#This Row],[DATA DO CAIXA PREVISTA]]="",0,YEAR(TbRegistroEntradas[[#This Row],[DATA DO CAIXA PREVISTA]]))</f>
        <v>2018</v>
      </c>
      <c r="O135" t="str">
        <f ca="1">IF(AND(TbRegistroEntradas[[#This Row],[DATA DO CAIXA PREVISTA]]&lt;TODAY(),TbRegistroEntradas[[#This Row],[DATA DO CAIXA REALIZADO]]=""),"Vencida","Não Vencida")</f>
        <v>Não Vencida</v>
      </c>
      <c r="P135" t="str">
        <f>IF(TbRegistroEntradas[[#This Row],[DATA DA COMPETENCIA]]=TbRegistroEntradas[[#This Row],[DATA DO CAIXA PREVISTA INT]],"VISTA","PRAZO")</f>
        <v>PRAZO</v>
      </c>
      <c r="Q135" s="14">
        <f>INT(TbRegistroEntradas[[#This Row],[DATA DO CAIXA PREVISTA]])</f>
        <v>43395</v>
      </c>
      <c r="R13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6" spans="2:18" x14ac:dyDescent="0.25">
      <c r="B136" s="14">
        <v>43393.910050358987</v>
      </c>
      <c r="C136" s="14">
        <v>43342</v>
      </c>
      <c r="D136" s="14">
        <v>43393.910050358987</v>
      </c>
      <c r="E136" t="s">
        <v>20</v>
      </c>
      <c r="F136" t="s">
        <v>36</v>
      </c>
      <c r="G136" t="s">
        <v>190</v>
      </c>
      <c r="H136" s="17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COMPETENCIA]]="",0,MONTH(TbRegistroEntradas[[#This Row],[DATA DA COMPETENCIA]]))</f>
        <v>8</v>
      </c>
      <c r="L136">
        <f>IF(TbRegistroEntradas[[#This Row],[DATA DA COMPETENCIA]]="",0,YEAR(TbRegistroEntradas[[#This Row],[DATA DA COMPETENCIA]]))</f>
        <v>2018</v>
      </c>
      <c r="M136">
        <f>IF(TbRegistroEntradas[[#This Row],[DATA DO CAIXA PREVISTA]]="",0,MONTH(TbRegistroEntradas[[#This Row],[DATA DO CAIXA PREVISTA]]))</f>
        <v>10</v>
      </c>
      <c r="N136">
        <f>IF(TbRegistroEntradas[[#This Row],[DATA DO CAIXA PREVISTA]]="",0,YEAR(TbRegistroEntradas[[#This Row],[DATA DO CAIXA PREVISTA]]))</f>
        <v>2018</v>
      </c>
      <c r="O136" t="str">
        <f ca="1">IF(AND(TbRegistroEntradas[[#This Row],[DATA DO CAIXA PREVISTA]]&lt;TODAY(),TbRegistroEntradas[[#This Row],[DATA DO CAIXA REALIZADO]]=""),"Vencida","Não Vencida")</f>
        <v>Não Vencida</v>
      </c>
      <c r="P136" t="str">
        <f>IF(TbRegistroEntradas[[#This Row],[DATA DA COMPETENCIA]]=TbRegistroEntradas[[#This Row],[DATA DO CAIXA PREVISTA INT]],"VISTA","PRAZO")</f>
        <v>PRAZO</v>
      </c>
      <c r="Q136" s="14">
        <f>INT(TbRegistroEntradas[[#This Row],[DATA DO CAIXA PREVISTA]])</f>
        <v>43393</v>
      </c>
      <c r="R13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7" spans="2:18" x14ac:dyDescent="0.25">
      <c r="B137" s="14">
        <v>43354.387651420941</v>
      </c>
      <c r="C137" s="14">
        <v>43343</v>
      </c>
      <c r="D137" s="14">
        <v>43354.387651420941</v>
      </c>
      <c r="E137" t="s">
        <v>20</v>
      </c>
      <c r="F137" t="s">
        <v>37</v>
      </c>
      <c r="G137" t="s">
        <v>191</v>
      </c>
      <c r="H137" s="17">
        <v>2467</v>
      </c>
      <c r="I137">
        <f>IF(TbRegistroEntradas[[#This Row],[DATA DO CAIXA REALIZADO]]="",0,MONTH(TbRegistroEntradas[[#This Row],[DATA DO CAIXA REALIZADO]]))</f>
        <v>9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COMPETENCIA]]="",0,MONTH(TbRegistroEntradas[[#This Row],[DATA DA COMPETENCIA]]))</f>
        <v>8</v>
      </c>
      <c r="L137">
        <f>IF(TbRegistroEntradas[[#This Row],[DATA DA COMPETENCIA]]="",0,YEAR(TbRegistroEntradas[[#This Row],[DATA DA COMPETENCIA]]))</f>
        <v>2018</v>
      </c>
      <c r="M137">
        <f>IF(TbRegistroEntradas[[#This Row],[DATA DO CAIXA PREVISTA]]="",0,MONTH(TbRegistroEntradas[[#This Row],[DATA DO CAIXA PREVISTA]]))</f>
        <v>9</v>
      </c>
      <c r="N137">
        <f>IF(TbRegistroEntradas[[#This Row],[DATA DO CAIXA PREVISTA]]="",0,YEAR(TbRegistroEntradas[[#This Row],[DATA DO CAIXA PREVISTA]]))</f>
        <v>2018</v>
      </c>
      <c r="O137" t="str">
        <f ca="1">IF(AND(TbRegistroEntradas[[#This Row],[DATA DO CAIXA PREVISTA]]&lt;TODAY(),TbRegistroEntradas[[#This Row],[DATA DO CAIXA REALIZADO]]=""),"Vencida","Não Vencida")</f>
        <v>Não Vencida</v>
      </c>
      <c r="P137" t="str">
        <f>IF(TbRegistroEntradas[[#This Row],[DATA DA COMPETENCIA]]=TbRegistroEntradas[[#This Row],[DATA DO CAIXA PREVISTA INT]],"VISTA","PRAZO")</f>
        <v>PRAZO</v>
      </c>
      <c r="Q137" s="14">
        <f>INT(TbRegistroEntradas[[#This Row],[DATA DO CAIXA PREVISTA]])</f>
        <v>43354</v>
      </c>
      <c r="R13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38" spans="2:18" x14ac:dyDescent="0.25">
      <c r="B138" s="14" t="s">
        <v>68</v>
      </c>
      <c r="C138" s="14">
        <v>43344</v>
      </c>
      <c r="D138" s="14">
        <v>43370.663792328756</v>
      </c>
      <c r="E138" t="s">
        <v>20</v>
      </c>
      <c r="F138" t="s">
        <v>36</v>
      </c>
      <c r="G138" t="s">
        <v>192</v>
      </c>
      <c r="H138" s="17">
        <v>4253</v>
      </c>
      <c r="I138">
        <f>IF(TbRegistroEntradas[[#This Row],[DATA DO CAIXA REALIZADO]]="",0,MONTH(TbRegistroEntradas[[#This Row],[DATA DO CAIXA REALIZADO]]))</f>
        <v>0</v>
      </c>
      <c r="J138">
        <f>IF(TbRegistroEntradas[[#This Row],[DATA DO CAIXA REALIZADO]]="",0,YEAR(TbRegistroEntradas[[#This Row],[DATA DO CAIXA REALIZADO]]))</f>
        <v>0</v>
      </c>
      <c r="K138">
        <f>IF(TbRegistroEntradas[[#This Row],[DATA DA COMPETENCIA]]="",0,MONTH(TbRegistroEntradas[[#This Row],[DATA DA COMPETENCIA]]))</f>
        <v>9</v>
      </c>
      <c r="L138">
        <f>IF(TbRegistroEntradas[[#This Row],[DATA DA COMPETENCIA]]="",0,YEAR(TbRegistroEntradas[[#This Row],[DATA DA COMPETENCIA]]))</f>
        <v>2018</v>
      </c>
      <c r="M138">
        <f>IF(TbRegistroEntradas[[#This Row],[DATA DO CAIXA PREVISTA]]="",0,MONTH(TbRegistroEntradas[[#This Row],[DATA DO CAIXA PREVISTA]]))</f>
        <v>9</v>
      </c>
      <c r="N138">
        <f>IF(TbRegistroEntradas[[#This Row],[DATA DO CAIXA PREVISTA]]="",0,YEAR(TbRegistroEntradas[[#This Row],[DATA DO CAIXA PREVISTA]]))</f>
        <v>2018</v>
      </c>
      <c r="O138" t="str">
        <f ca="1">IF(AND(TbRegistroEntradas[[#This Row],[DATA DO CAIXA PREVISTA]]&lt;TODAY(),TbRegistroEntradas[[#This Row],[DATA DO CAIXA REALIZADO]]=""),"Vencida","Não Vencida")</f>
        <v>Vencida</v>
      </c>
      <c r="P138" t="str">
        <f>IF(TbRegistroEntradas[[#This Row],[DATA DA COMPETENCIA]]=TbRegistroEntradas[[#This Row],[DATA DO CAIXA PREVISTA INT]],"VISTA","PRAZO")</f>
        <v>PRAZO</v>
      </c>
      <c r="Q138" s="14">
        <f>INT(TbRegistroEntradas[[#This Row],[DATA DO CAIXA PREVISTA]])</f>
        <v>43370</v>
      </c>
      <c r="R138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39" spans="2:18" x14ac:dyDescent="0.25">
      <c r="B139" s="14">
        <v>43357.782262904322</v>
      </c>
      <c r="C139" s="14">
        <v>43350</v>
      </c>
      <c r="D139" s="14">
        <v>43357.782262904322</v>
      </c>
      <c r="E139" t="s">
        <v>20</v>
      </c>
      <c r="F139" t="s">
        <v>23</v>
      </c>
      <c r="G139" t="s">
        <v>193</v>
      </c>
      <c r="H139" s="17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COMPETENCIA]]="",0,MONTH(TbRegistroEntradas[[#This Row],[DATA DA COMPETENCIA]]))</f>
        <v>9</v>
      </c>
      <c r="L139">
        <f>IF(TbRegistroEntradas[[#This Row],[DATA DA COMPETENCIA]]="",0,YEAR(TbRegistroEntradas[[#This Row],[DATA DA COMPETENCIA]]))</f>
        <v>2018</v>
      </c>
      <c r="M139">
        <f>IF(TbRegistroEntradas[[#This Row],[DATA DO CAIXA PREVISTA]]="",0,MONTH(TbRegistroEntradas[[#This Row],[DATA DO CAIXA PREVISTA]]))</f>
        <v>9</v>
      </c>
      <c r="N139">
        <f>IF(TbRegistroEntradas[[#This Row],[DATA DO CAIXA PREVISTA]]="",0,YEAR(TbRegistroEntradas[[#This Row],[DATA DO CAIXA PREVISTA]]))</f>
        <v>2018</v>
      </c>
      <c r="O139" t="str">
        <f ca="1">IF(AND(TbRegistroEntradas[[#This Row],[DATA DO CAIXA PREVISTA]]&lt;TODAY(),TbRegistroEntradas[[#This Row],[DATA DO CAIXA REALIZADO]]=""),"Vencida","Não Vencida")</f>
        <v>Não Vencida</v>
      </c>
      <c r="P139" t="str">
        <f>IF(TbRegistroEntradas[[#This Row],[DATA DA COMPETENCIA]]=TbRegistroEntradas[[#This Row],[DATA DO CAIXA PREVISTA INT]],"VISTA","PRAZO")</f>
        <v>PRAZO</v>
      </c>
      <c r="Q139" s="14">
        <f>INT(TbRegistroEntradas[[#This Row],[DATA DO CAIXA PREVISTA]])</f>
        <v>43357</v>
      </c>
      <c r="R13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0" spans="2:18" x14ac:dyDescent="0.25">
      <c r="B140" s="14">
        <v>43370.746792358121</v>
      </c>
      <c r="C140" s="14">
        <v>43352</v>
      </c>
      <c r="D140" s="14">
        <v>43365.799147030826</v>
      </c>
      <c r="E140" t="s">
        <v>20</v>
      </c>
      <c r="F140" t="s">
        <v>36</v>
      </c>
      <c r="G140" t="s">
        <v>194</v>
      </c>
      <c r="H140" s="17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COMPETENCIA]]="",0,MONTH(TbRegistroEntradas[[#This Row],[DATA DA COMPETENCIA]]))</f>
        <v>9</v>
      </c>
      <c r="L140">
        <f>IF(TbRegistroEntradas[[#This Row],[DATA DA COMPETENCIA]]="",0,YEAR(TbRegistroEntradas[[#This Row],[DATA DA COMPETENCIA]]))</f>
        <v>2018</v>
      </c>
      <c r="M140">
        <f>IF(TbRegistroEntradas[[#This Row],[DATA DO CAIXA PREVISTA]]="",0,MONTH(TbRegistroEntradas[[#This Row],[DATA DO CAIXA PREVISTA]]))</f>
        <v>9</v>
      </c>
      <c r="N140">
        <f>IF(TbRegistroEntradas[[#This Row],[DATA DO CAIXA PREVISTA]]="",0,YEAR(TbRegistroEntradas[[#This Row],[DATA DO CAIXA PREVISTA]]))</f>
        <v>2018</v>
      </c>
      <c r="O140" t="str">
        <f ca="1">IF(AND(TbRegistroEntradas[[#This Row],[DATA DO CAIXA PREVISTA]]&lt;TODAY(),TbRegistroEntradas[[#This Row],[DATA DO CAIXA REALIZADO]]=""),"Vencida","Não Vencida")</f>
        <v>Não Vencida</v>
      </c>
      <c r="P140" t="str">
        <f>IF(TbRegistroEntradas[[#This Row],[DATA DA COMPETENCIA]]=TbRegistroEntradas[[#This Row],[DATA DO CAIXA PREVISTA INT]],"VISTA","PRAZO")</f>
        <v>PRAZO</v>
      </c>
      <c r="Q140" s="14">
        <f>INT(TbRegistroEntradas[[#This Row],[DATA DO CAIXA PREVISTA]])</f>
        <v>43365</v>
      </c>
      <c r="R14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4.9476453272945946</v>
      </c>
    </row>
    <row r="141" spans="2:18" x14ac:dyDescent="0.25">
      <c r="B141" s="14">
        <v>43452.502445224149</v>
      </c>
      <c r="C141" s="14">
        <v>43355</v>
      </c>
      <c r="D141" s="14">
        <v>43383.231108677093</v>
      </c>
      <c r="E141" t="s">
        <v>20</v>
      </c>
      <c r="F141" t="s">
        <v>36</v>
      </c>
      <c r="G141" t="s">
        <v>195</v>
      </c>
      <c r="H141" s="17">
        <v>1207</v>
      </c>
      <c r="I141">
        <f>IF(TbRegistroEntradas[[#This Row],[DATA DO CAIXA REALIZADO]]="",0,MONTH(TbRegistroEntradas[[#This Row],[DATA DO CAIXA REALIZADO]]))</f>
        <v>12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COMPETENCIA]]="",0,MONTH(TbRegistroEntradas[[#This Row],[DATA DA COMPETENCIA]]))</f>
        <v>9</v>
      </c>
      <c r="L141">
        <f>IF(TbRegistroEntradas[[#This Row],[DATA DA COMPETENCIA]]="",0,YEAR(TbRegistroEntradas[[#This Row],[DATA DA COMPETENCIA]]))</f>
        <v>2018</v>
      </c>
      <c r="M141">
        <f>IF(TbRegistroEntradas[[#This Row],[DATA DO CAIXA PREVISTA]]="",0,MONTH(TbRegistroEntradas[[#This Row],[DATA DO CAIXA PREVISTA]]))</f>
        <v>10</v>
      </c>
      <c r="N141">
        <f>IF(TbRegistroEntradas[[#This Row],[DATA DO CAIXA PREVISTA]]="",0,YEAR(TbRegistroEntradas[[#This Row],[DATA DO CAIXA PREVISTA]]))</f>
        <v>2018</v>
      </c>
      <c r="O141" t="str">
        <f ca="1">IF(AND(TbRegistroEntradas[[#This Row],[DATA DO CAIXA PREVISTA]]&lt;TODAY(),TbRegistroEntradas[[#This Row],[DATA DO CAIXA REALIZADO]]=""),"Vencida","Não Vencida")</f>
        <v>Não Vencida</v>
      </c>
      <c r="P141" t="str">
        <f>IF(TbRegistroEntradas[[#This Row],[DATA DA COMPETENCIA]]=TbRegistroEntradas[[#This Row],[DATA DO CAIXA PREVISTA INT]],"VISTA","PRAZO")</f>
        <v>PRAZO</v>
      </c>
      <c r="Q141" s="14">
        <f>INT(TbRegistroEntradas[[#This Row],[DATA DO CAIXA PREVISTA]])</f>
        <v>43383</v>
      </c>
      <c r="R14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69.271336547055398</v>
      </c>
    </row>
    <row r="142" spans="2:18" x14ac:dyDescent="0.25">
      <c r="B142" s="14">
        <v>43412.045933493078</v>
      </c>
      <c r="C142" s="14">
        <v>43361</v>
      </c>
      <c r="D142" s="14">
        <v>43412.045933493078</v>
      </c>
      <c r="E142" t="s">
        <v>20</v>
      </c>
      <c r="F142" t="s">
        <v>37</v>
      </c>
      <c r="G142" t="s">
        <v>196</v>
      </c>
      <c r="H142" s="17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COMPETENCIA]]="",0,MONTH(TbRegistroEntradas[[#This Row],[DATA DA COMPETENCIA]]))</f>
        <v>9</v>
      </c>
      <c r="L142">
        <f>IF(TbRegistroEntradas[[#This Row],[DATA DA COMPETENCIA]]="",0,YEAR(TbRegistroEntradas[[#This Row],[DATA DA COMPETENCIA]]))</f>
        <v>2018</v>
      </c>
      <c r="M142">
        <f>IF(TbRegistroEntradas[[#This Row],[DATA DO CAIXA PREVISTA]]="",0,MONTH(TbRegistroEntradas[[#This Row],[DATA DO CAIXA PREVISTA]]))</f>
        <v>11</v>
      </c>
      <c r="N142">
        <f>IF(TbRegistroEntradas[[#This Row],[DATA DO CAIXA PREVISTA]]="",0,YEAR(TbRegistroEntradas[[#This Row],[DATA DO CAIXA PREVISTA]]))</f>
        <v>2018</v>
      </c>
      <c r="O142" t="str">
        <f ca="1">IF(AND(TbRegistroEntradas[[#This Row],[DATA DO CAIXA PREVISTA]]&lt;TODAY(),TbRegistroEntradas[[#This Row],[DATA DO CAIXA REALIZADO]]=""),"Vencida","Não Vencida")</f>
        <v>Não Vencida</v>
      </c>
      <c r="P142" t="str">
        <f>IF(TbRegistroEntradas[[#This Row],[DATA DA COMPETENCIA]]=TbRegistroEntradas[[#This Row],[DATA DO CAIXA PREVISTA INT]],"VISTA","PRAZO")</f>
        <v>PRAZO</v>
      </c>
      <c r="Q142" s="14">
        <f>INT(TbRegistroEntradas[[#This Row],[DATA DO CAIXA PREVISTA]])</f>
        <v>43412</v>
      </c>
      <c r="R14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3" spans="2:18" x14ac:dyDescent="0.25">
      <c r="B143" s="14">
        <v>43374.505096957248</v>
      </c>
      <c r="C143" s="14">
        <v>43363</v>
      </c>
      <c r="D143" s="14">
        <v>43374.505096957248</v>
      </c>
      <c r="E143" t="s">
        <v>20</v>
      </c>
      <c r="F143" t="s">
        <v>38</v>
      </c>
      <c r="G143" t="s">
        <v>197</v>
      </c>
      <c r="H143" s="17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COMPETENCIA]]="",0,MONTH(TbRegistroEntradas[[#This Row],[DATA DA COMPETENCIA]]))</f>
        <v>9</v>
      </c>
      <c r="L143">
        <f>IF(TbRegistroEntradas[[#This Row],[DATA DA COMPETENCIA]]="",0,YEAR(TbRegistroEntradas[[#This Row],[DATA DA COMPETENCIA]]))</f>
        <v>2018</v>
      </c>
      <c r="M143">
        <f>IF(TbRegistroEntradas[[#This Row],[DATA DO CAIXA PREVISTA]]="",0,MONTH(TbRegistroEntradas[[#This Row],[DATA DO CAIXA PREVISTA]]))</f>
        <v>10</v>
      </c>
      <c r="N143">
        <f>IF(TbRegistroEntradas[[#This Row],[DATA DO CAIXA PREVISTA]]="",0,YEAR(TbRegistroEntradas[[#This Row],[DATA DO CAIXA PREVISTA]]))</f>
        <v>2018</v>
      </c>
      <c r="O143" t="str">
        <f ca="1">IF(AND(TbRegistroEntradas[[#This Row],[DATA DO CAIXA PREVISTA]]&lt;TODAY(),TbRegistroEntradas[[#This Row],[DATA DO CAIXA REALIZADO]]=""),"Vencida","Não Vencida")</f>
        <v>Não Vencida</v>
      </c>
      <c r="P143" t="str">
        <f>IF(TbRegistroEntradas[[#This Row],[DATA DA COMPETENCIA]]=TbRegistroEntradas[[#This Row],[DATA DO CAIXA PREVISTA INT]],"VISTA","PRAZO")</f>
        <v>PRAZO</v>
      </c>
      <c r="Q143" s="14">
        <f>INT(TbRegistroEntradas[[#This Row],[DATA DO CAIXA PREVISTA]])</f>
        <v>43374</v>
      </c>
      <c r="R14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4" spans="2:18" x14ac:dyDescent="0.25">
      <c r="B144" s="14">
        <v>43388.790596442639</v>
      </c>
      <c r="C144" s="14">
        <v>43364</v>
      </c>
      <c r="D144" s="14">
        <v>43377.195562585111</v>
      </c>
      <c r="E144" t="s">
        <v>20</v>
      </c>
      <c r="F144" t="s">
        <v>36</v>
      </c>
      <c r="G144" t="s">
        <v>198</v>
      </c>
      <c r="H144" s="17">
        <v>2106</v>
      </c>
      <c r="I144">
        <f>IF(TbRegistroEntradas[[#This Row],[DATA DO CAIXA REALIZADO]]="",0,MONTH(TbRegistroEntradas[[#This Row],[DATA DO CAIXA REALIZADO]]))</f>
        <v>10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COMPETENCIA]]="",0,MONTH(TbRegistroEntradas[[#This Row],[DATA DA COMPETENCIA]]))</f>
        <v>9</v>
      </c>
      <c r="L144">
        <f>IF(TbRegistroEntradas[[#This Row],[DATA DA COMPETENCIA]]="",0,YEAR(TbRegistroEntradas[[#This Row],[DATA DA COMPETENCIA]]))</f>
        <v>2018</v>
      </c>
      <c r="M144">
        <f>IF(TbRegistroEntradas[[#This Row],[DATA DO CAIXA PREVISTA]]="",0,MONTH(TbRegistroEntradas[[#This Row],[DATA DO CAIXA PREVISTA]]))</f>
        <v>10</v>
      </c>
      <c r="N144">
        <f>IF(TbRegistroEntradas[[#This Row],[DATA DO CAIXA PREVISTA]]="",0,YEAR(TbRegistroEntradas[[#This Row],[DATA DO CAIXA PREVISTA]]))</f>
        <v>2018</v>
      </c>
      <c r="O144" t="str">
        <f ca="1">IF(AND(TbRegistroEntradas[[#This Row],[DATA DO CAIXA PREVISTA]]&lt;TODAY(),TbRegistroEntradas[[#This Row],[DATA DO CAIXA REALIZADO]]=""),"Vencida","Não Vencida")</f>
        <v>Não Vencida</v>
      </c>
      <c r="P144" t="str">
        <f>IF(TbRegistroEntradas[[#This Row],[DATA DA COMPETENCIA]]=TbRegistroEntradas[[#This Row],[DATA DO CAIXA PREVISTA INT]],"VISTA","PRAZO")</f>
        <v>PRAZO</v>
      </c>
      <c r="Q144" s="14">
        <f>INT(TbRegistroEntradas[[#This Row],[DATA DO CAIXA PREVISTA]])</f>
        <v>43377</v>
      </c>
      <c r="R14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11.595033857527596</v>
      </c>
    </row>
    <row r="145" spans="2:18" x14ac:dyDescent="0.25">
      <c r="B145" s="14">
        <v>43405.698265794999</v>
      </c>
      <c r="C145" s="14">
        <v>43366</v>
      </c>
      <c r="D145" s="14">
        <v>43405.698265794999</v>
      </c>
      <c r="E145" t="s">
        <v>20</v>
      </c>
      <c r="F145" t="s">
        <v>38</v>
      </c>
      <c r="G145" t="s">
        <v>199</v>
      </c>
      <c r="H145" s="17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COMPETENCIA]]="",0,MONTH(TbRegistroEntradas[[#This Row],[DATA DA COMPETENCIA]]))</f>
        <v>9</v>
      </c>
      <c r="L145">
        <f>IF(TbRegistroEntradas[[#This Row],[DATA DA COMPETENCIA]]="",0,YEAR(TbRegistroEntradas[[#This Row],[DATA DA COMPETENCIA]]))</f>
        <v>2018</v>
      </c>
      <c r="M145">
        <f>IF(TbRegistroEntradas[[#This Row],[DATA DO CAIXA PREVISTA]]="",0,MONTH(TbRegistroEntradas[[#This Row],[DATA DO CAIXA PREVISTA]]))</f>
        <v>11</v>
      </c>
      <c r="N145">
        <f>IF(TbRegistroEntradas[[#This Row],[DATA DO CAIXA PREVISTA]]="",0,YEAR(TbRegistroEntradas[[#This Row],[DATA DO CAIXA PREVISTA]]))</f>
        <v>2018</v>
      </c>
      <c r="O145" t="str">
        <f ca="1">IF(AND(TbRegistroEntradas[[#This Row],[DATA DO CAIXA PREVISTA]]&lt;TODAY(),TbRegistroEntradas[[#This Row],[DATA DO CAIXA REALIZADO]]=""),"Vencida","Não Vencida")</f>
        <v>Não Vencida</v>
      </c>
      <c r="P145" t="str">
        <f>IF(TbRegistroEntradas[[#This Row],[DATA DA COMPETENCIA]]=TbRegistroEntradas[[#This Row],[DATA DO CAIXA PREVISTA INT]],"VISTA","PRAZO")</f>
        <v>PRAZO</v>
      </c>
      <c r="Q145" s="14">
        <f>INT(TbRegistroEntradas[[#This Row],[DATA DO CAIXA PREVISTA]])</f>
        <v>43405</v>
      </c>
      <c r="R14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6" spans="2:18" x14ac:dyDescent="0.25">
      <c r="B146" s="14">
        <v>43395.635115246572</v>
      </c>
      <c r="C146" s="14">
        <v>43369</v>
      </c>
      <c r="D146" s="14">
        <v>43395.635115246572</v>
      </c>
      <c r="E146" t="s">
        <v>20</v>
      </c>
      <c r="F146" t="s">
        <v>37</v>
      </c>
      <c r="G146" t="s">
        <v>200</v>
      </c>
      <c r="H146" s="17">
        <v>3222</v>
      </c>
      <c r="I146">
        <f>IF(TbRegistroEntradas[[#This Row],[DATA DO CAIXA REALIZADO]]="",0,MONTH(TbRegistroEntradas[[#This Row],[DATA DO CAIXA REALIZADO]]))</f>
        <v>10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COMPETENCIA]]="",0,MONTH(TbRegistroEntradas[[#This Row],[DATA DA COMPETENCIA]]))</f>
        <v>9</v>
      </c>
      <c r="L146">
        <f>IF(TbRegistroEntradas[[#This Row],[DATA DA COMPETENCIA]]="",0,YEAR(TbRegistroEntradas[[#This Row],[DATA DA COMPETENCIA]]))</f>
        <v>2018</v>
      </c>
      <c r="M146">
        <f>IF(TbRegistroEntradas[[#This Row],[DATA DO CAIXA PREVISTA]]="",0,MONTH(TbRegistroEntradas[[#This Row],[DATA DO CAIXA PREVISTA]]))</f>
        <v>10</v>
      </c>
      <c r="N146">
        <f>IF(TbRegistroEntradas[[#This Row],[DATA DO CAIXA PREVISTA]]="",0,YEAR(TbRegistroEntradas[[#This Row],[DATA DO CAIXA PREVISTA]]))</f>
        <v>2018</v>
      </c>
      <c r="O146" t="str">
        <f ca="1">IF(AND(TbRegistroEntradas[[#This Row],[DATA DO CAIXA PREVISTA]]&lt;TODAY(),TbRegistroEntradas[[#This Row],[DATA DO CAIXA REALIZADO]]=""),"Vencida","Não Vencida")</f>
        <v>Não Vencida</v>
      </c>
      <c r="P146" t="str">
        <f>IF(TbRegistroEntradas[[#This Row],[DATA DA COMPETENCIA]]=TbRegistroEntradas[[#This Row],[DATA DO CAIXA PREVISTA INT]],"VISTA","PRAZO")</f>
        <v>PRAZO</v>
      </c>
      <c r="Q146" s="14">
        <f>INT(TbRegistroEntradas[[#This Row],[DATA DO CAIXA PREVISTA]])</f>
        <v>43395</v>
      </c>
      <c r="R14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7" spans="2:18" x14ac:dyDescent="0.25">
      <c r="B147" s="14">
        <v>43392.294011107704</v>
      </c>
      <c r="C147" s="14">
        <v>43374</v>
      </c>
      <c r="D147" s="14">
        <v>43392.294011107704</v>
      </c>
      <c r="E147" t="s">
        <v>20</v>
      </c>
      <c r="F147" t="s">
        <v>36</v>
      </c>
      <c r="G147" t="s">
        <v>201</v>
      </c>
      <c r="H147" s="17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COMPETENCIA]]="",0,MONTH(TbRegistroEntradas[[#This Row],[DATA DA COMPETENCIA]]))</f>
        <v>10</v>
      </c>
      <c r="L147">
        <f>IF(TbRegistroEntradas[[#This Row],[DATA DA COMPETENCIA]]="",0,YEAR(TbRegistroEntradas[[#This Row],[DATA DA COMPETENCIA]]))</f>
        <v>2018</v>
      </c>
      <c r="M147">
        <f>IF(TbRegistroEntradas[[#This Row],[DATA DO CAIXA PREVISTA]]="",0,MONTH(TbRegistroEntradas[[#This Row],[DATA DO CAIXA PREVISTA]]))</f>
        <v>10</v>
      </c>
      <c r="N147">
        <f>IF(TbRegistroEntradas[[#This Row],[DATA DO CAIXA PREVISTA]]="",0,YEAR(TbRegistroEntradas[[#This Row],[DATA DO CAIXA PREVISTA]]))</f>
        <v>2018</v>
      </c>
      <c r="O147" t="str">
        <f ca="1">IF(AND(TbRegistroEntradas[[#This Row],[DATA DO CAIXA PREVISTA]]&lt;TODAY(),TbRegistroEntradas[[#This Row],[DATA DO CAIXA REALIZADO]]=""),"Vencida","Não Vencida")</f>
        <v>Não Vencida</v>
      </c>
      <c r="P147" t="str">
        <f>IF(TbRegistroEntradas[[#This Row],[DATA DA COMPETENCIA]]=TbRegistroEntradas[[#This Row],[DATA DO CAIXA PREVISTA INT]],"VISTA","PRAZO")</f>
        <v>PRAZO</v>
      </c>
      <c r="Q147" s="14">
        <f>INT(TbRegistroEntradas[[#This Row],[DATA DO CAIXA PREVISTA]])</f>
        <v>43392</v>
      </c>
      <c r="R14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48" spans="2:18" x14ac:dyDescent="0.25">
      <c r="B148" s="14" t="s">
        <v>68</v>
      </c>
      <c r="C148" s="14">
        <v>43378</v>
      </c>
      <c r="D148" s="14">
        <v>43399.816257310325</v>
      </c>
      <c r="E148" t="s">
        <v>20</v>
      </c>
      <c r="F148" t="s">
        <v>46</v>
      </c>
      <c r="G148" t="s">
        <v>202</v>
      </c>
      <c r="H148" s="17">
        <v>4922</v>
      </c>
      <c r="I148">
        <f>IF(TbRegistroEntradas[[#This Row],[DATA DO CAIXA REALIZADO]]="",0,MONTH(TbRegistroEntradas[[#This Row],[DATA DO CAIXA REALIZADO]]))</f>
        <v>0</v>
      </c>
      <c r="J148">
        <f>IF(TbRegistroEntradas[[#This Row],[DATA DO CAIXA REALIZADO]]="",0,YEAR(TbRegistroEntradas[[#This Row],[DATA DO CAIXA REALIZADO]]))</f>
        <v>0</v>
      </c>
      <c r="K148">
        <f>IF(TbRegistroEntradas[[#This Row],[DATA DA COMPETENCIA]]="",0,MONTH(TbRegistroEntradas[[#This Row],[DATA DA COMPETENCIA]]))</f>
        <v>10</v>
      </c>
      <c r="L148">
        <f>IF(TbRegistroEntradas[[#This Row],[DATA DA COMPETENCIA]]="",0,YEAR(TbRegistroEntradas[[#This Row],[DATA DA COMPETENCIA]]))</f>
        <v>2018</v>
      </c>
      <c r="M148">
        <f>IF(TbRegistroEntradas[[#This Row],[DATA DO CAIXA PREVISTA]]="",0,MONTH(TbRegistroEntradas[[#This Row],[DATA DO CAIXA PREVISTA]]))</f>
        <v>10</v>
      </c>
      <c r="N148">
        <f>IF(TbRegistroEntradas[[#This Row],[DATA DO CAIXA PREVISTA]]="",0,YEAR(TbRegistroEntradas[[#This Row],[DATA DO CAIXA PREVISTA]]))</f>
        <v>2018</v>
      </c>
      <c r="O148" t="str">
        <f ca="1">IF(AND(TbRegistroEntradas[[#This Row],[DATA DO CAIXA PREVISTA]]&lt;TODAY(),TbRegistroEntradas[[#This Row],[DATA DO CAIXA REALIZADO]]=""),"Vencida","Não Vencida")</f>
        <v>Vencida</v>
      </c>
      <c r="P148" t="str">
        <f>IF(TbRegistroEntradas[[#This Row],[DATA DA COMPETENCIA]]=TbRegistroEntradas[[#This Row],[DATA DO CAIXA PREVISTA INT]],"VISTA","PRAZO")</f>
        <v>PRAZO</v>
      </c>
      <c r="Q148" s="14">
        <f>INT(TbRegistroEntradas[[#This Row],[DATA DO CAIXA PREVISTA]])</f>
        <v>43399</v>
      </c>
      <c r="R148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49" spans="2:18" x14ac:dyDescent="0.25">
      <c r="B149" s="14">
        <v>43491.255960910879</v>
      </c>
      <c r="C149" s="14">
        <v>43382</v>
      </c>
      <c r="D149" s="14">
        <v>43432.893680650159</v>
      </c>
      <c r="E149" t="s">
        <v>20</v>
      </c>
      <c r="F149" t="s">
        <v>23</v>
      </c>
      <c r="G149" t="s">
        <v>203</v>
      </c>
      <c r="H149" s="17">
        <v>1688</v>
      </c>
      <c r="I149">
        <f>IF(TbRegistroEntradas[[#This Row],[DATA DO CAIXA REALIZADO]]="",0,MONTH(TbRegistroEntradas[[#This Row],[DATA DO CAIXA REALIZADO]]))</f>
        <v>1</v>
      </c>
      <c r="J149">
        <f>IF(TbRegistroEntradas[[#This Row],[DATA DO CAIXA REALIZADO]]="",0,YEAR(TbRegistroEntradas[[#This Row],[DATA DO CAIXA REALIZADO]]))</f>
        <v>2019</v>
      </c>
      <c r="K149">
        <f>IF(TbRegistroEntradas[[#This Row],[DATA DA COMPETENCIA]]="",0,MONTH(TbRegistroEntradas[[#This Row],[DATA DA COMPETENCIA]]))</f>
        <v>10</v>
      </c>
      <c r="L149">
        <f>IF(TbRegistroEntradas[[#This Row],[DATA DA COMPETENCIA]]="",0,YEAR(TbRegistroEntradas[[#This Row],[DATA DA COMPETENCIA]]))</f>
        <v>2018</v>
      </c>
      <c r="M149">
        <f>IF(TbRegistroEntradas[[#This Row],[DATA DO CAIXA PREVISTA]]="",0,MONTH(TbRegistroEntradas[[#This Row],[DATA DO CAIXA PREVISTA]]))</f>
        <v>11</v>
      </c>
      <c r="N149">
        <f>IF(TbRegistroEntradas[[#This Row],[DATA DO CAIXA PREVISTA]]="",0,YEAR(TbRegistroEntradas[[#This Row],[DATA DO CAIXA PREVISTA]]))</f>
        <v>2018</v>
      </c>
      <c r="O149" t="str">
        <f ca="1">IF(AND(TbRegistroEntradas[[#This Row],[DATA DO CAIXA PREVISTA]]&lt;TODAY(),TbRegistroEntradas[[#This Row],[DATA DO CAIXA REALIZADO]]=""),"Vencida","Não Vencida")</f>
        <v>Não Vencida</v>
      </c>
      <c r="P149" t="str">
        <f>IF(TbRegistroEntradas[[#This Row],[DATA DA COMPETENCIA]]=TbRegistroEntradas[[#This Row],[DATA DO CAIXA PREVISTA INT]],"VISTA","PRAZO")</f>
        <v>PRAZO</v>
      </c>
      <c r="Q149" s="14">
        <f>INT(TbRegistroEntradas[[#This Row],[DATA DO CAIXA PREVISTA]])</f>
        <v>43432</v>
      </c>
      <c r="R14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58.362280260720581</v>
      </c>
    </row>
    <row r="150" spans="2:18" x14ac:dyDescent="0.25">
      <c r="B150" s="14">
        <v>43442.77456497735</v>
      </c>
      <c r="C150" s="14">
        <v>43382</v>
      </c>
      <c r="D150" s="14">
        <v>43423.510226289633</v>
      </c>
      <c r="E150" t="s">
        <v>20</v>
      </c>
      <c r="F150" t="s">
        <v>23</v>
      </c>
      <c r="G150" t="s">
        <v>204</v>
      </c>
      <c r="H150" s="17">
        <v>979</v>
      </c>
      <c r="I150">
        <f>IF(TbRegistroEntradas[[#This Row],[DATA DO CAIXA REALIZADO]]="",0,MONTH(TbRegistroEntradas[[#This Row],[DATA DO CAIXA REALIZADO]]))</f>
        <v>12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COMPETENCIA]]="",0,MONTH(TbRegistroEntradas[[#This Row],[DATA DA COMPETENCIA]]))</f>
        <v>10</v>
      </c>
      <c r="L150">
        <f>IF(TbRegistroEntradas[[#This Row],[DATA DA COMPETENCIA]]="",0,YEAR(TbRegistroEntradas[[#This Row],[DATA DA COMPETENCIA]]))</f>
        <v>2018</v>
      </c>
      <c r="M150">
        <f>IF(TbRegistroEntradas[[#This Row],[DATA DO CAIXA PREVISTA]]="",0,MONTH(TbRegistroEntradas[[#This Row],[DATA DO CAIXA PREVISTA]]))</f>
        <v>11</v>
      </c>
      <c r="N150">
        <f>IF(TbRegistroEntradas[[#This Row],[DATA DO CAIXA PREVISTA]]="",0,YEAR(TbRegistroEntradas[[#This Row],[DATA DO CAIXA PREVISTA]]))</f>
        <v>2018</v>
      </c>
      <c r="O150" t="str">
        <f ca="1">IF(AND(TbRegistroEntradas[[#This Row],[DATA DO CAIXA PREVISTA]]&lt;TODAY(),TbRegistroEntradas[[#This Row],[DATA DO CAIXA REALIZADO]]=""),"Vencida","Não Vencida")</f>
        <v>Não Vencida</v>
      </c>
      <c r="P150" t="str">
        <f>IF(TbRegistroEntradas[[#This Row],[DATA DA COMPETENCIA]]=TbRegistroEntradas[[#This Row],[DATA DO CAIXA PREVISTA INT]],"VISTA","PRAZO")</f>
        <v>PRAZO</v>
      </c>
      <c r="Q150" s="14">
        <f>INT(TbRegistroEntradas[[#This Row],[DATA DO CAIXA PREVISTA]])</f>
        <v>43423</v>
      </c>
      <c r="R15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19.2643386877171</v>
      </c>
    </row>
    <row r="151" spans="2:18" x14ac:dyDescent="0.25">
      <c r="B151" s="14">
        <v>43400.871146361249</v>
      </c>
      <c r="C151" s="14">
        <v>43387</v>
      </c>
      <c r="D151" s="14">
        <v>43400.871146361249</v>
      </c>
      <c r="E151" t="s">
        <v>20</v>
      </c>
      <c r="F151" t="s">
        <v>36</v>
      </c>
      <c r="G151" t="s">
        <v>205</v>
      </c>
      <c r="H151" s="17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COMPETENCIA]]="",0,MONTH(TbRegistroEntradas[[#This Row],[DATA DA COMPETENCIA]]))</f>
        <v>10</v>
      </c>
      <c r="L151">
        <f>IF(TbRegistroEntradas[[#This Row],[DATA DA COMPETENCIA]]="",0,YEAR(TbRegistroEntradas[[#This Row],[DATA DA COMPETENCIA]]))</f>
        <v>2018</v>
      </c>
      <c r="M151">
        <f>IF(TbRegistroEntradas[[#This Row],[DATA DO CAIXA PREVISTA]]="",0,MONTH(TbRegistroEntradas[[#This Row],[DATA DO CAIXA PREVISTA]]))</f>
        <v>10</v>
      </c>
      <c r="N151">
        <f>IF(TbRegistroEntradas[[#This Row],[DATA DO CAIXA PREVISTA]]="",0,YEAR(TbRegistroEntradas[[#This Row],[DATA DO CAIXA PREVISTA]]))</f>
        <v>2018</v>
      </c>
      <c r="O151" t="str">
        <f ca="1">IF(AND(TbRegistroEntradas[[#This Row],[DATA DO CAIXA PREVISTA]]&lt;TODAY(),TbRegistroEntradas[[#This Row],[DATA DO CAIXA REALIZADO]]=""),"Vencida","Não Vencida")</f>
        <v>Não Vencida</v>
      </c>
      <c r="P151" t="str">
        <f>IF(TbRegistroEntradas[[#This Row],[DATA DA COMPETENCIA]]=TbRegistroEntradas[[#This Row],[DATA DO CAIXA PREVISTA INT]],"VISTA","PRAZO")</f>
        <v>PRAZO</v>
      </c>
      <c r="Q151" s="14">
        <f>INT(TbRegistroEntradas[[#This Row],[DATA DO CAIXA PREVISTA]])</f>
        <v>43400</v>
      </c>
      <c r="R15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2" spans="2:18" x14ac:dyDescent="0.25">
      <c r="B152" s="14">
        <v>43438.136766228803</v>
      </c>
      <c r="C152" s="14">
        <v>43389</v>
      </c>
      <c r="D152" s="14">
        <v>43438.136766228803</v>
      </c>
      <c r="E152" t="s">
        <v>20</v>
      </c>
      <c r="F152" t="s">
        <v>23</v>
      </c>
      <c r="G152" t="s">
        <v>206</v>
      </c>
      <c r="H152" s="17">
        <v>4061</v>
      </c>
      <c r="I152">
        <f>IF(TbRegistroEntradas[[#This Row],[DATA DO CAIXA REALIZADO]]="",0,MONTH(TbRegistroEntradas[[#This Row],[DATA DO CAIXA REALIZADO]]))</f>
        <v>12</v>
      </c>
      <c r="J152">
        <f>IF(TbRegistroEntradas[[#This Row],[DATA DO CAIXA REALIZADO]]="",0,YEAR(TbRegistroEntradas[[#This Row],[DATA DO CAIXA REALIZADO]]))</f>
        <v>2018</v>
      </c>
      <c r="K152">
        <f>IF(TbRegistroEntradas[[#This Row],[DATA DA COMPETENCIA]]="",0,MONTH(TbRegistroEntradas[[#This Row],[DATA DA COMPETENCIA]]))</f>
        <v>10</v>
      </c>
      <c r="L152">
        <f>IF(TbRegistroEntradas[[#This Row],[DATA DA COMPETENCIA]]="",0,YEAR(TbRegistroEntradas[[#This Row],[DATA DA COMPETENCIA]]))</f>
        <v>2018</v>
      </c>
      <c r="M152">
        <f>IF(TbRegistroEntradas[[#This Row],[DATA DO CAIXA PREVISTA]]="",0,MONTH(TbRegistroEntradas[[#This Row],[DATA DO CAIXA PREVISTA]]))</f>
        <v>12</v>
      </c>
      <c r="N152">
        <f>IF(TbRegistroEntradas[[#This Row],[DATA DO CAIXA PREVISTA]]="",0,YEAR(TbRegistroEntradas[[#This Row],[DATA DO CAIXA PREVISTA]]))</f>
        <v>2018</v>
      </c>
      <c r="O152" t="str">
        <f ca="1">IF(AND(TbRegistroEntradas[[#This Row],[DATA DO CAIXA PREVISTA]]&lt;TODAY(),TbRegistroEntradas[[#This Row],[DATA DO CAIXA REALIZADO]]=""),"Vencida","Não Vencida")</f>
        <v>Não Vencida</v>
      </c>
      <c r="P152" t="str">
        <f>IF(TbRegistroEntradas[[#This Row],[DATA DA COMPETENCIA]]=TbRegistroEntradas[[#This Row],[DATA DO CAIXA PREVISTA INT]],"VISTA","PRAZO")</f>
        <v>PRAZO</v>
      </c>
      <c r="Q152" s="14">
        <f>INT(TbRegistroEntradas[[#This Row],[DATA DO CAIXA PREVISTA]])</f>
        <v>43438</v>
      </c>
      <c r="R15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3" spans="2:18" x14ac:dyDescent="0.25">
      <c r="B153" s="14">
        <v>43493.104436604881</v>
      </c>
      <c r="C153" s="14">
        <v>43394</v>
      </c>
      <c r="D153" s="14">
        <v>43435.81232629544</v>
      </c>
      <c r="E153" t="s">
        <v>20</v>
      </c>
      <c r="F153" t="s">
        <v>37</v>
      </c>
      <c r="G153" t="s">
        <v>207</v>
      </c>
      <c r="H153" s="17">
        <v>4404</v>
      </c>
      <c r="I153">
        <f>IF(TbRegistroEntradas[[#This Row],[DATA DO CAIXA REALIZADO]]="",0,MONTH(TbRegistroEntradas[[#This Row],[DATA DO CAIXA REALIZADO]]))</f>
        <v>1</v>
      </c>
      <c r="J153">
        <f>IF(TbRegistroEntradas[[#This Row],[DATA DO CAIXA REALIZADO]]="",0,YEAR(TbRegistroEntradas[[#This Row],[DATA DO CAIXA REALIZADO]]))</f>
        <v>2019</v>
      </c>
      <c r="K153">
        <f>IF(TbRegistroEntradas[[#This Row],[DATA DA COMPETENCIA]]="",0,MONTH(TbRegistroEntradas[[#This Row],[DATA DA COMPETENCIA]]))</f>
        <v>10</v>
      </c>
      <c r="L153">
        <f>IF(TbRegistroEntradas[[#This Row],[DATA DA COMPETENCIA]]="",0,YEAR(TbRegistroEntradas[[#This Row],[DATA DA COMPETENCIA]]))</f>
        <v>2018</v>
      </c>
      <c r="M153">
        <f>IF(TbRegistroEntradas[[#This Row],[DATA DO CAIXA PREVISTA]]="",0,MONTH(TbRegistroEntradas[[#This Row],[DATA DO CAIXA PREVISTA]]))</f>
        <v>12</v>
      </c>
      <c r="N153">
        <f>IF(TbRegistroEntradas[[#This Row],[DATA DO CAIXA PREVISTA]]="",0,YEAR(TbRegistroEntradas[[#This Row],[DATA DO CAIXA PREVISTA]]))</f>
        <v>2018</v>
      </c>
      <c r="O153" t="str">
        <f ca="1">IF(AND(TbRegistroEntradas[[#This Row],[DATA DO CAIXA PREVISTA]]&lt;TODAY(),TbRegistroEntradas[[#This Row],[DATA DO CAIXA REALIZADO]]=""),"Vencida","Não Vencida")</f>
        <v>Não Vencida</v>
      </c>
      <c r="P153" t="str">
        <f>IF(TbRegistroEntradas[[#This Row],[DATA DA COMPETENCIA]]=TbRegistroEntradas[[#This Row],[DATA DO CAIXA PREVISTA INT]],"VISTA","PRAZO")</f>
        <v>PRAZO</v>
      </c>
      <c r="Q153" s="14">
        <f>INT(TbRegistroEntradas[[#This Row],[DATA DO CAIXA PREVISTA]])</f>
        <v>43435</v>
      </c>
      <c r="R15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57.292110309441341</v>
      </c>
    </row>
    <row r="154" spans="2:18" x14ac:dyDescent="0.25">
      <c r="B154" s="14">
        <v>43419.609240604143</v>
      </c>
      <c r="C154" s="14">
        <v>43398</v>
      </c>
      <c r="D154" s="14">
        <v>43419.609240604143</v>
      </c>
      <c r="E154" t="s">
        <v>20</v>
      </c>
      <c r="F154" t="s">
        <v>36</v>
      </c>
      <c r="G154" t="s">
        <v>208</v>
      </c>
      <c r="H154" s="17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COMPETENCIA]]="",0,MONTH(TbRegistroEntradas[[#This Row],[DATA DA COMPETENCIA]]))</f>
        <v>10</v>
      </c>
      <c r="L154">
        <f>IF(TbRegistroEntradas[[#This Row],[DATA DA COMPETENCIA]]="",0,YEAR(TbRegistroEntradas[[#This Row],[DATA DA COMPETENCIA]]))</f>
        <v>2018</v>
      </c>
      <c r="M154">
        <f>IF(TbRegistroEntradas[[#This Row],[DATA DO CAIXA PREVISTA]]="",0,MONTH(TbRegistroEntradas[[#This Row],[DATA DO CAIXA PREVISTA]]))</f>
        <v>11</v>
      </c>
      <c r="N154">
        <f>IF(TbRegistroEntradas[[#This Row],[DATA DO CAIXA PREVISTA]]="",0,YEAR(TbRegistroEntradas[[#This Row],[DATA DO CAIXA PREVISTA]]))</f>
        <v>2018</v>
      </c>
      <c r="O154" t="str">
        <f ca="1">IF(AND(TbRegistroEntradas[[#This Row],[DATA DO CAIXA PREVISTA]]&lt;TODAY(),TbRegistroEntradas[[#This Row],[DATA DO CAIXA REALIZADO]]=""),"Vencida","Não Vencida")</f>
        <v>Não Vencida</v>
      </c>
      <c r="P154" t="str">
        <f>IF(TbRegistroEntradas[[#This Row],[DATA DA COMPETENCIA]]=TbRegistroEntradas[[#This Row],[DATA DO CAIXA PREVISTA INT]],"VISTA","PRAZO")</f>
        <v>PRAZO</v>
      </c>
      <c r="Q154" s="14">
        <f>INT(TbRegistroEntradas[[#This Row],[DATA DO CAIXA PREVISTA]])</f>
        <v>43419</v>
      </c>
      <c r="R15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5" spans="2:18" x14ac:dyDescent="0.25">
      <c r="B155" s="14">
        <v>43457.427069040656</v>
      </c>
      <c r="C155" s="14">
        <v>43398</v>
      </c>
      <c r="D155" s="14">
        <v>43457.427069040656</v>
      </c>
      <c r="E155" t="s">
        <v>20</v>
      </c>
      <c r="F155" t="s">
        <v>37</v>
      </c>
      <c r="G155" t="s">
        <v>209</v>
      </c>
      <c r="H155" s="17">
        <v>2713</v>
      </c>
      <c r="I155">
        <f>IF(TbRegistroEntradas[[#This Row],[DATA DO CAIXA REALIZADO]]="",0,MONTH(TbRegistroEntradas[[#This Row],[DATA DO CAIXA REALIZADO]]))</f>
        <v>12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COMPETENCIA]]="",0,MONTH(TbRegistroEntradas[[#This Row],[DATA DA COMPETENCIA]]))</f>
        <v>10</v>
      </c>
      <c r="L155">
        <f>IF(TbRegistroEntradas[[#This Row],[DATA DA COMPETENCIA]]="",0,YEAR(TbRegistroEntradas[[#This Row],[DATA DA COMPETENCIA]]))</f>
        <v>2018</v>
      </c>
      <c r="M155">
        <f>IF(TbRegistroEntradas[[#This Row],[DATA DO CAIXA PREVISTA]]="",0,MONTH(TbRegistroEntradas[[#This Row],[DATA DO CAIXA PREVISTA]]))</f>
        <v>12</v>
      </c>
      <c r="N155">
        <f>IF(TbRegistroEntradas[[#This Row],[DATA DO CAIXA PREVISTA]]="",0,YEAR(TbRegistroEntradas[[#This Row],[DATA DO CAIXA PREVISTA]]))</f>
        <v>2018</v>
      </c>
      <c r="O155" t="str">
        <f ca="1">IF(AND(TbRegistroEntradas[[#This Row],[DATA DO CAIXA PREVISTA]]&lt;TODAY(),TbRegistroEntradas[[#This Row],[DATA DO CAIXA REALIZADO]]=""),"Vencida","Não Vencida")</f>
        <v>Não Vencida</v>
      </c>
      <c r="P155" t="str">
        <f>IF(TbRegistroEntradas[[#This Row],[DATA DA COMPETENCIA]]=TbRegistroEntradas[[#This Row],[DATA DO CAIXA PREVISTA INT]],"VISTA","PRAZO")</f>
        <v>PRAZO</v>
      </c>
      <c r="Q155" s="14">
        <f>INT(TbRegistroEntradas[[#This Row],[DATA DO CAIXA PREVISTA]])</f>
        <v>43457</v>
      </c>
      <c r="R15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6" spans="2:18" x14ac:dyDescent="0.25">
      <c r="B156" s="14">
        <v>43416.791420716982</v>
      </c>
      <c r="C156" s="14">
        <v>43403</v>
      </c>
      <c r="D156" s="14">
        <v>43416.791420716982</v>
      </c>
      <c r="E156" t="s">
        <v>20</v>
      </c>
      <c r="F156" t="s">
        <v>36</v>
      </c>
      <c r="G156" t="s">
        <v>210</v>
      </c>
      <c r="H156" s="17">
        <v>3787</v>
      </c>
      <c r="I156">
        <f>IF(TbRegistroEntradas[[#This Row],[DATA DO CAIXA REALIZADO]]="",0,MONTH(TbRegistroEntradas[[#This Row],[DATA DO CAIXA REALIZADO]]))</f>
        <v>11</v>
      </c>
      <c r="J156">
        <f>IF(TbRegistroEntradas[[#This Row],[DATA DO CAIXA REALIZADO]]="",0,YEAR(TbRegistroEntradas[[#This Row],[DATA DO CAIXA REALIZADO]]))</f>
        <v>2018</v>
      </c>
      <c r="K156">
        <f>IF(TbRegistroEntradas[[#This Row],[DATA DA COMPETENCIA]]="",0,MONTH(TbRegistroEntradas[[#This Row],[DATA DA COMPETENCIA]]))</f>
        <v>10</v>
      </c>
      <c r="L156">
        <f>IF(TbRegistroEntradas[[#This Row],[DATA DA COMPETENCIA]]="",0,YEAR(TbRegistroEntradas[[#This Row],[DATA DA COMPETENCIA]]))</f>
        <v>2018</v>
      </c>
      <c r="M156">
        <f>IF(TbRegistroEntradas[[#This Row],[DATA DO CAIXA PREVISTA]]="",0,MONTH(TbRegistroEntradas[[#This Row],[DATA DO CAIXA PREVISTA]]))</f>
        <v>11</v>
      </c>
      <c r="N156">
        <f>IF(TbRegistroEntradas[[#This Row],[DATA DO CAIXA PREVISTA]]="",0,YEAR(TbRegistroEntradas[[#This Row],[DATA DO CAIXA PREVISTA]]))</f>
        <v>2018</v>
      </c>
      <c r="O156" t="str">
        <f ca="1">IF(AND(TbRegistroEntradas[[#This Row],[DATA DO CAIXA PREVISTA]]&lt;TODAY(),TbRegistroEntradas[[#This Row],[DATA DO CAIXA REALIZADO]]=""),"Vencida","Não Vencida")</f>
        <v>Não Vencida</v>
      </c>
      <c r="P156" t="str">
        <f>IF(TbRegistroEntradas[[#This Row],[DATA DA COMPETENCIA]]=TbRegistroEntradas[[#This Row],[DATA DO CAIXA PREVISTA INT]],"VISTA","PRAZO")</f>
        <v>PRAZO</v>
      </c>
      <c r="Q156" s="14">
        <f>INT(TbRegistroEntradas[[#This Row],[DATA DO CAIXA PREVISTA]])</f>
        <v>43416</v>
      </c>
      <c r="R15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7" spans="2:18" x14ac:dyDescent="0.25">
      <c r="B157" s="14">
        <v>43503.017030074843</v>
      </c>
      <c r="C157" s="14">
        <v>43408</v>
      </c>
      <c r="D157" s="14">
        <v>43442.90009272196</v>
      </c>
      <c r="E157" t="s">
        <v>20</v>
      </c>
      <c r="F157" t="s">
        <v>38</v>
      </c>
      <c r="G157" t="s">
        <v>211</v>
      </c>
      <c r="H157" s="17">
        <v>1820</v>
      </c>
      <c r="I157">
        <f>IF(TbRegistroEntradas[[#This Row],[DATA DO CAIXA REALIZADO]]="",0,MONTH(TbRegistroEntradas[[#This Row],[DATA DO CAIXA REALIZADO]]))</f>
        <v>2</v>
      </c>
      <c r="J157">
        <f>IF(TbRegistroEntradas[[#This Row],[DATA DO CAIXA REALIZADO]]="",0,YEAR(TbRegistroEntradas[[#This Row],[DATA DO CAIXA REALIZADO]]))</f>
        <v>2019</v>
      </c>
      <c r="K157">
        <f>IF(TbRegistroEntradas[[#This Row],[DATA DA COMPETENCIA]]="",0,MONTH(TbRegistroEntradas[[#This Row],[DATA DA COMPETENCIA]]))</f>
        <v>11</v>
      </c>
      <c r="L157">
        <f>IF(TbRegistroEntradas[[#This Row],[DATA DA COMPETENCIA]]="",0,YEAR(TbRegistroEntradas[[#This Row],[DATA DA COMPETENCIA]]))</f>
        <v>2018</v>
      </c>
      <c r="M157">
        <f>IF(TbRegistroEntradas[[#This Row],[DATA DO CAIXA PREVISTA]]="",0,MONTH(TbRegistroEntradas[[#This Row],[DATA DO CAIXA PREVISTA]]))</f>
        <v>12</v>
      </c>
      <c r="N157">
        <f>IF(TbRegistroEntradas[[#This Row],[DATA DO CAIXA PREVISTA]]="",0,YEAR(TbRegistroEntradas[[#This Row],[DATA DO CAIXA PREVISTA]]))</f>
        <v>2018</v>
      </c>
      <c r="O157" t="str">
        <f ca="1">IF(AND(TbRegistroEntradas[[#This Row],[DATA DO CAIXA PREVISTA]]&lt;TODAY(),TbRegistroEntradas[[#This Row],[DATA DO CAIXA REALIZADO]]=""),"Vencida","Não Vencida")</f>
        <v>Não Vencida</v>
      </c>
      <c r="P157" t="str">
        <f>IF(TbRegistroEntradas[[#This Row],[DATA DA COMPETENCIA]]=TbRegistroEntradas[[#This Row],[DATA DO CAIXA PREVISTA INT]],"VISTA","PRAZO")</f>
        <v>PRAZO</v>
      </c>
      <c r="Q157" s="14">
        <f>INT(TbRegistroEntradas[[#This Row],[DATA DO CAIXA PREVISTA]])</f>
        <v>43442</v>
      </c>
      <c r="R15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60.116937352882815</v>
      </c>
    </row>
    <row r="158" spans="2:18" x14ac:dyDescent="0.25">
      <c r="B158" s="14">
        <v>43431.589825007759</v>
      </c>
      <c r="C158" s="14">
        <v>43412</v>
      </c>
      <c r="D158" s="14">
        <v>43431.589825007759</v>
      </c>
      <c r="E158" t="s">
        <v>20</v>
      </c>
      <c r="F158" t="s">
        <v>36</v>
      </c>
      <c r="G158" t="s">
        <v>212</v>
      </c>
      <c r="H158" s="17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COMPETENCIA]]="",0,MONTH(TbRegistroEntradas[[#This Row],[DATA DA COMPETENCIA]]))</f>
        <v>11</v>
      </c>
      <c r="L158">
        <f>IF(TbRegistroEntradas[[#This Row],[DATA DA COMPETENCIA]]="",0,YEAR(TbRegistroEntradas[[#This Row],[DATA DA COMPETENCIA]]))</f>
        <v>2018</v>
      </c>
      <c r="M158">
        <f>IF(TbRegistroEntradas[[#This Row],[DATA DO CAIXA PREVISTA]]="",0,MONTH(TbRegistroEntradas[[#This Row],[DATA DO CAIXA PREVISTA]]))</f>
        <v>11</v>
      </c>
      <c r="N158">
        <f>IF(TbRegistroEntradas[[#This Row],[DATA DO CAIXA PREVISTA]]="",0,YEAR(TbRegistroEntradas[[#This Row],[DATA DO CAIXA PREVISTA]]))</f>
        <v>2018</v>
      </c>
      <c r="O158" t="str">
        <f ca="1">IF(AND(TbRegistroEntradas[[#This Row],[DATA DO CAIXA PREVISTA]]&lt;TODAY(),TbRegistroEntradas[[#This Row],[DATA DO CAIXA REALIZADO]]=""),"Vencida","Não Vencida")</f>
        <v>Não Vencida</v>
      </c>
      <c r="P158" t="str">
        <f>IF(TbRegistroEntradas[[#This Row],[DATA DA COMPETENCIA]]=TbRegistroEntradas[[#This Row],[DATA DO CAIXA PREVISTA INT]],"VISTA","PRAZO")</f>
        <v>PRAZO</v>
      </c>
      <c r="Q158" s="14">
        <f>INT(TbRegistroEntradas[[#This Row],[DATA DO CAIXA PREVISTA]])</f>
        <v>43431</v>
      </c>
      <c r="R15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59" spans="2:18" x14ac:dyDescent="0.25">
      <c r="B159" s="14">
        <v>43467.343545956064</v>
      </c>
      <c r="C159" s="14">
        <v>43415</v>
      </c>
      <c r="D159" s="14">
        <v>43421.091967250024</v>
      </c>
      <c r="E159" t="s">
        <v>20</v>
      </c>
      <c r="F159" t="s">
        <v>36</v>
      </c>
      <c r="G159" t="s">
        <v>213</v>
      </c>
      <c r="H159" s="17">
        <v>3902</v>
      </c>
      <c r="I159">
        <f>IF(TbRegistroEntradas[[#This Row],[DATA DO CAIXA REALIZADO]]="",0,MONTH(TbRegistroEntradas[[#This Row],[DATA DO CAIXA REALIZADO]]))</f>
        <v>1</v>
      </c>
      <c r="J159">
        <f>IF(TbRegistroEntradas[[#This Row],[DATA DO CAIXA REALIZADO]]="",0,YEAR(TbRegistroEntradas[[#This Row],[DATA DO CAIXA REALIZADO]]))</f>
        <v>2019</v>
      </c>
      <c r="K159">
        <f>IF(TbRegistroEntradas[[#This Row],[DATA DA COMPETENCIA]]="",0,MONTH(TbRegistroEntradas[[#This Row],[DATA DA COMPETENCIA]]))</f>
        <v>11</v>
      </c>
      <c r="L159">
        <f>IF(TbRegistroEntradas[[#This Row],[DATA DA COMPETENCIA]]="",0,YEAR(TbRegistroEntradas[[#This Row],[DATA DA COMPETENCIA]]))</f>
        <v>2018</v>
      </c>
      <c r="M159">
        <f>IF(TbRegistroEntradas[[#This Row],[DATA DO CAIXA PREVISTA]]="",0,MONTH(TbRegistroEntradas[[#This Row],[DATA DO CAIXA PREVISTA]]))</f>
        <v>11</v>
      </c>
      <c r="N159">
        <f>IF(TbRegistroEntradas[[#This Row],[DATA DO CAIXA PREVISTA]]="",0,YEAR(TbRegistroEntradas[[#This Row],[DATA DO CAIXA PREVISTA]]))</f>
        <v>2018</v>
      </c>
      <c r="O159" t="str">
        <f ca="1">IF(AND(TbRegistroEntradas[[#This Row],[DATA DO CAIXA PREVISTA]]&lt;TODAY(),TbRegistroEntradas[[#This Row],[DATA DO CAIXA REALIZADO]]=""),"Vencida","Não Vencida")</f>
        <v>Não Vencida</v>
      </c>
      <c r="P159" t="str">
        <f>IF(TbRegistroEntradas[[#This Row],[DATA DA COMPETENCIA]]=TbRegistroEntradas[[#This Row],[DATA DO CAIXA PREVISTA INT]],"VISTA","PRAZO")</f>
        <v>PRAZO</v>
      </c>
      <c r="Q159" s="14">
        <f>INT(TbRegistroEntradas[[#This Row],[DATA DO CAIXA PREVISTA]])</f>
        <v>43421</v>
      </c>
      <c r="R15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46.251578706040164</v>
      </c>
    </row>
    <row r="160" spans="2:18" x14ac:dyDescent="0.25">
      <c r="B160" s="14">
        <v>43523.081285354827</v>
      </c>
      <c r="C160" s="14">
        <v>43418</v>
      </c>
      <c r="D160" s="14">
        <v>43441.738773120276</v>
      </c>
      <c r="E160" t="s">
        <v>20</v>
      </c>
      <c r="F160" t="s">
        <v>36</v>
      </c>
      <c r="G160" t="s">
        <v>214</v>
      </c>
      <c r="H160" s="17">
        <v>4319</v>
      </c>
      <c r="I160">
        <f>IF(TbRegistroEntradas[[#This Row],[DATA DO CAIXA REALIZADO]]="",0,MONTH(TbRegistroEntradas[[#This Row],[DATA DO CAIXA REALIZADO]]))</f>
        <v>2</v>
      </c>
      <c r="J160">
        <f>IF(TbRegistroEntradas[[#This Row],[DATA DO CAIXA REALIZADO]]="",0,YEAR(TbRegistroEntradas[[#This Row],[DATA DO CAIXA REALIZADO]]))</f>
        <v>2019</v>
      </c>
      <c r="K160">
        <f>IF(TbRegistroEntradas[[#This Row],[DATA DA COMPETENCIA]]="",0,MONTH(TbRegistroEntradas[[#This Row],[DATA DA COMPETENCIA]]))</f>
        <v>11</v>
      </c>
      <c r="L160">
        <f>IF(TbRegistroEntradas[[#This Row],[DATA DA COMPETENCIA]]="",0,YEAR(TbRegistroEntradas[[#This Row],[DATA DA COMPETENCIA]]))</f>
        <v>2018</v>
      </c>
      <c r="M160">
        <f>IF(TbRegistroEntradas[[#This Row],[DATA DO CAIXA PREVISTA]]="",0,MONTH(TbRegistroEntradas[[#This Row],[DATA DO CAIXA PREVISTA]]))</f>
        <v>12</v>
      </c>
      <c r="N160">
        <f>IF(TbRegistroEntradas[[#This Row],[DATA DO CAIXA PREVISTA]]="",0,YEAR(TbRegistroEntradas[[#This Row],[DATA DO CAIXA PREVISTA]]))</f>
        <v>2018</v>
      </c>
      <c r="O160" t="str">
        <f ca="1">IF(AND(TbRegistroEntradas[[#This Row],[DATA DO CAIXA PREVISTA]]&lt;TODAY(),TbRegistroEntradas[[#This Row],[DATA DO CAIXA REALIZADO]]=""),"Vencida","Não Vencida")</f>
        <v>Não Vencida</v>
      </c>
      <c r="P160" t="str">
        <f>IF(TbRegistroEntradas[[#This Row],[DATA DA COMPETENCIA]]=TbRegistroEntradas[[#This Row],[DATA DO CAIXA PREVISTA INT]],"VISTA","PRAZO")</f>
        <v>PRAZO</v>
      </c>
      <c r="Q160" s="14">
        <f>INT(TbRegistroEntradas[[#This Row],[DATA DO CAIXA PREVISTA]])</f>
        <v>43441</v>
      </c>
      <c r="R16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81.342512234550668</v>
      </c>
    </row>
    <row r="161" spans="2:18" x14ac:dyDescent="0.25">
      <c r="B161" s="14">
        <v>43464.748499618698</v>
      </c>
      <c r="C161" s="14">
        <v>43421</v>
      </c>
      <c r="D161" s="14">
        <v>43464.748499618698</v>
      </c>
      <c r="E161" t="s">
        <v>20</v>
      </c>
      <c r="F161" t="s">
        <v>37</v>
      </c>
      <c r="G161" t="s">
        <v>215</v>
      </c>
      <c r="H161" s="17">
        <v>3068</v>
      </c>
      <c r="I161">
        <f>IF(TbRegistroEntradas[[#This Row],[DATA DO CAIXA REALIZADO]]="",0,MONTH(TbRegistroEntradas[[#This Row],[DATA DO CAIXA REALIZADO]]))</f>
        <v>12</v>
      </c>
      <c r="J161">
        <f>IF(TbRegistroEntradas[[#This Row],[DATA DO CAIXA REALIZADO]]="",0,YEAR(TbRegistroEntradas[[#This Row],[DATA DO CAIXA REALIZADO]]))</f>
        <v>2018</v>
      </c>
      <c r="K161">
        <f>IF(TbRegistroEntradas[[#This Row],[DATA DA COMPETENCIA]]="",0,MONTH(TbRegistroEntradas[[#This Row],[DATA DA COMPETENCIA]]))</f>
        <v>11</v>
      </c>
      <c r="L161">
        <f>IF(TbRegistroEntradas[[#This Row],[DATA DA COMPETENCIA]]="",0,YEAR(TbRegistroEntradas[[#This Row],[DATA DA COMPETENCIA]]))</f>
        <v>2018</v>
      </c>
      <c r="M161">
        <f>IF(TbRegistroEntradas[[#This Row],[DATA DO CAIXA PREVISTA]]="",0,MONTH(TbRegistroEntradas[[#This Row],[DATA DO CAIXA PREVISTA]]))</f>
        <v>12</v>
      </c>
      <c r="N161">
        <f>IF(TbRegistroEntradas[[#This Row],[DATA DO CAIXA PREVISTA]]="",0,YEAR(TbRegistroEntradas[[#This Row],[DATA DO CAIXA PREVISTA]]))</f>
        <v>2018</v>
      </c>
      <c r="O161" t="str">
        <f ca="1">IF(AND(TbRegistroEntradas[[#This Row],[DATA DO CAIXA PREVISTA]]&lt;TODAY(),TbRegistroEntradas[[#This Row],[DATA DO CAIXA REALIZADO]]=""),"Vencida","Não Vencida")</f>
        <v>Não Vencida</v>
      </c>
      <c r="P161" t="str">
        <f>IF(TbRegistroEntradas[[#This Row],[DATA DA COMPETENCIA]]=TbRegistroEntradas[[#This Row],[DATA DO CAIXA PREVISTA INT]],"VISTA","PRAZO")</f>
        <v>PRAZO</v>
      </c>
      <c r="Q161" s="14">
        <f>INT(TbRegistroEntradas[[#This Row],[DATA DO CAIXA PREVISTA]])</f>
        <v>43464</v>
      </c>
      <c r="R16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62" spans="2:18" x14ac:dyDescent="0.25">
      <c r="B162" s="14">
        <v>43455.375597423525</v>
      </c>
      <c r="C162" s="14">
        <v>43425</v>
      </c>
      <c r="D162" s="14">
        <v>43455.375597423525</v>
      </c>
      <c r="E162" t="s">
        <v>20</v>
      </c>
      <c r="F162" t="s">
        <v>36</v>
      </c>
      <c r="G162" t="s">
        <v>216</v>
      </c>
      <c r="H162" s="17">
        <v>1880</v>
      </c>
      <c r="I162">
        <f>IF(TbRegistroEntradas[[#This Row],[DATA DO CAIXA REALIZADO]]="",0,MONTH(TbRegistroEntradas[[#This Row],[DATA DO CAIXA REALIZADO]]))</f>
        <v>12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COMPETENCIA]]="",0,MONTH(TbRegistroEntradas[[#This Row],[DATA DA COMPETENCIA]]))</f>
        <v>11</v>
      </c>
      <c r="L162">
        <f>IF(TbRegistroEntradas[[#This Row],[DATA DA COMPETENCIA]]="",0,YEAR(TbRegistroEntradas[[#This Row],[DATA DA COMPETENCIA]]))</f>
        <v>2018</v>
      </c>
      <c r="M162">
        <f>IF(TbRegistroEntradas[[#This Row],[DATA DO CAIXA PREVISTA]]="",0,MONTH(TbRegistroEntradas[[#This Row],[DATA DO CAIXA PREVISTA]]))</f>
        <v>12</v>
      </c>
      <c r="N162">
        <f>IF(TbRegistroEntradas[[#This Row],[DATA DO CAIXA PREVISTA]]="",0,YEAR(TbRegistroEntradas[[#This Row],[DATA DO CAIXA PREVISTA]]))</f>
        <v>2018</v>
      </c>
      <c r="O162" t="str">
        <f ca="1">IF(AND(TbRegistroEntradas[[#This Row],[DATA DO CAIXA PREVISTA]]&lt;TODAY(),TbRegistroEntradas[[#This Row],[DATA DO CAIXA REALIZADO]]=""),"Vencida","Não Vencida")</f>
        <v>Não Vencida</v>
      </c>
      <c r="P162" t="str">
        <f>IF(TbRegistroEntradas[[#This Row],[DATA DA COMPETENCIA]]=TbRegistroEntradas[[#This Row],[DATA DO CAIXA PREVISTA INT]],"VISTA","PRAZO")</f>
        <v>PRAZO</v>
      </c>
      <c r="Q162" s="14">
        <f>INT(TbRegistroEntradas[[#This Row],[DATA DO CAIXA PREVISTA]])</f>
        <v>43455</v>
      </c>
      <c r="R16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63" spans="2:18" x14ac:dyDescent="0.25">
      <c r="B163" s="14" t="s">
        <v>68</v>
      </c>
      <c r="C163" s="14">
        <v>43427</v>
      </c>
      <c r="D163" s="14">
        <v>43465.063381850647</v>
      </c>
      <c r="E163" t="s">
        <v>20</v>
      </c>
      <c r="F163" t="s">
        <v>36</v>
      </c>
      <c r="G163" t="s">
        <v>217</v>
      </c>
      <c r="H163" s="17">
        <v>1414</v>
      </c>
      <c r="I163">
        <f>IF(TbRegistroEntradas[[#This Row],[DATA DO CAIXA REALIZADO]]="",0,MONTH(TbRegistroEntradas[[#This Row],[DATA DO CAIXA REALIZADO]]))</f>
        <v>0</v>
      </c>
      <c r="J163">
        <f>IF(TbRegistroEntradas[[#This Row],[DATA DO CAIXA REALIZADO]]="",0,YEAR(TbRegistroEntradas[[#This Row],[DATA DO CAIXA REALIZADO]]))</f>
        <v>0</v>
      </c>
      <c r="K163">
        <f>IF(TbRegistroEntradas[[#This Row],[DATA DA COMPETENCIA]]="",0,MONTH(TbRegistroEntradas[[#This Row],[DATA DA COMPETENCIA]]))</f>
        <v>11</v>
      </c>
      <c r="L163">
        <f>IF(TbRegistroEntradas[[#This Row],[DATA DA COMPETENCIA]]="",0,YEAR(TbRegistroEntradas[[#This Row],[DATA DA COMPETENCIA]]))</f>
        <v>2018</v>
      </c>
      <c r="M163">
        <f>IF(TbRegistroEntradas[[#This Row],[DATA DO CAIXA PREVISTA]]="",0,MONTH(TbRegistroEntradas[[#This Row],[DATA DO CAIXA PREVISTA]]))</f>
        <v>12</v>
      </c>
      <c r="N163">
        <f>IF(TbRegistroEntradas[[#This Row],[DATA DO CAIXA PREVISTA]]="",0,YEAR(TbRegistroEntradas[[#This Row],[DATA DO CAIXA PREVISTA]]))</f>
        <v>2018</v>
      </c>
      <c r="O163" t="str">
        <f ca="1">IF(AND(TbRegistroEntradas[[#This Row],[DATA DO CAIXA PREVISTA]]&lt;TODAY(),TbRegistroEntradas[[#This Row],[DATA DO CAIXA REALIZADO]]=""),"Vencida","Não Vencida")</f>
        <v>Vencida</v>
      </c>
      <c r="P163" t="str">
        <f>IF(TbRegistroEntradas[[#This Row],[DATA DA COMPETENCIA]]=TbRegistroEntradas[[#This Row],[DATA DO CAIXA PREVISTA INT]],"VISTA","PRAZO")</f>
        <v>PRAZO</v>
      </c>
      <c r="Q163" s="14">
        <f>INT(TbRegistroEntradas[[#This Row],[DATA DO CAIXA PREVISTA]])</f>
        <v>43465</v>
      </c>
      <c r="R16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64" spans="2:18" x14ac:dyDescent="0.25">
      <c r="B164" s="14" t="s">
        <v>68</v>
      </c>
      <c r="C164" s="14">
        <v>43430</v>
      </c>
      <c r="D164" s="14">
        <v>43447.889924144794</v>
      </c>
      <c r="E164" t="s">
        <v>20</v>
      </c>
      <c r="F164" t="s">
        <v>46</v>
      </c>
      <c r="G164" t="s">
        <v>218</v>
      </c>
      <c r="H164" s="17">
        <v>919</v>
      </c>
      <c r="I164">
        <f>IF(TbRegistroEntradas[[#This Row],[DATA DO CAIXA REALIZADO]]="",0,MONTH(TbRegistroEntradas[[#This Row],[DATA DO CAIXA REALIZADO]]))</f>
        <v>0</v>
      </c>
      <c r="J164">
        <f>IF(TbRegistroEntradas[[#This Row],[DATA DO CAIXA REALIZADO]]="",0,YEAR(TbRegistroEntradas[[#This Row],[DATA DO CAIXA REALIZADO]]))</f>
        <v>0</v>
      </c>
      <c r="K164">
        <f>IF(TbRegistroEntradas[[#This Row],[DATA DA COMPETENCIA]]="",0,MONTH(TbRegistroEntradas[[#This Row],[DATA DA COMPETENCIA]]))</f>
        <v>11</v>
      </c>
      <c r="L164">
        <f>IF(TbRegistroEntradas[[#This Row],[DATA DA COMPETENCIA]]="",0,YEAR(TbRegistroEntradas[[#This Row],[DATA DA COMPETENCIA]]))</f>
        <v>2018</v>
      </c>
      <c r="M164">
        <f>IF(TbRegistroEntradas[[#This Row],[DATA DO CAIXA PREVISTA]]="",0,MONTH(TbRegistroEntradas[[#This Row],[DATA DO CAIXA PREVISTA]]))</f>
        <v>12</v>
      </c>
      <c r="N164">
        <f>IF(TbRegistroEntradas[[#This Row],[DATA DO CAIXA PREVISTA]]="",0,YEAR(TbRegistroEntradas[[#This Row],[DATA DO CAIXA PREVISTA]]))</f>
        <v>2018</v>
      </c>
      <c r="O164" t="str">
        <f ca="1">IF(AND(TbRegistroEntradas[[#This Row],[DATA DO CAIXA PREVISTA]]&lt;TODAY(),TbRegistroEntradas[[#This Row],[DATA DO CAIXA REALIZADO]]=""),"Vencida","Não Vencida")</f>
        <v>Vencida</v>
      </c>
      <c r="P164" t="str">
        <f>IF(TbRegistroEntradas[[#This Row],[DATA DA COMPETENCIA]]=TbRegistroEntradas[[#This Row],[DATA DO CAIXA PREVISTA INT]],"VISTA","PRAZO")</f>
        <v>PRAZO</v>
      </c>
      <c r="Q164" s="14">
        <f>INT(TbRegistroEntradas[[#This Row],[DATA DO CAIXA PREVISTA]])</f>
        <v>43447</v>
      </c>
      <c r="R164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65" spans="2:18" x14ac:dyDescent="0.25">
      <c r="B165" s="14">
        <v>43477.965813489587</v>
      </c>
      <c r="C165" s="14">
        <v>43431</v>
      </c>
      <c r="D165" s="14">
        <v>43477.965813489587</v>
      </c>
      <c r="E165" t="s">
        <v>20</v>
      </c>
      <c r="F165" t="s">
        <v>36</v>
      </c>
      <c r="G165" t="s">
        <v>219</v>
      </c>
      <c r="H165" s="17">
        <v>4801</v>
      </c>
      <c r="I165">
        <f>IF(TbRegistroEntradas[[#This Row],[DATA DO CAIXA REALIZADO]]="",0,MONTH(TbRegistroEntradas[[#This Row],[DATA DO CAIXA REALIZADO]]))</f>
        <v>1</v>
      </c>
      <c r="J165">
        <f>IF(TbRegistroEntradas[[#This Row],[DATA DO CAIXA REALIZADO]]="",0,YEAR(TbRegistroEntradas[[#This Row],[DATA DO CAIXA REALIZADO]]))</f>
        <v>2019</v>
      </c>
      <c r="K165">
        <f>IF(TbRegistroEntradas[[#This Row],[DATA DA COMPETENCIA]]="",0,MONTH(TbRegistroEntradas[[#This Row],[DATA DA COMPETENCIA]]))</f>
        <v>11</v>
      </c>
      <c r="L165">
        <f>IF(TbRegistroEntradas[[#This Row],[DATA DA COMPETENCIA]]="",0,YEAR(TbRegistroEntradas[[#This Row],[DATA DA COMPETENCIA]]))</f>
        <v>2018</v>
      </c>
      <c r="M165">
        <f>IF(TbRegistroEntradas[[#This Row],[DATA DO CAIXA PREVISTA]]="",0,MONTH(TbRegistroEntradas[[#This Row],[DATA DO CAIXA PREVISTA]]))</f>
        <v>1</v>
      </c>
      <c r="N165">
        <f>IF(TbRegistroEntradas[[#This Row],[DATA DO CAIXA PREVISTA]]="",0,YEAR(TbRegistroEntradas[[#This Row],[DATA DO CAIXA PREVISTA]]))</f>
        <v>2019</v>
      </c>
      <c r="O165" t="str">
        <f ca="1">IF(AND(TbRegistroEntradas[[#This Row],[DATA DO CAIXA PREVISTA]]&lt;TODAY(),TbRegistroEntradas[[#This Row],[DATA DO CAIXA REALIZADO]]=""),"Vencida","Não Vencida")</f>
        <v>Não Vencida</v>
      </c>
      <c r="P165" t="str">
        <f>IF(TbRegistroEntradas[[#This Row],[DATA DA COMPETENCIA]]=TbRegistroEntradas[[#This Row],[DATA DO CAIXA PREVISTA INT]],"VISTA","PRAZO")</f>
        <v>PRAZO</v>
      </c>
      <c r="Q165" s="14">
        <f>INT(TbRegistroEntradas[[#This Row],[DATA DO CAIXA PREVISTA]])</f>
        <v>43477</v>
      </c>
      <c r="R16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66" spans="2:18" x14ac:dyDescent="0.25">
      <c r="B166" s="14" t="s">
        <v>68</v>
      </c>
      <c r="C166" s="14">
        <v>43434</v>
      </c>
      <c r="D166" s="14">
        <v>43455.267564406917</v>
      </c>
      <c r="E166" t="s">
        <v>20</v>
      </c>
      <c r="F166" t="s">
        <v>23</v>
      </c>
      <c r="G166" t="s">
        <v>220</v>
      </c>
      <c r="H166" s="17">
        <v>4639</v>
      </c>
      <c r="I166">
        <f>IF(TbRegistroEntradas[[#This Row],[DATA DO CAIXA REALIZADO]]="",0,MONTH(TbRegistroEntradas[[#This Row],[DATA DO CAIXA REALIZADO]]))</f>
        <v>0</v>
      </c>
      <c r="J166">
        <f>IF(TbRegistroEntradas[[#This Row],[DATA DO CAIXA REALIZADO]]="",0,YEAR(TbRegistroEntradas[[#This Row],[DATA DO CAIXA REALIZADO]]))</f>
        <v>0</v>
      </c>
      <c r="K166">
        <f>IF(TbRegistroEntradas[[#This Row],[DATA DA COMPETENCIA]]="",0,MONTH(TbRegistroEntradas[[#This Row],[DATA DA COMPETENCIA]]))</f>
        <v>11</v>
      </c>
      <c r="L166">
        <f>IF(TbRegistroEntradas[[#This Row],[DATA DA COMPETENCIA]]="",0,YEAR(TbRegistroEntradas[[#This Row],[DATA DA COMPETENCIA]]))</f>
        <v>2018</v>
      </c>
      <c r="M166">
        <f>IF(TbRegistroEntradas[[#This Row],[DATA DO CAIXA PREVISTA]]="",0,MONTH(TbRegistroEntradas[[#This Row],[DATA DO CAIXA PREVISTA]]))</f>
        <v>12</v>
      </c>
      <c r="N166">
        <f>IF(TbRegistroEntradas[[#This Row],[DATA DO CAIXA PREVISTA]]="",0,YEAR(TbRegistroEntradas[[#This Row],[DATA DO CAIXA PREVISTA]]))</f>
        <v>2018</v>
      </c>
      <c r="O166" t="str">
        <f ca="1">IF(AND(TbRegistroEntradas[[#This Row],[DATA DO CAIXA PREVISTA]]&lt;TODAY(),TbRegistroEntradas[[#This Row],[DATA DO CAIXA REALIZADO]]=""),"Vencida","Não Vencida")</f>
        <v>Vencida</v>
      </c>
      <c r="P166" t="str">
        <f>IF(TbRegistroEntradas[[#This Row],[DATA DA COMPETENCIA]]=TbRegistroEntradas[[#This Row],[DATA DO CAIXA PREVISTA INT]],"VISTA","PRAZO")</f>
        <v>PRAZO</v>
      </c>
      <c r="Q166" s="14">
        <f>INT(TbRegistroEntradas[[#This Row],[DATA DO CAIXA PREVISTA]])</f>
        <v>43455</v>
      </c>
      <c r="R166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67" spans="2:18" x14ac:dyDescent="0.25">
      <c r="B167" s="14">
        <v>43544.142248909535</v>
      </c>
      <c r="C167" s="14">
        <v>43440</v>
      </c>
      <c r="D167" s="14">
        <v>43487.390614414791</v>
      </c>
      <c r="E167" t="s">
        <v>20</v>
      </c>
      <c r="F167" t="s">
        <v>36</v>
      </c>
      <c r="G167" t="s">
        <v>221</v>
      </c>
      <c r="H167" s="17">
        <v>1209</v>
      </c>
      <c r="I167">
        <f>IF(TbRegistroEntradas[[#This Row],[DATA DO CAIXA REALIZADO]]="",0,MONTH(TbRegistroEntradas[[#This Row],[DATA DO CAIXA REALIZADO]]))</f>
        <v>3</v>
      </c>
      <c r="J167">
        <f>IF(TbRegistroEntradas[[#This Row],[DATA DO CAIXA REALIZADO]]="",0,YEAR(TbRegistroEntradas[[#This Row],[DATA DO CAIXA REALIZADO]]))</f>
        <v>2019</v>
      </c>
      <c r="K167">
        <f>IF(TbRegistroEntradas[[#This Row],[DATA DA COMPETENCIA]]="",0,MONTH(TbRegistroEntradas[[#This Row],[DATA DA COMPETENCIA]]))</f>
        <v>12</v>
      </c>
      <c r="L167">
        <f>IF(TbRegistroEntradas[[#This Row],[DATA DA COMPETENCIA]]="",0,YEAR(TbRegistroEntradas[[#This Row],[DATA DA COMPETENCIA]]))</f>
        <v>2018</v>
      </c>
      <c r="M167">
        <f>IF(TbRegistroEntradas[[#This Row],[DATA DO CAIXA PREVISTA]]="",0,MONTH(TbRegistroEntradas[[#This Row],[DATA DO CAIXA PREVISTA]]))</f>
        <v>1</v>
      </c>
      <c r="N167">
        <f>IF(TbRegistroEntradas[[#This Row],[DATA DO CAIXA PREVISTA]]="",0,YEAR(TbRegistroEntradas[[#This Row],[DATA DO CAIXA PREVISTA]]))</f>
        <v>2019</v>
      </c>
      <c r="O167" t="str">
        <f ca="1">IF(AND(TbRegistroEntradas[[#This Row],[DATA DO CAIXA PREVISTA]]&lt;TODAY(),TbRegistroEntradas[[#This Row],[DATA DO CAIXA REALIZADO]]=""),"Vencida","Não Vencida")</f>
        <v>Não Vencida</v>
      </c>
      <c r="P167" t="str">
        <f>IF(TbRegistroEntradas[[#This Row],[DATA DA COMPETENCIA]]=TbRegistroEntradas[[#This Row],[DATA DO CAIXA PREVISTA INT]],"VISTA","PRAZO")</f>
        <v>PRAZO</v>
      </c>
      <c r="Q167" s="14">
        <f>INT(TbRegistroEntradas[[#This Row],[DATA DO CAIXA PREVISTA]])</f>
        <v>43487</v>
      </c>
      <c r="R16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56.751634494743485</v>
      </c>
    </row>
    <row r="168" spans="2:18" x14ac:dyDescent="0.25">
      <c r="B168" s="14" t="s">
        <v>68</v>
      </c>
      <c r="C168" s="14">
        <v>43444</v>
      </c>
      <c r="D168" s="14">
        <v>43477.170204498791</v>
      </c>
      <c r="E168" t="s">
        <v>20</v>
      </c>
      <c r="F168" t="s">
        <v>23</v>
      </c>
      <c r="G168" t="s">
        <v>222</v>
      </c>
      <c r="H168" s="17">
        <v>483</v>
      </c>
      <c r="I168">
        <f>IF(TbRegistroEntradas[[#This Row],[DATA DO CAIXA REALIZADO]]="",0,MONTH(TbRegistroEntradas[[#This Row],[DATA DO CAIXA REALIZADO]]))</f>
        <v>0</v>
      </c>
      <c r="J168">
        <f>IF(TbRegistroEntradas[[#This Row],[DATA DO CAIXA REALIZADO]]="",0,YEAR(TbRegistroEntradas[[#This Row],[DATA DO CAIXA REALIZADO]]))</f>
        <v>0</v>
      </c>
      <c r="K168">
        <f>IF(TbRegistroEntradas[[#This Row],[DATA DA COMPETENCIA]]="",0,MONTH(TbRegistroEntradas[[#This Row],[DATA DA COMPETENCIA]]))</f>
        <v>12</v>
      </c>
      <c r="L168">
        <f>IF(TbRegistroEntradas[[#This Row],[DATA DA COMPETENCIA]]="",0,YEAR(TbRegistroEntradas[[#This Row],[DATA DA COMPETENCIA]]))</f>
        <v>2018</v>
      </c>
      <c r="M168">
        <f>IF(TbRegistroEntradas[[#This Row],[DATA DO CAIXA PREVISTA]]="",0,MONTH(TbRegistroEntradas[[#This Row],[DATA DO CAIXA PREVISTA]]))</f>
        <v>1</v>
      </c>
      <c r="N168">
        <f>IF(TbRegistroEntradas[[#This Row],[DATA DO CAIXA PREVISTA]]="",0,YEAR(TbRegistroEntradas[[#This Row],[DATA DO CAIXA PREVISTA]]))</f>
        <v>2019</v>
      </c>
      <c r="O168" t="str">
        <f ca="1">IF(AND(TbRegistroEntradas[[#This Row],[DATA DO CAIXA PREVISTA]]&lt;TODAY(),TbRegistroEntradas[[#This Row],[DATA DO CAIXA REALIZADO]]=""),"Vencida","Não Vencida")</f>
        <v>Vencida</v>
      </c>
      <c r="P168" t="str">
        <f>IF(TbRegistroEntradas[[#This Row],[DATA DA COMPETENCIA]]=TbRegistroEntradas[[#This Row],[DATA DO CAIXA PREVISTA INT]],"VISTA","PRAZO")</f>
        <v>PRAZO</v>
      </c>
      <c r="Q168" s="14">
        <f>INT(TbRegistroEntradas[[#This Row],[DATA DO CAIXA PREVISTA]])</f>
        <v>43477</v>
      </c>
      <c r="R168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69" spans="2:18" x14ac:dyDescent="0.25">
      <c r="B169" s="14">
        <v>43469.404646888193</v>
      </c>
      <c r="C169" s="14">
        <v>43451</v>
      </c>
      <c r="D169" s="14">
        <v>43469.404646888193</v>
      </c>
      <c r="E169" t="s">
        <v>20</v>
      </c>
      <c r="F169" t="s">
        <v>36</v>
      </c>
      <c r="G169" t="s">
        <v>223</v>
      </c>
      <c r="H169" s="17">
        <v>373</v>
      </c>
      <c r="I169">
        <f>IF(TbRegistroEntradas[[#This Row],[DATA DO CAIXA REALIZADO]]="",0,MONTH(TbRegistroEntradas[[#This Row],[DATA DO CAIXA REALIZADO]]))</f>
        <v>1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COMPETENCIA]]="",0,MONTH(TbRegistroEntradas[[#This Row],[DATA DA COMPETENCIA]]))</f>
        <v>12</v>
      </c>
      <c r="L169">
        <f>IF(TbRegistroEntradas[[#This Row],[DATA DA COMPETENCIA]]="",0,YEAR(TbRegistroEntradas[[#This Row],[DATA DA COMPETENCIA]]))</f>
        <v>2018</v>
      </c>
      <c r="M169">
        <f>IF(TbRegistroEntradas[[#This Row],[DATA DO CAIXA PREVISTA]]="",0,MONTH(TbRegistroEntradas[[#This Row],[DATA DO CAIXA PREVISTA]]))</f>
        <v>1</v>
      </c>
      <c r="N169">
        <f>IF(TbRegistroEntradas[[#This Row],[DATA DO CAIXA PREVISTA]]="",0,YEAR(TbRegistroEntradas[[#This Row],[DATA DO CAIXA PREVISTA]]))</f>
        <v>2019</v>
      </c>
      <c r="O169" t="str">
        <f ca="1">IF(AND(TbRegistroEntradas[[#This Row],[DATA DO CAIXA PREVISTA]]&lt;TODAY(),TbRegistroEntradas[[#This Row],[DATA DO CAIXA REALIZADO]]=""),"Vencida","Não Vencida")</f>
        <v>Não Vencida</v>
      </c>
      <c r="P169" t="str">
        <f>IF(TbRegistroEntradas[[#This Row],[DATA DA COMPETENCIA]]=TbRegistroEntradas[[#This Row],[DATA DO CAIXA PREVISTA INT]],"VISTA","PRAZO")</f>
        <v>PRAZO</v>
      </c>
      <c r="Q169" s="14">
        <f>INT(TbRegistroEntradas[[#This Row],[DATA DO CAIXA PREVISTA]])</f>
        <v>43469</v>
      </c>
      <c r="R16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0" spans="2:18" x14ac:dyDescent="0.25">
      <c r="B170" s="14">
        <v>43459.694209767709</v>
      </c>
      <c r="C170" s="14">
        <v>43454</v>
      </c>
      <c r="D170" s="14">
        <v>43459.694209767709</v>
      </c>
      <c r="E170" t="s">
        <v>20</v>
      </c>
      <c r="F170" t="s">
        <v>37</v>
      </c>
      <c r="G170" t="s">
        <v>224</v>
      </c>
      <c r="H170" s="17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COMPETENCIA]]="",0,MONTH(TbRegistroEntradas[[#This Row],[DATA DA COMPETENCIA]]))</f>
        <v>12</v>
      </c>
      <c r="L170">
        <f>IF(TbRegistroEntradas[[#This Row],[DATA DA COMPETENCIA]]="",0,YEAR(TbRegistroEntradas[[#This Row],[DATA DA COMPETENCIA]]))</f>
        <v>2018</v>
      </c>
      <c r="M170">
        <f>IF(TbRegistroEntradas[[#This Row],[DATA DO CAIXA PREVISTA]]="",0,MONTH(TbRegistroEntradas[[#This Row],[DATA DO CAIXA PREVISTA]]))</f>
        <v>12</v>
      </c>
      <c r="N170">
        <f>IF(TbRegistroEntradas[[#This Row],[DATA DO CAIXA PREVISTA]]="",0,YEAR(TbRegistroEntradas[[#This Row],[DATA DO CAIXA PREVISTA]]))</f>
        <v>2018</v>
      </c>
      <c r="O170" t="str">
        <f ca="1">IF(AND(TbRegistroEntradas[[#This Row],[DATA DO CAIXA PREVISTA]]&lt;TODAY(),TbRegistroEntradas[[#This Row],[DATA DO CAIXA REALIZADO]]=""),"Vencida","Não Vencida")</f>
        <v>Não Vencida</v>
      </c>
      <c r="P170" t="str">
        <f>IF(TbRegistroEntradas[[#This Row],[DATA DA COMPETENCIA]]=TbRegistroEntradas[[#This Row],[DATA DO CAIXA PREVISTA INT]],"VISTA","PRAZO")</f>
        <v>PRAZO</v>
      </c>
      <c r="Q170" s="14">
        <f>INT(TbRegistroEntradas[[#This Row],[DATA DO CAIXA PREVISTA]])</f>
        <v>43459</v>
      </c>
      <c r="R17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1" spans="2:18" x14ac:dyDescent="0.25">
      <c r="B171" s="14">
        <v>43497.817197182514</v>
      </c>
      <c r="C171" s="14">
        <v>43455</v>
      </c>
      <c r="D171" s="14">
        <v>43497.817197182514</v>
      </c>
      <c r="E171" t="s">
        <v>20</v>
      </c>
      <c r="F171" t="s">
        <v>23</v>
      </c>
      <c r="G171" t="s">
        <v>225</v>
      </c>
      <c r="H171" s="17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COMPETENCIA]]="",0,MONTH(TbRegistroEntradas[[#This Row],[DATA DA COMPETENCIA]]))</f>
        <v>12</v>
      </c>
      <c r="L171">
        <f>IF(TbRegistroEntradas[[#This Row],[DATA DA COMPETENCIA]]="",0,YEAR(TbRegistroEntradas[[#This Row],[DATA DA COMPETENCIA]]))</f>
        <v>2018</v>
      </c>
      <c r="M171">
        <f>IF(TbRegistroEntradas[[#This Row],[DATA DO CAIXA PREVISTA]]="",0,MONTH(TbRegistroEntradas[[#This Row],[DATA DO CAIXA PREVISTA]]))</f>
        <v>2</v>
      </c>
      <c r="N171">
        <f>IF(TbRegistroEntradas[[#This Row],[DATA DO CAIXA PREVISTA]]="",0,YEAR(TbRegistroEntradas[[#This Row],[DATA DO CAIXA PREVISTA]]))</f>
        <v>2019</v>
      </c>
      <c r="O171" t="str">
        <f ca="1">IF(AND(TbRegistroEntradas[[#This Row],[DATA DO CAIXA PREVISTA]]&lt;TODAY(),TbRegistroEntradas[[#This Row],[DATA DO CAIXA REALIZADO]]=""),"Vencida","Não Vencida")</f>
        <v>Não Vencida</v>
      </c>
      <c r="P171" t="str">
        <f>IF(TbRegistroEntradas[[#This Row],[DATA DA COMPETENCIA]]=TbRegistroEntradas[[#This Row],[DATA DO CAIXA PREVISTA INT]],"VISTA","PRAZO")</f>
        <v>PRAZO</v>
      </c>
      <c r="Q171" s="14">
        <f>INT(TbRegistroEntradas[[#This Row],[DATA DO CAIXA PREVISTA]])</f>
        <v>43497</v>
      </c>
      <c r="R17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2" spans="2:18" x14ac:dyDescent="0.25">
      <c r="B172" s="14">
        <v>43550.908167683869</v>
      </c>
      <c r="C172" s="14">
        <v>43457</v>
      </c>
      <c r="D172" s="14">
        <v>43493.892299226922</v>
      </c>
      <c r="E172" t="s">
        <v>20</v>
      </c>
      <c r="F172" t="s">
        <v>23</v>
      </c>
      <c r="G172" t="s">
        <v>226</v>
      </c>
      <c r="H172" s="17">
        <v>4429</v>
      </c>
      <c r="I172">
        <f>IF(TbRegistroEntradas[[#This Row],[DATA DO CAIXA REALIZADO]]="",0,MONTH(TbRegistroEntradas[[#This Row],[DATA DO CAIXA REALIZADO]]))</f>
        <v>3</v>
      </c>
      <c r="J172">
        <f>IF(TbRegistroEntradas[[#This Row],[DATA DO CAIXA REALIZADO]]="",0,YEAR(TbRegistroEntradas[[#This Row],[DATA DO CAIXA REALIZADO]]))</f>
        <v>2019</v>
      </c>
      <c r="K172">
        <f>IF(TbRegistroEntradas[[#This Row],[DATA DA COMPETENCIA]]="",0,MONTH(TbRegistroEntradas[[#This Row],[DATA DA COMPETENCIA]]))</f>
        <v>12</v>
      </c>
      <c r="L172">
        <f>IF(TbRegistroEntradas[[#This Row],[DATA DA COMPETENCIA]]="",0,YEAR(TbRegistroEntradas[[#This Row],[DATA DA COMPETENCIA]]))</f>
        <v>2018</v>
      </c>
      <c r="M172">
        <f>IF(TbRegistroEntradas[[#This Row],[DATA DO CAIXA PREVISTA]]="",0,MONTH(TbRegistroEntradas[[#This Row],[DATA DO CAIXA PREVISTA]]))</f>
        <v>1</v>
      </c>
      <c r="N172">
        <f>IF(TbRegistroEntradas[[#This Row],[DATA DO CAIXA PREVISTA]]="",0,YEAR(TbRegistroEntradas[[#This Row],[DATA DO CAIXA PREVISTA]]))</f>
        <v>2019</v>
      </c>
      <c r="O172" t="str">
        <f ca="1">IF(AND(TbRegistroEntradas[[#This Row],[DATA DO CAIXA PREVISTA]]&lt;TODAY(),TbRegistroEntradas[[#This Row],[DATA DO CAIXA REALIZADO]]=""),"Vencida","Não Vencida")</f>
        <v>Não Vencida</v>
      </c>
      <c r="P172" t="str">
        <f>IF(TbRegistroEntradas[[#This Row],[DATA DA COMPETENCIA]]=TbRegistroEntradas[[#This Row],[DATA DO CAIXA PREVISTA INT]],"VISTA","PRAZO")</f>
        <v>PRAZO</v>
      </c>
      <c r="Q172" s="14">
        <f>INT(TbRegistroEntradas[[#This Row],[DATA DO CAIXA PREVISTA]])</f>
        <v>43493</v>
      </c>
      <c r="R17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57.015868456946919</v>
      </c>
    </row>
    <row r="173" spans="2:18" x14ac:dyDescent="0.25">
      <c r="B173" s="14">
        <v>43519.692753371986</v>
      </c>
      <c r="C173" s="14">
        <v>43462</v>
      </c>
      <c r="D173" s="14">
        <v>43519.692753371986</v>
      </c>
      <c r="E173" t="s">
        <v>20</v>
      </c>
      <c r="F173" t="s">
        <v>36</v>
      </c>
      <c r="G173" t="s">
        <v>227</v>
      </c>
      <c r="H173" s="17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COMPETENCIA]]="",0,MONTH(TbRegistroEntradas[[#This Row],[DATA DA COMPETENCIA]]))</f>
        <v>12</v>
      </c>
      <c r="L173">
        <f>IF(TbRegistroEntradas[[#This Row],[DATA DA COMPETENCIA]]="",0,YEAR(TbRegistroEntradas[[#This Row],[DATA DA COMPETENCIA]]))</f>
        <v>2018</v>
      </c>
      <c r="M173">
        <f>IF(TbRegistroEntradas[[#This Row],[DATA DO CAIXA PREVISTA]]="",0,MONTH(TbRegistroEntradas[[#This Row],[DATA DO CAIXA PREVISTA]]))</f>
        <v>2</v>
      </c>
      <c r="N173">
        <f>IF(TbRegistroEntradas[[#This Row],[DATA DO CAIXA PREVISTA]]="",0,YEAR(TbRegistroEntradas[[#This Row],[DATA DO CAIXA PREVISTA]]))</f>
        <v>2019</v>
      </c>
      <c r="O173" t="str">
        <f ca="1">IF(AND(TbRegistroEntradas[[#This Row],[DATA DO CAIXA PREVISTA]]&lt;TODAY(),TbRegistroEntradas[[#This Row],[DATA DO CAIXA REALIZADO]]=""),"Vencida","Não Vencida")</f>
        <v>Não Vencida</v>
      </c>
      <c r="P173" t="str">
        <f>IF(TbRegistroEntradas[[#This Row],[DATA DA COMPETENCIA]]=TbRegistroEntradas[[#This Row],[DATA DO CAIXA PREVISTA INT]],"VISTA","PRAZO")</f>
        <v>PRAZO</v>
      </c>
      <c r="Q173" s="14">
        <f>INT(TbRegistroEntradas[[#This Row],[DATA DO CAIXA PREVISTA]])</f>
        <v>43519</v>
      </c>
      <c r="R17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4" spans="2:18" x14ac:dyDescent="0.25">
      <c r="B174" s="14">
        <v>43484.08707667359</v>
      </c>
      <c r="C174" s="14">
        <v>43465</v>
      </c>
      <c r="D174" s="14">
        <v>43483.090606344922</v>
      </c>
      <c r="E174" t="s">
        <v>20</v>
      </c>
      <c r="F174" t="s">
        <v>36</v>
      </c>
      <c r="G174" t="s">
        <v>228</v>
      </c>
      <c r="H174" s="17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COMPETENCIA]]="",0,MONTH(TbRegistroEntradas[[#This Row],[DATA DA COMPETENCIA]]))</f>
        <v>12</v>
      </c>
      <c r="L174">
        <f>IF(TbRegistroEntradas[[#This Row],[DATA DA COMPETENCIA]]="",0,YEAR(TbRegistroEntradas[[#This Row],[DATA DA COMPETENCIA]]))</f>
        <v>2018</v>
      </c>
      <c r="M174">
        <f>IF(TbRegistroEntradas[[#This Row],[DATA DO CAIXA PREVISTA]]="",0,MONTH(TbRegistroEntradas[[#This Row],[DATA DO CAIXA PREVISTA]]))</f>
        <v>1</v>
      </c>
      <c r="N174">
        <f>IF(TbRegistroEntradas[[#This Row],[DATA DO CAIXA PREVISTA]]="",0,YEAR(TbRegistroEntradas[[#This Row],[DATA DO CAIXA PREVISTA]]))</f>
        <v>2019</v>
      </c>
      <c r="O174" t="str">
        <f ca="1">IF(AND(TbRegistroEntradas[[#This Row],[DATA DO CAIXA PREVISTA]]&lt;TODAY(),TbRegistroEntradas[[#This Row],[DATA DO CAIXA REALIZADO]]=""),"Vencida","Não Vencida")</f>
        <v>Não Vencida</v>
      </c>
      <c r="P174" t="str">
        <f>IF(TbRegistroEntradas[[#This Row],[DATA DA COMPETENCIA]]=TbRegistroEntradas[[#This Row],[DATA DO CAIXA PREVISTA INT]],"VISTA","PRAZO")</f>
        <v>PRAZO</v>
      </c>
      <c r="Q174" s="14">
        <f>INT(TbRegistroEntradas[[#This Row],[DATA DO CAIXA PREVISTA]])</f>
        <v>43483</v>
      </c>
      <c r="R17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0.99647032866778318</v>
      </c>
    </row>
    <row r="175" spans="2:18" x14ac:dyDescent="0.25">
      <c r="B175" s="14">
        <v>43511.69240968494</v>
      </c>
      <c r="C175" s="14">
        <v>43469</v>
      </c>
      <c r="D175" s="14">
        <v>43511.69240968494</v>
      </c>
      <c r="E175" t="s">
        <v>20</v>
      </c>
      <c r="F175" t="s">
        <v>38</v>
      </c>
      <c r="G175" t="s">
        <v>229</v>
      </c>
      <c r="H175" s="17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COMPETENCIA]]="",0,MONTH(TbRegistroEntradas[[#This Row],[DATA DA COMPETENCIA]]))</f>
        <v>1</v>
      </c>
      <c r="L175">
        <f>IF(TbRegistroEntradas[[#This Row],[DATA DA COMPETENCIA]]="",0,YEAR(TbRegistroEntradas[[#This Row],[DATA DA COMPETENCIA]]))</f>
        <v>2019</v>
      </c>
      <c r="M175">
        <f>IF(TbRegistroEntradas[[#This Row],[DATA DO CAIXA PREVISTA]]="",0,MONTH(TbRegistroEntradas[[#This Row],[DATA DO CAIXA PREVISTA]]))</f>
        <v>2</v>
      </c>
      <c r="N175">
        <f>IF(TbRegistroEntradas[[#This Row],[DATA DO CAIXA PREVISTA]]="",0,YEAR(TbRegistroEntradas[[#This Row],[DATA DO CAIXA PREVISTA]]))</f>
        <v>2019</v>
      </c>
      <c r="O175" t="str">
        <f ca="1">IF(AND(TbRegistroEntradas[[#This Row],[DATA DO CAIXA PREVISTA]]&lt;TODAY(),TbRegistroEntradas[[#This Row],[DATA DO CAIXA REALIZADO]]=""),"Vencida","Não Vencida")</f>
        <v>Não Vencida</v>
      </c>
      <c r="P175" t="str">
        <f>IF(TbRegistroEntradas[[#This Row],[DATA DA COMPETENCIA]]=TbRegistroEntradas[[#This Row],[DATA DO CAIXA PREVISTA INT]],"VISTA","PRAZO")</f>
        <v>PRAZO</v>
      </c>
      <c r="Q175" s="14">
        <f>INT(TbRegistroEntradas[[#This Row],[DATA DO CAIXA PREVISTA]])</f>
        <v>43511</v>
      </c>
      <c r="R17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6" spans="2:18" x14ac:dyDescent="0.25">
      <c r="B176" s="14">
        <v>43511.114471984198</v>
      </c>
      <c r="C176" s="14">
        <v>43473</v>
      </c>
      <c r="D176" s="14">
        <v>43511.114471984198</v>
      </c>
      <c r="E176" t="s">
        <v>20</v>
      </c>
      <c r="F176" t="s">
        <v>23</v>
      </c>
      <c r="G176" t="s">
        <v>230</v>
      </c>
      <c r="H176" s="17">
        <v>900</v>
      </c>
      <c r="I176">
        <f>IF(TbRegistroEntradas[[#This Row],[DATA DO CAIXA REALIZADO]]="",0,MONTH(TbRegistroEntradas[[#This Row],[DATA DO CAIXA REALIZADO]]))</f>
        <v>2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COMPETENCIA]]="",0,MONTH(TbRegistroEntradas[[#This Row],[DATA DA COMPETENCIA]]))</f>
        <v>1</v>
      </c>
      <c r="L176">
        <f>IF(TbRegistroEntradas[[#This Row],[DATA DA COMPETENCIA]]="",0,YEAR(TbRegistroEntradas[[#This Row],[DATA DA COMPETENCIA]]))</f>
        <v>2019</v>
      </c>
      <c r="M176">
        <f>IF(TbRegistroEntradas[[#This Row],[DATA DO CAIXA PREVISTA]]="",0,MONTH(TbRegistroEntradas[[#This Row],[DATA DO CAIXA PREVISTA]]))</f>
        <v>2</v>
      </c>
      <c r="N176">
        <f>IF(TbRegistroEntradas[[#This Row],[DATA DO CAIXA PREVISTA]]="",0,YEAR(TbRegistroEntradas[[#This Row],[DATA DO CAIXA PREVISTA]]))</f>
        <v>2019</v>
      </c>
      <c r="O176" t="str">
        <f ca="1">IF(AND(TbRegistroEntradas[[#This Row],[DATA DO CAIXA PREVISTA]]&lt;TODAY(),TbRegistroEntradas[[#This Row],[DATA DO CAIXA REALIZADO]]=""),"Vencida","Não Vencida")</f>
        <v>Não Vencida</v>
      </c>
      <c r="P176" t="str">
        <f>IF(TbRegistroEntradas[[#This Row],[DATA DA COMPETENCIA]]=TbRegistroEntradas[[#This Row],[DATA DO CAIXA PREVISTA INT]],"VISTA","PRAZO")</f>
        <v>PRAZO</v>
      </c>
      <c r="Q176" s="14">
        <f>INT(TbRegistroEntradas[[#This Row],[DATA DO CAIXA PREVISTA]])</f>
        <v>43511</v>
      </c>
      <c r="R17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7" spans="2:18" x14ac:dyDescent="0.25">
      <c r="B177" s="14">
        <v>43509.221158562403</v>
      </c>
      <c r="C177" s="14">
        <v>43478</v>
      </c>
      <c r="D177" s="14">
        <v>43509.221158562403</v>
      </c>
      <c r="E177" t="s">
        <v>20</v>
      </c>
      <c r="F177" t="s">
        <v>36</v>
      </c>
      <c r="G177" t="s">
        <v>231</v>
      </c>
      <c r="H177" s="17">
        <v>2970</v>
      </c>
      <c r="I177">
        <f>IF(TbRegistroEntradas[[#This Row],[DATA DO CAIXA REALIZADO]]="",0,MONTH(TbRegistroEntradas[[#This Row],[DATA DO CAIXA REALIZADO]]))</f>
        <v>2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COMPETENCIA]]="",0,MONTH(TbRegistroEntradas[[#This Row],[DATA DA COMPETENCIA]]))</f>
        <v>1</v>
      </c>
      <c r="L177">
        <f>IF(TbRegistroEntradas[[#This Row],[DATA DA COMPETENCIA]]="",0,YEAR(TbRegistroEntradas[[#This Row],[DATA DA COMPETENCIA]]))</f>
        <v>2019</v>
      </c>
      <c r="M177">
        <f>IF(TbRegistroEntradas[[#This Row],[DATA DO CAIXA PREVISTA]]="",0,MONTH(TbRegistroEntradas[[#This Row],[DATA DO CAIXA PREVISTA]]))</f>
        <v>2</v>
      </c>
      <c r="N177">
        <f>IF(TbRegistroEntradas[[#This Row],[DATA DO CAIXA PREVISTA]]="",0,YEAR(TbRegistroEntradas[[#This Row],[DATA DO CAIXA PREVISTA]]))</f>
        <v>2019</v>
      </c>
      <c r="O177" t="str">
        <f ca="1">IF(AND(TbRegistroEntradas[[#This Row],[DATA DO CAIXA PREVISTA]]&lt;TODAY(),TbRegistroEntradas[[#This Row],[DATA DO CAIXA REALIZADO]]=""),"Vencida","Não Vencida")</f>
        <v>Não Vencida</v>
      </c>
      <c r="P177" t="str">
        <f>IF(TbRegistroEntradas[[#This Row],[DATA DA COMPETENCIA]]=TbRegistroEntradas[[#This Row],[DATA DO CAIXA PREVISTA INT]],"VISTA","PRAZO")</f>
        <v>PRAZO</v>
      </c>
      <c r="Q177" s="14">
        <f>INT(TbRegistroEntradas[[#This Row],[DATA DO CAIXA PREVISTA]])</f>
        <v>43509</v>
      </c>
      <c r="R17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78" spans="2:18" x14ac:dyDescent="0.25">
      <c r="B178" s="14">
        <v>43601.782099050732</v>
      </c>
      <c r="C178" s="14">
        <v>43482</v>
      </c>
      <c r="D178" s="14">
        <v>43538.543475375038</v>
      </c>
      <c r="E178" t="s">
        <v>20</v>
      </c>
      <c r="F178" t="s">
        <v>46</v>
      </c>
      <c r="G178" t="s">
        <v>232</v>
      </c>
      <c r="H178" s="17">
        <v>4993</v>
      </c>
      <c r="I178">
        <f>IF(TbRegistroEntradas[[#This Row],[DATA DO CAIXA REALIZADO]]="",0,MONTH(TbRegistroEntradas[[#This Row],[DATA DO CAIXA REALIZADO]]))</f>
        <v>5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COMPETENCIA]]="",0,MONTH(TbRegistroEntradas[[#This Row],[DATA DA COMPETENCIA]]))</f>
        <v>1</v>
      </c>
      <c r="L178">
        <f>IF(TbRegistroEntradas[[#This Row],[DATA DA COMPETENCIA]]="",0,YEAR(TbRegistroEntradas[[#This Row],[DATA DA COMPETENCIA]]))</f>
        <v>2019</v>
      </c>
      <c r="M178">
        <f>IF(TbRegistroEntradas[[#This Row],[DATA DO CAIXA PREVISTA]]="",0,MONTH(TbRegistroEntradas[[#This Row],[DATA DO CAIXA PREVISTA]]))</f>
        <v>3</v>
      </c>
      <c r="N178">
        <f>IF(TbRegistroEntradas[[#This Row],[DATA DO CAIXA PREVISTA]]="",0,YEAR(TbRegistroEntradas[[#This Row],[DATA DO CAIXA PREVISTA]]))</f>
        <v>2019</v>
      </c>
      <c r="O178" t="str">
        <f ca="1">IF(AND(TbRegistroEntradas[[#This Row],[DATA DO CAIXA PREVISTA]]&lt;TODAY(),TbRegistroEntradas[[#This Row],[DATA DO CAIXA REALIZADO]]=""),"Vencida","Não Vencida")</f>
        <v>Não Vencida</v>
      </c>
      <c r="P178" t="str">
        <f>IF(TbRegistroEntradas[[#This Row],[DATA DA COMPETENCIA]]=TbRegistroEntradas[[#This Row],[DATA DO CAIXA PREVISTA INT]],"VISTA","PRAZO")</f>
        <v>PRAZO</v>
      </c>
      <c r="Q178" s="14">
        <f>INT(TbRegistroEntradas[[#This Row],[DATA DO CAIXA PREVISTA]])</f>
        <v>43538</v>
      </c>
      <c r="R17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63.238623675693816</v>
      </c>
    </row>
    <row r="179" spans="2:18" x14ac:dyDescent="0.25">
      <c r="B179" s="14">
        <v>43485.955494346097</v>
      </c>
      <c r="C179" s="14">
        <v>43485</v>
      </c>
      <c r="D179" s="14">
        <v>43485</v>
      </c>
      <c r="E179" t="s">
        <v>20</v>
      </c>
      <c r="F179" t="s">
        <v>23</v>
      </c>
      <c r="G179" t="s">
        <v>233</v>
      </c>
      <c r="H179" s="17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COMPETENCIA]]="",0,MONTH(TbRegistroEntradas[[#This Row],[DATA DA COMPETENCIA]]))</f>
        <v>1</v>
      </c>
      <c r="L179">
        <f>IF(TbRegistroEntradas[[#This Row],[DATA DA COMPETENCIA]]="",0,YEAR(TbRegistroEntradas[[#This Row],[DATA DA COMPETENCIA]]))</f>
        <v>2019</v>
      </c>
      <c r="M179">
        <f>IF(TbRegistroEntradas[[#This Row],[DATA DO CAIXA PREVISTA]]="",0,MONTH(TbRegistroEntradas[[#This Row],[DATA DO CAIXA PREVISTA]]))</f>
        <v>1</v>
      </c>
      <c r="N179">
        <f>IF(TbRegistroEntradas[[#This Row],[DATA DO CAIXA PREVISTA]]="",0,YEAR(TbRegistroEntradas[[#This Row],[DATA DO CAIXA PREVISTA]]))</f>
        <v>2019</v>
      </c>
      <c r="O179" t="str">
        <f ca="1">IF(AND(TbRegistroEntradas[[#This Row],[DATA DO CAIXA PREVISTA]]&lt;TODAY(),TbRegistroEntradas[[#This Row],[DATA DO CAIXA REALIZADO]]=""),"Vencida","Não Vencida")</f>
        <v>Não Vencida</v>
      </c>
      <c r="P179" t="str">
        <f>IF(TbRegistroEntradas[[#This Row],[DATA DA COMPETENCIA]]=TbRegistroEntradas[[#This Row],[DATA DO CAIXA PREVISTA INT]],"VISTA","PRAZO")</f>
        <v>VISTA</v>
      </c>
      <c r="Q179" s="14">
        <f>INT(TbRegistroEntradas[[#This Row],[DATA DO CAIXA PREVISTA]])</f>
        <v>43485</v>
      </c>
      <c r="R17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0.9554943460971117</v>
      </c>
    </row>
    <row r="180" spans="2:18" x14ac:dyDescent="0.25">
      <c r="B180" s="14">
        <v>43522.615238592094</v>
      </c>
      <c r="C180" s="14">
        <v>43486</v>
      </c>
      <c r="D180" s="14">
        <v>43522.615238592094</v>
      </c>
      <c r="E180" t="s">
        <v>20</v>
      </c>
      <c r="F180" t="s">
        <v>36</v>
      </c>
      <c r="G180" t="s">
        <v>234</v>
      </c>
      <c r="H180" s="17">
        <v>1815</v>
      </c>
      <c r="I180">
        <f>IF(TbRegistroEntradas[[#This Row],[DATA DO CAIXA REALIZADO]]="",0,MONTH(TbRegistroEntradas[[#This Row],[DATA DO CAIXA REALIZADO]]))</f>
        <v>2</v>
      </c>
      <c r="J180">
        <f>IF(TbRegistroEntradas[[#This Row],[DATA DO CAIXA REALIZADO]]="",0,YEAR(TbRegistroEntradas[[#This Row],[DATA DO CAIXA REALIZADO]]))</f>
        <v>2019</v>
      </c>
      <c r="K180">
        <f>IF(TbRegistroEntradas[[#This Row],[DATA DA COMPETENCIA]]="",0,MONTH(TbRegistroEntradas[[#This Row],[DATA DA COMPETENCIA]]))</f>
        <v>1</v>
      </c>
      <c r="L180">
        <f>IF(TbRegistroEntradas[[#This Row],[DATA DA COMPETENCIA]]="",0,YEAR(TbRegistroEntradas[[#This Row],[DATA DA COMPETENCIA]]))</f>
        <v>2019</v>
      </c>
      <c r="M180">
        <f>IF(TbRegistroEntradas[[#This Row],[DATA DO CAIXA PREVISTA]]="",0,MONTH(TbRegistroEntradas[[#This Row],[DATA DO CAIXA PREVISTA]]))</f>
        <v>2</v>
      </c>
      <c r="N180">
        <f>IF(TbRegistroEntradas[[#This Row],[DATA DO CAIXA PREVISTA]]="",0,YEAR(TbRegistroEntradas[[#This Row],[DATA DO CAIXA PREVISTA]]))</f>
        <v>2019</v>
      </c>
      <c r="O180" t="str">
        <f ca="1">IF(AND(TbRegistroEntradas[[#This Row],[DATA DO CAIXA PREVISTA]]&lt;TODAY(),TbRegistroEntradas[[#This Row],[DATA DO CAIXA REALIZADO]]=""),"Vencida","Não Vencida")</f>
        <v>Não Vencida</v>
      </c>
      <c r="P180" t="str">
        <f>IF(TbRegistroEntradas[[#This Row],[DATA DA COMPETENCIA]]=TbRegistroEntradas[[#This Row],[DATA DO CAIXA PREVISTA INT]],"VISTA","PRAZO")</f>
        <v>PRAZO</v>
      </c>
      <c r="Q180" s="14">
        <f>INT(TbRegistroEntradas[[#This Row],[DATA DO CAIXA PREVISTA]])</f>
        <v>43522</v>
      </c>
      <c r="R18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1" spans="2:18" x14ac:dyDescent="0.25">
      <c r="B181" s="14">
        <v>43505.043861470636</v>
      </c>
      <c r="C181" s="14">
        <v>43488</v>
      </c>
      <c r="D181" s="14">
        <v>43505.043861470636</v>
      </c>
      <c r="E181" t="s">
        <v>20</v>
      </c>
      <c r="F181" t="s">
        <v>38</v>
      </c>
      <c r="G181" t="s">
        <v>235</v>
      </c>
      <c r="H181" s="17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COMPETENCIA]]="",0,MONTH(TbRegistroEntradas[[#This Row],[DATA DA COMPETENCIA]]))</f>
        <v>1</v>
      </c>
      <c r="L181">
        <f>IF(TbRegistroEntradas[[#This Row],[DATA DA COMPETENCIA]]="",0,YEAR(TbRegistroEntradas[[#This Row],[DATA DA COMPETENCIA]]))</f>
        <v>2019</v>
      </c>
      <c r="M181">
        <f>IF(TbRegistroEntradas[[#This Row],[DATA DO CAIXA PREVISTA]]="",0,MONTH(TbRegistroEntradas[[#This Row],[DATA DO CAIXA PREVISTA]]))</f>
        <v>2</v>
      </c>
      <c r="N181">
        <f>IF(TbRegistroEntradas[[#This Row],[DATA DO CAIXA PREVISTA]]="",0,YEAR(TbRegistroEntradas[[#This Row],[DATA DO CAIXA PREVISTA]]))</f>
        <v>2019</v>
      </c>
      <c r="O181" t="str">
        <f ca="1">IF(AND(TbRegistroEntradas[[#This Row],[DATA DO CAIXA PREVISTA]]&lt;TODAY(),TbRegistroEntradas[[#This Row],[DATA DO CAIXA REALIZADO]]=""),"Vencida","Não Vencida")</f>
        <v>Não Vencida</v>
      </c>
      <c r="P181" t="str">
        <f>IF(TbRegistroEntradas[[#This Row],[DATA DA COMPETENCIA]]=TbRegistroEntradas[[#This Row],[DATA DO CAIXA PREVISTA INT]],"VISTA","PRAZO")</f>
        <v>PRAZO</v>
      </c>
      <c r="Q181" s="14">
        <f>INT(TbRegistroEntradas[[#This Row],[DATA DO CAIXA PREVISTA]])</f>
        <v>43505</v>
      </c>
      <c r="R18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2" spans="2:18" x14ac:dyDescent="0.25">
      <c r="B182" s="14">
        <v>43513.423178401492</v>
      </c>
      <c r="C182" s="14">
        <v>43492</v>
      </c>
      <c r="D182" s="14">
        <v>43513.423178401492</v>
      </c>
      <c r="E182" t="s">
        <v>20</v>
      </c>
      <c r="F182" t="s">
        <v>36</v>
      </c>
      <c r="G182" t="s">
        <v>236</v>
      </c>
      <c r="H182" s="17">
        <v>177</v>
      </c>
      <c r="I182">
        <f>IF(TbRegistroEntradas[[#This Row],[DATA DO CAIXA REALIZADO]]="",0,MONTH(TbRegistroEntradas[[#This Row],[DATA DO CAIXA REALIZADO]]))</f>
        <v>2</v>
      </c>
      <c r="J182">
        <f>IF(TbRegistroEntradas[[#This Row],[DATA DO CAIXA REALIZADO]]="",0,YEAR(TbRegistroEntradas[[#This Row],[DATA DO CAIXA REALIZADO]]))</f>
        <v>2019</v>
      </c>
      <c r="K182">
        <f>IF(TbRegistroEntradas[[#This Row],[DATA DA COMPETENCIA]]="",0,MONTH(TbRegistroEntradas[[#This Row],[DATA DA COMPETENCIA]]))</f>
        <v>1</v>
      </c>
      <c r="L182">
        <f>IF(TbRegistroEntradas[[#This Row],[DATA DA COMPETENCIA]]="",0,YEAR(TbRegistroEntradas[[#This Row],[DATA DA COMPETENCIA]]))</f>
        <v>2019</v>
      </c>
      <c r="M182">
        <f>IF(TbRegistroEntradas[[#This Row],[DATA DO CAIXA PREVISTA]]="",0,MONTH(TbRegistroEntradas[[#This Row],[DATA DO CAIXA PREVISTA]]))</f>
        <v>2</v>
      </c>
      <c r="N182">
        <f>IF(TbRegistroEntradas[[#This Row],[DATA DO CAIXA PREVISTA]]="",0,YEAR(TbRegistroEntradas[[#This Row],[DATA DO CAIXA PREVISTA]]))</f>
        <v>2019</v>
      </c>
      <c r="O182" t="str">
        <f ca="1">IF(AND(TbRegistroEntradas[[#This Row],[DATA DO CAIXA PREVISTA]]&lt;TODAY(),TbRegistroEntradas[[#This Row],[DATA DO CAIXA REALIZADO]]=""),"Vencida","Não Vencida")</f>
        <v>Não Vencida</v>
      </c>
      <c r="P182" t="str">
        <f>IF(TbRegistroEntradas[[#This Row],[DATA DA COMPETENCIA]]=TbRegistroEntradas[[#This Row],[DATA DO CAIXA PREVISTA INT]],"VISTA","PRAZO")</f>
        <v>PRAZO</v>
      </c>
      <c r="Q182" s="14">
        <f>INT(TbRegistroEntradas[[#This Row],[DATA DO CAIXA PREVISTA]])</f>
        <v>43513</v>
      </c>
      <c r="R18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3" spans="2:18" x14ac:dyDescent="0.25">
      <c r="B183" s="14">
        <v>43513.404065853094</v>
      </c>
      <c r="C183" s="14">
        <v>43494</v>
      </c>
      <c r="D183" s="14">
        <v>43513.404065853094</v>
      </c>
      <c r="E183" t="s">
        <v>20</v>
      </c>
      <c r="F183" t="s">
        <v>36</v>
      </c>
      <c r="G183" t="s">
        <v>237</v>
      </c>
      <c r="H183" s="17">
        <v>3619</v>
      </c>
      <c r="I183">
        <f>IF(TbRegistroEntradas[[#This Row],[DATA DO CAIXA REALIZADO]]="",0,MONTH(TbRegistroEntradas[[#This Row],[DATA DO CAIXA REALIZADO]]))</f>
        <v>2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COMPETENCIA]]="",0,MONTH(TbRegistroEntradas[[#This Row],[DATA DA COMPETENCIA]]))</f>
        <v>1</v>
      </c>
      <c r="L183">
        <f>IF(TbRegistroEntradas[[#This Row],[DATA DA COMPETENCIA]]="",0,YEAR(TbRegistroEntradas[[#This Row],[DATA DA COMPETENCIA]]))</f>
        <v>2019</v>
      </c>
      <c r="M183">
        <f>IF(TbRegistroEntradas[[#This Row],[DATA DO CAIXA PREVISTA]]="",0,MONTH(TbRegistroEntradas[[#This Row],[DATA DO CAIXA PREVISTA]]))</f>
        <v>2</v>
      </c>
      <c r="N183">
        <f>IF(TbRegistroEntradas[[#This Row],[DATA DO CAIXA PREVISTA]]="",0,YEAR(TbRegistroEntradas[[#This Row],[DATA DO CAIXA PREVISTA]]))</f>
        <v>2019</v>
      </c>
      <c r="O183" t="str">
        <f ca="1">IF(AND(TbRegistroEntradas[[#This Row],[DATA DO CAIXA PREVISTA]]&lt;TODAY(),TbRegistroEntradas[[#This Row],[DATA DO CAIXA REALIZADO]]=""),"Vencida","Não Vencida")</f>
        <v>Não Vencida</v>
      </c>
      <c r="P183" t="str">
        <f>IF(TbRegistroEntradas[[#This Row],[DATA DA COMPETENCIA]]=TbRegistroEntradas[[#This Row],[DATA DO CAIXA PREVISTA INT]],"VISTA","PRAZO")</f>
        <v>PRAZO</v>
      </c>
      <c r="Q183" s="14">
        <f>INT(TbRegistroEntradas[[#This Row],[DATA DO CAIXA PREVISTA]])</f>
        <v>43513</v>
      </c>
      <c r="R18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4" spans="2:18" x14ac:dyDescent="0.25">
      <c r="B184" s="14">
        <v>43534.989762344601</v>
      </c>
      <c r="C184" s="14">
        <v>43498</v>
      </c>
      <c r="D184" s="14">
        <v>43534.989762344601</v>
      </c>
      <c r="E184" t="s">
        <v>20</v>
      </c>
      <c r="F184" t="s">
        <v>38</v>
      </c>
      <c r="G184" t="s">
        <v>238</v>
      </c>
      <c r="H184" s="17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COMPETENCIA]]="",0,MONTH(TbRegistroEntradas[[#This Row],[DATA DA COMPETENCIA]]))</f>
        <v>2</v>
      </c>
      <c r="L184">
        <f>IF(TbRegistroEntradas[[#This Row],[DATA DA COMPETENCIA]]="",0,YEAR(TbRegistroEntradas[[#This Row],[DATA DA COMPETENCIA]]))</f>
        <v>2019</v>
      </c>
      <c r="M184">
        <f>IF(TbRegistroEntradas[[#This Row],[DATA DO CAIXA PREVISTA]]="",0,MONTH(TbRegistroEntradas[[#This Row],[DATA DO CAIXA PREVISTA]]))</f>
        <v>3</v>
      </c>
      <c r="N184">
        <f>IF(TbRegistroEntradas[[#This Row],[DATA DO CAIXA PREVISTA]]="",0,YEAR(TbRegistroEntradas[[#This Row],[DATA DO CAIXA PREVISTA]]))</f>
        <v>2019</v>
      </c>
      <c r="O184" t="str">
        <f ca="1">IF(AND(TbRegistroEntradas[[#This Row],[DATA DO CAIXA PREVISTA]]&lt;TODAY(),TbRegistroEntradas[[#This Row],[DATA DO CAIXA REALIZADO]]=""),"Vencida","Não Vencida")</f>
        <v>Não Vencida</v>
      </c>
      <c r="P184" t="str">
        <f>IF(TbRegistroEntradas[[#This Row],[DATA DA COMPETENCIA]]=TbRegistroEntradas[[#This Row],[DATA DO CAIXA PREVISTA INT]],"VISTA","PRAZO")</f>
        <v>PRAZO</v>
      </c>
      <c r="Q184" s="14">
        <f>INT(TbRegistroEntradas[[#This Row],[DATA DO CAIXA PREVISTA]])</f>
        <v>43534</v>
      </c>
      <c r="R18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5" spans="2:18" x14ac:dyDescent="0.25">
      <c r="B185" s="14">
        <v>43512.886043755854</v>
      </c>
      <c r="C185" s="14">
        <v>43501</v>
      </c>
      <c r="D185" s="14">
        <v>43512.886043755854</v>
      </c>
      <c r="E185" t="s">
        <v>20</v>
      </c>
      <c r="F185" t="s">
        <v>38</v>
      </c>
      <c r="G185" t="s">
        <v>239</v>
      </c>
      <c r="H185" s="17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COMPETENCIA]]="",0,MONTH(TbRegistroEntradas[[#This Row],[DATA DA COMPETENCIA]]))</f>
        <v>2</v>
      </c>
      <c r="L185">
        <f>IF(TbRegistroEntradas[[#This Row],[DATA DA COMPETENCIA]]="",0,YEAR(TbRegistroEntradas[[#This Row],[DATA DA COMPETENCIA]]))</f>
        <v>2019</v>
      </c>
      <c r="M185">
        <f>IF(TbRegistroEntradas[[#This Row],[DATA DO CAIXA PREVISTA]]="",0,MONTH(TbRegistroEntradas[[#This Row],[DATA DO CAIXA PREVISTA]]))</f>
        <v>2</v>
      </c>
      <c r="N185">
        <f>IF(TbRegistroEntradas[[#This Row],[DATA DO CAIXA PREVISTA]]="",0,YEAR(TbRegistroEntradas[[#This Row],[DATA DO CAIXA PREVISTA]]))</f>
        <v>2019</v>
      </c>
      <c r="O185" t="str">
        <f ca="1">IF(AND(TbRegistroEntradas[[#This Row],[DATA DO CAIXA PREVISTA]]&lt;TODAY(),TbRegistroEntradas[[#This Row],[DATA DO CAIXA REALIZADO]]=""),"Vencida","Não Vencida")</f>
        <v>Não Vencida</v>
      </c>
      <c r="P185" t="str">
        <f>IF(TbRegistroEntradas[[#This Row],[DATA DA COMPETENCIA]]=TbRegistroEntradas[[#This Row],[DATA DO CAIXA PREVISTA INT]],"VISTA","PRAZO")</f>
        <v>PRAZO</v>
      </c>
      <c r="Q185" s="14">
        <f>INT(TbRegistroEntradas[[#This Row],[DATA DO CAIXA PREVISTA]])</f>
        <v>43512</v>
      </c>
      <c r="R18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6" spans="2:18" x14ac:dyDescent="0.25">
      <c r="B186" s="14">
        <v>43532.824988934779</v>
      </c>
      <c r="C186" s="14">
        <v>43502</v>
      </c>
      <c r="D186" s="14">
        <v>43532.824988934779</v>
      </c>
      <c r="E186" t="s">
        <v>20</v>
      </c>
      <c r="F186" t="s">
        <v>37</v>
      </c>
      <c r="G186" t="s">
        <v>240</v>
      </c>
      <c r="H186" s="17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COMPETENCIA]]="",0,MONTH(TbRegistroEntradas[[#This Row],[DATA DA COMPETENCIA]]))</f>
        <v>2</v>
      </c>
      <c r="L186">
        <f>IF(TbRegistroEntradas[[#This Row],[DATA DA COMPETENCIA]]="",0,YEAR(TbRegistroEntradas[[#This Row],[DATA DA COMPETENCIA]]))</f>
        <v>2019</v>
      </c>
      <c r="M186">
        <f>IF(TbRegistroEntradas[[#This Row],[DATA DO CAIXA PREVISTA]]="",0,MONTH(TbRegistroEntradas[[#This Row],[DATA DO CAIXA PREVISTA]]))</f>
        <v>3</v>
      </c>
      <c r="N186">
        <f>IF(TbRegistroEntradas[[#This Row],[DATA DO CAIXA PREVISTA]]="",0,YEAR(TbRegistroEntradas[[#This Row],[DATA DO CAIXA PREVISTA]]))</f>
        <v>2019</v>
      </c>
      <c r="O186" t="str">
        <f ca="1">IF(AND(TbRegistroEntradas[[#This Row],[DATA DO CAIXA PREVISTA]]&lt;TODAY(),TbRegistroEntradas[[#This Row],[DATA DO CAIXA REALIZADO]]=""),"Vencida","Não Vencida")</f>
        <v>Não Vencida</v>
      </c>
      <c r="P186" t="str">
        <f>IF(TbRegistroEntradas[[#This Row],[DATA DA COMPETENCIA]]=TbRegistroEntradas[[#This Row],[DATA DO CAIXA PREVISTA INT]],"VISTA","PRAZO")</f>
        <v>PRAZO</v>
      </c>
      <c r="Q186" s="14">
        <f>INT(TbRegistroEntradas[[#This Row],[DATA DO CAIXA PREVISTA]])</f>
        <v>43532</v>
      </c>
      <c r="R18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7" spans="2:18" x14ac:dyDescent="0.25">
      <c r="B187" s="14">
        <v>43540.311131757786</v>
      </c>
      <c r="C187" s="14">
        <v>43505</v>
      </c>
      <c r="D187" s="14">
        <v>43540.311131757786</v>
      </c>
      <c r="E187" t="s">
        <v>20</v>
      </c>
      <c r="F187" t="s">
        <v>23</v>
      </c>
      <c r="G187" t="s">
        <v>241</v>
      </c>
      <c r="H187" s="17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COMPETENCIA]]="",0,MONTH(TbRegistroEntradas[[#This Row],[DATA DA COMPETENCIA]]))</f>
        <v>2</v>
      </c>
      <c r="L187">
        <f>IF(TbRegistroEntradas[[#This Row],[DATA DA COMPETENCIA]]="",0,YEAR(TbRegistroEntradas[[#This Row],[DATA DA COMPETENCIA]]))</f>
        <v>2019</v>
      </c>
      <c r="M187">
        <f>IF(TbRegistroEntradas[[#This Row],[DATA DO CAIXA PREVISTA]]="",0,MONTH(TbRegistroEntradas[[#This Row],[DATA DO CAIXA PREVISTA]]))</f>
        <v>3</v>
      </c>
      <c r="N187">
        <f>IF(TbRegistroEntradas[[#This Row],[DATA DO CAIXA PREVISTA]]="",0,YEAR(TbRegistroEntradas[[#This Row],[DATA DO CAIXA PREVISTA]]))</f>
        <v>2019</v>
      </c>
      <c r="O187" t="str">
        <f ca="1">IF(AND(TbRegistroEntradas[[#This Row],[DATA DO CAIXA PREVISTA]]&lt;TODAY(),TbRegistroEntradas[[#This Row],[DATA DO CAIXA REALIZADO]]=""),"Vencida","Não Vencida")</f>
        <v>Não Vencida</v>
      </c>
      <c r="P187" t="str">
        <f>IF(TbRegistroEntradas[[#This Row],[DATA DA COMPETENCIA]]=TbRegistroEntradas[[#This Row],[DATA DO CAIXA PREVISTA INT]],"VISTA","PRAZO")</f>
        <v>PRAZO</v>
      </c>
      <c r="Q187" s="14">
        <f>INT(TbRegistroEntradas[[#This Row],[DATA DO CAIXA PREVISTA]])</f>
        <v>43540</v>
      </c>
      <c r="R18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8" spans="2:18" x14ac:dyDescent="0.25">
      <c r="B188" s="14">
        <v>43541.652544038297</v>
      </c>
      <c r="C188" s="14">
        <v>43506</v>
      </c>
      <c r="D188" s="14">
        <v>43541.652544038297</v>
      </c>
      <c r="E188" t="s">
        <v>20</v>
      </c>
      <c r="F188" t="s">
        <v>46</v>
      </c>
      <c r="G188" t="s">
        <v>242</v>
      </c>
      <c r="H188" s="17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COMPETENCIA]]="",0,MONTH(TbRegistroEntradas[[#This Row],[DATA DA COMPETENCIA]]))</f>
        <v>2</v>
      </c>
      <c r="L188">
        <f>IF(TbRegistroEntradas[[#This Row],[DATA DA COMPETENCIA]]="",0,YEAR(TbRegistroEntradas[[#This Row],[DATA DA COMPETENCIA]]))</f>
        <v>2019</v>
      </c>
      <c r="M188">
        <f>IF(TbRegistroEntradas[[#This Row],[DATA DO CAIXA PREVISTA]]="",0,MONTH(TbRegistroEntradas[[#This Row],[DATA DO CAIXA PREVISTA]]))</f>
        <v>3</v>
      </c>
      <c r="N188">
        <f>IF(TbRegistroEntradas[[#This Row],[DATA DO CAIXA PREVISTA]]="",0,YEAR(TbRegistroEntradas[[#This Row],[DATA DO CAIXA PREVISTA]]))</f>
        <v>2019</v>
      </c>
      <c r="O188" t="str">
        <f ca="1">IF(AND(TbRegistroEntradas[[#This Row],[DATA DO CAIXA PREVISTA]]&lt;TODAY(),TbRegistroEntradas[[#This Row],[DATA DO CAIXA REALIZADO]]=""),"Vencida","Não Vencida")</f>
        <v>Não Vencida</v>
      </c>
      <c r="P188" t="str">
        <f>IF(TbRegistroEntradas[[#This Row],[DATA DA COMPETENCIA]]=TbRegistroEntradas[[#This Row],[DATA DO CAIXA PREVISTA INT]],"VISTA","PRAZO")</f>
        <v>PRAZO</v>
      </c>
      <c r="Q188" s="14">
        <f>INT(TbRegistroEntradas[[#This Row],[DATA DO CAIXA PREVISTA]])</f>
        <v>43541</v>
      </c>
      <c r="R18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89" spans="2:18" x14ac:dyDescent="0.25">
      <c r="B189" s="14">
        <v>43560.051672837129</v>
      </c>
      <c r="C189" s="14">
        <v>43508</v>
      </c>
      <c r="D189" s="14">
        <v>43554.09538121894</v>
      </c>
      <c r="E189" t="s">
        <v>20</v>
      </c>
      <c r="F189" t="s">
        <v>36</v>
      </c>
      <c r="G189" t="s">
        <v>243</v>
      </c>
      <c r="H189" s="17">
        <v>3732</v>
      </c>
      <c r="I189">
        <f>IF(TbRegistroEntradas[[#This Row],[DATA DO CAIXA REALIZADO]]="",0,MONTH(TbRegistroEntradas[[#This Row],[DATA DO CAIXA REALIZADO]]))</f>
        <v>4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COMPETENCIA]]="",0,MONTH(TbRegistroEntradas[[#This Row],[DATA DA COMPETENCIA]]))</f>
        <v>2</v>
      </c>
      <c r="L189">
        <f>IF(TbRegistroEntradas[[#This Row],[DATA DA COMPETENCIA]]="",0,YEAR(TbRegistroEntradas[[#This Row],[DATA DA COMPETENCIA]]))</f>
        <v>2019</v>
      </c>
      <c r="M189">
        <f>IF(TbRegistroEntradas[[#This Row],[DATA DO CAIXA PREVISTA]]="",0,MONTH(TbRegistroEntradas[[#This Row],[DATA DO CAIXA PREVISTA]]))</f>
        <v>3</v>
      </c>
      <c r="N189">
        <f>IF(TbRegistroEntradas[[#This Row],[DATA DO CAIXA PREVISTA]]="",0,YEAR(TbRegistroEntradas[[#This Row],[DATA DO CAIXA PREVISTA]]))</f>
        <v>2019</v>
      </c>
      <c r="O189" t="str">
        <f ca="1">IF(AND(TbRegistroEntradas[[#This Row],[DATA DO CAIXA PREVISTA]]&lt;TODAY(),TbRegistroEntradas[[#This Row],[DATA DO CAIXA REALIZADO]]=""),"Vencida","Não Vencida")</f>
        <v>Não Vencida</v>
      </c>
      <c r="P189" t="str">
        <f>IF(TbRegistroEntradas[[#This Row],[DATA DA COMPETENCIA]]=TbRegistroEntradas[[#This Row],[DATA DO CAIXA PREVISTA INT]],"VISTA","PRAZO")</f>
        <v>PRAZO</v>
      </c>
      <c r="Q189" s="14">
        <f>INT(TbRegistroEntradas[[#This Row],[DATA DO CAIXA PREVISTA]])</f>
        <v>43554</v>
      </c>
      <c r="R18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5.9562916181894252</v>
      </c>
    </row>
    <row r="190" spans="2:18" x14ac:dyDescent="0.25">
      <c r="B190" s="14">
        <v>43512.426649972214</v>
      </c>
      <c r="C190" s="14">
        <v>43509</v>
      </c>
      <c r="D190" s="14">
        <v>43512.426649972214</v>
      </c>
      <c r="E190" t="s">
        <v>20</v>
      </c>
      <c r="F190" t="s">
        <v>23</v>
      </c>
      <c r="G190" t="s">
        <v>244</v>
      </c>
      <c r="H190" s="17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COMPETENCIA]]="",0,MONTH(TbRegistroEntradas[[#This Row],[DATA DA COMPETENCIA]]))</f>
        <v>2</v>
      </c>
      <c r="L190">
        <f>IF(TbRegistroEntradas[[#This Row],[DATA DA COMPETENCIA]]="",0,YEAR(TbRegistroEntradas[[#This Row],[DATA DA COMPETENCIA]]))</f>
        <v>2019</v>
      </c>
      <c r="M190">
        <f>IF(TbRegistroEntradas[[#This Row],[DATA DO CAIXA PREVISTA]]="",0,MONTH(TbRegistroEntradas[[#This Row],[DATA DO CAIXA PREVISTA]]))</f>
        <v>2</v>
      </c>
      <c r="N190">
        <f>IF(TbRegistroEntradas[[#This Row],[DATA DO CAIXA PREVISTA]]="",0,YEAR(TbRegistroEntradas[[#This Row],[DATA DO CAIXA PREVISTA]]))</f>
        <v>2019</v>
      </c>
      <c r="O190" t="str">
        <f ca="1">IF(AND(TbRegistroEntradas[[#This Row],[DATA DO CAIXA PREVISTA]]&lt;TODAY(),TbRegistroEntradas[[#This Row],[DATA DO CAIXA REALIZADO]]=""),"Vencida","Não Vencida")</f>
        <v>Não Vencida</v>
      </c>
      <c r="P190" t="str">
        <f>IF(TbRegistroEntradas[[#This Row],[DATA DA COMPETENCIA]]=TbRegistroEntradas[[#This Row],[DATA DO CAIXA PREVISTA INT]],"VISTA","PRAZO")</f>
        <v>PRAZO</v>
      </c>
      <c r="Q190" s="14">
        <f>INT(TbRegistroEntradas[[#This Row],[DATA DO CAIXA PREVISTA]])</f>
        <v>43512</v>
      </c>
      <c r="R19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1" spans="2:18" x14ac:dyDescent="0.25">
      <c r="B191" s="14" t="s">
        <v>68</v>
      </c>
      <c r="C191" s="14">
        <v>43512</v>
      </c>
      <c r="D191" s="14">
        <v>43570.205876707638</v>
      </c>
      <c r="E191" t="s">
        <v>20</v>
      </c>
      <c r="F191" t="s">
        <v>36</v>
      </c>
      <c r="G191" t="s">
        <v>245</v>
      </c>
      <c r="H191" s="17">
        <v>928</v>
      </c>
      <c r="I191">
        <f>IF(TbRegistroEntradas[[#This Row],[DATA DO CAIXA REALIZADO]]="",0,MONTH(TbRegistroEntradas[[#This Row],[DATA DO CAIXA REALIZADO]]))</f>
        <v>0</v>
      </c>
      <c r="J191">
        <f>IF(TbRegistroEntradas[[#This Row],[DATA DO CAIXA REALIZADO]]="",0,YEAR(TbRegistroEntradas[[#This Row],[DATA DO CAIXA REALIZADO]]))</f>
        <v>0</v>
      </c>
      <c r="K191">
        <f>IF(TbRegistroEntradas[[#This Row],[DATA DA COMPETENCIA]]="",0,MONTH(TbRegistroEntradas[[#This Row],[DATA DA COMPETENCIA]]))</f>
        <v>2</v>
      </c>
      <c r="L191">
        <f>IF(TbRegistroEntradas[[#This Row],[DATA DA COMPETENCIA]]="",0,YEAR(TbRegistroEntradas[[#This Row],[DATA DA COMPETENCIA]]))</f>
        <v>2019</v>
      </c>
      <c r="M191">
        <f>IF(TbRegistroEntradas[[#This Row],[DATA DO CAIXA PREVISTA]]="",0,MONTH(TbRegistroEntradas[[#This Row],[DATA DO CAIXA PREVISTA]]))</f>
        <v>4</v>
      </c>
      <c r="N191">
        <f>IF(TbRegistroEntradas[[#This Row],[DATA DO CAIXA PREVISTA]]="",0,YEAR(TbRegistroEntradas[[#This Row],[DATA DO CAIXA PREVISTA]]))</f>
        <v>2019</v>
      </c>
      <c r="O191" t="str">
        <f ca="1">IF(AND(TbRegistroEntradas[[#This Row],[DATA DO CAIXA PREVISTA]]&lt;TODAY(),TbRegistroEntradas[[#This Row],[DATA DO CAIXA REALIZADO]]=""),"Vencida","Não Vencida")</f>
        <v>Vencida</v>
      </c>
      <c r="P191" t="str">
        <f>IF(TbRegistroEntradas[[#This Row],[DATA DA COMPETENCIA]]=TbRegistroEntradas[[#This Row],[DATA DO CAIXA PREVISTA INT]],"VISTA","PRAZO")</f>
        <v>PRAZO</v>
      </c>
      <c r="Q191" s="14">
        <f>INT(TbRegistroEntradas[[#This Row],[DATA DO CAIXA PREVISTA]])</f>
        <v>43570</v>
      </c>
      <c r="R191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192" spans="2:18" x14ac:dyDescent="0.25">
      <c r="B192" s="14">
        <v>43560.066685649028</v>
      </c>
      <c r="C192" s="14">
        <v>43513</v>
      </c>
      <c r="D192" s="14">
        <v>43560.066685649028</v>
      </c>
      <c r="E192" t="s">
        <v>20</v>
      </c>
      <c r="F192" t="s">
        <v>36</v>
      </c>
      <c r="G192" t="s">
        <v>246</v>
      </c>
      <c r="H192" s="17">
        <v>3557</v>
      </c>
      <c r="I192">
        <f>IF(TbRegistroEntradas[[#This Row],[DATA DO CAIXA REALIZADO]]="",0,MONTH(TbRegistroEntradas[[#This Row],[DATA DO CAIXA REALIZADO]]))</f>
        <v>4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COMPETENCIA]]="",0,MONTH(TbRegistroEntradas[[#This Row],[DATA DA COMPETENCIA]]))</f>
        <v>2</v>
      </c>
      <c r="L192">
        <f>IF(TbRegistroEntradas[[#This Row],[DATA DA COMPETENCIA]]="",0,YEAR(TbRegistroEntradas[[#This Row],[DATA DA COMPETENCIA]]))</f>
        <v>2019</v>
      </c>
      <c r="M192">
        <f>IF(TbRegistroEntradas[[#This Row],[DATA DO CAIXA PREVISTA]]="",0,MONTH(TbRegistroEntradas[[#This Row],[DATA DO CAIXA PREVISTA]]))</f>
        <v>4</v>
      </c>
      <c r="N192">
        <f>IF(TbRegistroEntradas[[#This Row],[DATA DO CAIXA PREVISTA]]="",0,YEAR(TbRegistroEntradas[[#This Row],[DATA DO CAIXA PREVISTA]]))</f>
        <v>2019</v>
      </c>
      <c r="O192" t="str">
        <f ca="1">IF(AND(TbRegistroEntradas[[#This Row],[DATA DO CAIXA PREVISTA]]&lt;TODAY(),TbRegistroEntradas[[#This Row],[DATA DO CAIXA REALIZADO]]=""),"Vencida","Não Vencida")</f>
        <v>Não Vencida</v>
      </c>
      <c r="P192" t="str">
        <f>IF(TbRegistroEntradas[[#This Row],[DATA DA COMPETENCIA]]=TbRegistroEntradas[[#This Row],[DATA DO CAIXA PREVISTA INT]],"VISTA","PRAZO")</f>
        <v>PRAZO</v>
      </c>
      <c r="Q192" s="14">
        <f>INT(TbRegistroEntradas[[#This Row],[DATA DO CAIXA PREVISTA]])</f>
        <v>43560</v>
      </c>
      <c r="R19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3" spans="2:18" x14ac:dyDescent="0.25">
      <c r="B193" s="14">
        <v>43540.820705056554</v>
      </c>
      <c r="C193" s="14">
        <v>43514</v>
      </c>
      <c r="D193" s="14">
        <v>43540.820705056554</v>
      </c>
      <c r="E193" t="s">
        <v>20</v>
      </c>
      <c r="F193" t="s">
        <v>23</v>
      </c>
      <c r="G193" t="s">
        <v>247</v>
      </c>
      <c r="H193" s="17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COMPETENCIA]]="",0,MONTH(TbRegistroEntradas[[#This Row],[DATA DA COMPETENCIA]]))</f>
        <v>2</v>
      </c>
      <c r="L193">
        <f>IF(TbRegistroEntradas[[#This Row],[DATA DA COMPETENCIA]]="",0,YEAR(TbRegistroEntradas[[#This Row],[DATA DA COMPETENCIA]]))</f>
        <v>2019</v>
      </c>
      <c r="M193">
        <f>IF(TbRegistroEntradas[[#This Row],[DATA DO CAIXA PREVISTA]]="",0,MONTH(TbRegistroEntradas[[#This Row],[DATA DO CAIXA PREVISTA]]))</f>
        <v>3</v>
      </c>
      <c r="N193">
        <f>IF(TbRegistroEntradas[[#This Row],[DATA DO CAIXA PREVISTA]]="",0,YEAR(TbRegistroEntradas[[#This Row],[DATA DO CAIXA PREVISTA]]))</f>
        <v>2019</v>
      </c>
      <c r="O193" t="str">
        <f ca="1">IF(AND(TbRegistroEntradas[[#This Row],[DATA DO CAIXA PREVISTA]]&lt;TODAY(),TbRegistroEntradas[[#This Row],[DATA DO CAIXA REALIZADO]]=""),"Vencida","Não Vencida")</f>
        <v>Não Vencida</v>
      </c>
      <c r="P193" t="str">
        <f>IF(TbRegistroEntradas[[#This Row],[DATA DA COMPETENCIA]]=TbRegistroEntradas[[#This Row],[DATA DO CAIXA PREVISTA INT]],"VISTA","PRAZO")</f>
        <v>PRAZO</v>
      </c>
      <c r="Q193" s="14">
        <f>INT(TbRegistroEntradas[[#This Row],[DATA DO CAIXA PREVISTA]])</f>
        <v>43540</v>
      </c>
      <c r="R19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4" spans="2:18" x14ac:dyDescent="0.25">
      <c r="B194" s="14">
        <v>43548.222942782464</v>
      </c>
      <c r="C194" s="14">
        <v>43517</v>
      </c>
      <c r="D194" s="14">
        <v>43548.222942782464</v>
      </c>
      <c r="E194" t="s">
        <v>20</v>
      </c>
      <c r="F194" t="s">
        <v>23</v>
      </c>
      <c r="G194" t="s">
        <v>248</v>
      </c>
      <c r="H194" s="17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COMPETENCIA]]="",0,MONTH(TbRegistroEntradas[[#This Row],[DATA DA COMPETENCIA]]))</f>
        <v>2</v>
      </c>
      <c r="L194">
        <f>IF(TbRegistroEntradas[[#This Row],[DATA DA COMPETENCIA]]="",0,YEAR(TbRegistroEntradas[[#This Row],[DATA DA COMPETENCIA]]))</f>
        <v>2019</v>
      </c>
      <c r="M194">
        <f>IF(TbRegistroEntradas[[#This Row],[DATA DO CAIXA PREVISTA]]="",0,MONTH(TbRegistroEntradas[[#This Row],[DATA DO CAIXA PREVISTA]]))</f>
        <v>3</v>
      </c>
      <c r="N194">
        <f>IF(TbRegistroEntradas[[#This Row],[DATA DO CAIXA PREVISTA]]="",0,YEAR(TbRegistroEntradas[[#This Row],[DATA DO CAIXA PREVISTA]]))</f>
        <v>2019</v>
      </c>
      <c r="O194" t="str">
        <f ca="1">IF(AND(TbRegistroEntradas[[#This Row],[DATA DO CAIXA PREVISTA]]&lt;TODAY(),TbRegistroEntradas[[#This Row],[DATA DO CAIXA REALIZADO]]=""),"Vencida","Não Vencida")</f>
        <v>Não Vencida</v>
      </c>
      <c r="P194" t="str">
        <f>IF(TbRegistroEntradas[[#This Row],[DATA DA COMPETENCIA]]=TbRegistroEntradas[[#This Row],[DATA DO CAIXA PREVISTA INT]],"VISTA","PRAZO")</f>
        <v>PRAZO</v>
      </c>
      <c r="Q194" s="14">
        <f>INT(TbRegistroEntradas[[#This Row],[DATA DO CAIXA PREVISTA]])</f>
        <v>43548</v>
      </c>
      <c r="R19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5" spans="2:18" x14ac:dyDescent="0.25">
      <c r="B195" s="14">
        <v>43625.080024605937</v>
      </c>
      <c r="C195" s="14">
        <v>43522</v>
      </c>
      <c r="D195" s="14">
        <v>43563.814201596448</v>
      </c>
      <c r="E195" t="s">
        <v>20</v>
      </c>
      <c r="F195" t="s">
        <v>36</v>
      </c>
      <c r="G195" t="s">
        <v>249</v>
      </c>
      <c r="H195" s="17">
        <v>4741</v>
      </c>
      <c r="I195">
        <f>IF(TbRegistroEntradas[[#This Row],[DATA DO CAIXA REALIZADO]]="",0,MONTH(TbRegistroEntradas[[#This Row],[DATA DO CAIXA REALIZADO]]))</f>
        <v>6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COMPETENCIA]]="",0,MONTH(TbRegistroEntradas[[#This Row],[DATA DA COMPETENCIA]]))</f>
        <v>2</v>
      </c>
      <c r="L195">
        <f>IF(TbRegistroEntradas[[#This Row],[DATA DA COMPETENCIA]]="",0,YEAR(TbRegistroEntradas[[#This Row],[DATA DA COMPETENCIA]]))</f>
        <v>2019</v>
      </c>
      <c r="M195">
        <f>IF(TbRegistroEntradas[[#This Row],[DATA DO CAIXA PREVISTA]]="",0,MONTH(TbRegistroEntradas[[#This Row],[DATA DO CAIXA PREVISTA]]))</f>
        <v>4</v>
      </c>
      <c r="N195">
        <f>IF(TbRegistroEntradas[[#This Row],[DATA DO CAIXA PREVISTA]]="",0,YEAR(TbRegistroEntradas[[#This Row],[DATA DO CAIXA PREVISTA]]))</f>
        <v>2019</v>
      </c>
      <c r="O195" t="str">
        <f ca="1">IF(AND(TbRegistroEntradas[[#This Row],[DATA DO CAIXA PREVISTA]]&lt;TODAY(),TbRegistroEntradas[[#This Row],[DATA DO CAIXA REALIZADO]]=""),"Vencida","Não Vencida")</f>
        <v>Não Vencida</v>
      </c>
      <c r="P195" t="str">
        <f>IF(TbRegistroEntradas[[#This Row],[DATA DA COMPETENCIA]]=TbRegistroEntradas[[#This Row],[DATA DO CAIXA PREVISTA INT]],"VISTA","PRAZO")</f>
        <v>PRAZO</v>
      </c>
      <c r="Q195" s="14">
        <f>INT(TbRegistroEntradas[[#This Row],[DATA DO CAIXA PREVISTA]])</f>
        <v>43563</v>
      </c>
      <c r="R19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61.265823009489395</v>
      </c>
    </row>
    <row r="196" spans="2:18" x14ac:dyDescent="0.25">
      <c r="B196" s="14">
        <v>43571.459066587013</v>
      </c>
      <c r="C196" s="14">
        <v>43525</v>
      </c>
      <c r="D196" s="14">
        <v>43571.459066587013</v>
      </c>
      <c r="E196" t="s">
        <v>20</v>
      </c>
      <c r="F196" t="s">
        <v>37</v>
      </c>
      <c r="G196" t="s">
        <v>250</v>
      </c>
      <c r="H196" s="17">
        <v>471</v>
      </c>
      <c r="I196">
        <f>IF(TbRegistroEntradas[[#This Row],[DATA DO CAIXA REALIZADO]]="",0,MONTH(TbRegistroEntradas[[#This Row],[DATA DO CAIXA REALIZADO]]))</f>
        <v>4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COMPETENCIA]]="",0,MONTH(TbRegistroEntradas[[#This Row],[DATA DA COMPETENCIA]]))</f>
        <v>3</v>
      </c>
      <c r="L196">
        <f>IF(TbRegistroEntradas[[#This Row],[DATA DA COMPETENCIA]]="",0,YEAR(TbRegistroEntradas[[#This Row],[DATA DA COMPETENCIA]]))</f>
        <v>2019</v>
      </c>
      <c r="M196">
        <f>IF(TbRegistroEntradas[[#This Row],[DATA DO CAIXA PREVISTA]]="",0,MONTH(TbRegistroEntradas[[#This Row],[DATA DO CAIXA PREVISTA]]))</f>
        <v>4</v>
      </c>
      <c r="N196">
        <f>IF(TbRegistroEntradas[[#This Row],[DATA DO CAIXA PREVISTA]]="",0,YEAR(TbRegistroEntradas[[#This Row],[DATA DO CAIXA PREVISTA]]))</f>
        <v>2019</v>
      </c>
      <c r="O196" t="str">
        <f ca="1">IF(AND(TbRegistroEntradas[[#This Row],[DATA DO CAIXA PREVISTA]]&lt;TODAY(),TbRegistroEntradas[[#This Row],[DATA DO CAIXA REALIZADO]]=""),"Vencida","Não Vencida")</f>
        <v>Não Vencida</v>
      </c>
      <c r="P196" t="str">
        <f>IF(TbRegistroEntradas[[#This Row],[DATA DA COMPETENCIA]]=TbRegistroEntradas[[#This Row],[DATA DO CAIXA PREVISTA INT]],"VISTA","PRAZO")</f>
        <v>PRAZO</v>
      </c>
      <c r="Q196" s="14">
        <f>INT(TbRegistroEntradas[[#This Row],[DATA DO CAIXA PREVISTA]])</f>
        <v>43571</v>
      </c>
      <c r="R19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7" spans="2:18" x14ac:dyDescent="0.25">
      <c r="B197" s="14">
        <v>43590.006789576961</v>
      </c>
      <c r="C197" s="14">
        <v>43527</v>
      </c>
      <c r="D197" s="14">
        <v>43568.716482543525</v>
      </c>
      <c r="E197" t="s">
        <v>20</v>
      </c>
      <c r="F197" t="s">
        <v>37</v>
      </c>
      <c r="G197" t="s">
        <v>251</v>
      </c>
      <c r="H197" s="17">
        <v>517</v>
      </c>
      <c r="I197">
        <f>IF(TbRegistroEntradas[[#This Row],[DATA DO CAIXA REALIZADO]]="",0,MONTH(TbRegistroEntradas[[#This Row],[DATA DO CAIXA REALIZADO]]))</f>
        <v>5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COMPETENCIA]]="",0,MONTH(TbRegistroEntradas[[#This Row],[DATA DA COMPETENCIA]]))</f>
        <v>3</v>
      </c>
      <c r="L197">
        <f>IF(TbRegistroEntradas[[#This Row],[DATA DA COMPETENCIA]]="",0,YEAR(TbRegistroEntradas[[#This Row],[DATA DA COMPETENCIA]]))</f>
        <v>2019</v>
      </c>
      <c r="M197">
        <f>IF(TbRegistroEntradas[[#This Row],[DATA DO CAIXA PREVISTA]]="",0,MONTH(TbRegistroEntradas[[#This Row],[DATA DO CAIXA PREVISTA]]))</f>
        <v>4</v>
      </c>
      <c r="N197">
        <f>IF(TbRegistroEntradas[[#This Row],[DATA DO CAIXA PREVISTA]]="",0,YEAR(TbRegistroEntradas[[#This Row],[DATA DO CAIXA PREVISTA]]))</f>
        <v>2019</v>
      </c>
      <c r="O197" t="str">
        <f ca="1">IF(AND(TbRegistroEntradas[[#This Row],[DATA DO CAIXA PREVISTA]]&lt;TODAY(),TbRegistroEntradas[[#This Row],[DATA DO CAIXA REALIZADO]]=""),"Vencida","Não Vencida")</f>
        <v>Não Vencida</v>
      </c>
      <c r="P197" t="str">
        <f>IF(TbRegistroEntradas[[#This Row],[DATA DA COMPETENCIA]]=TbRegistroEntradas[[#This Row],[DATA DO CAIXA PREVISTA INT]],"VISTA","PRAZO")</f>
        <v>PRAZO</v>
      </c>
      <c r="Q197" s="14">
        <f>INT(TbRegistroEntradas[[#This Row],[DATA DO CAIXA PREVISTA]])</f>
        <v>43568</v>
      </c>
      <c r="R19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21.290307033435965</v>
      </c>
    </row>
    <row r="198" spans="2:18" x14ac:dyDescent="0.25">
      <c r="B198" s="14">
        <v>43563.221434488092</v>
      </c>
      <c r="C198" s="14">
        <v>43534</v>
      </c>
      <c r="D198" s="14">
        <v>43563.221434488092</v>
      </c>
      <c r="E198" t="s">
        <v>20</v>
      </c>
      <c r="F198" t="s">
        <v>37</v>
      </c>
      <c r="G198" t="s">
        <v>252</v>
      </c>
      <c r="H198" s="17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COMPETENCIA]]="",0,MONTH(TbRegistroEntradas[[#This Row],[DATA DA COMPETENCIA]]))</f>
        <v>3</v>
      </c>
      <c r="L198">
        <f>IF(TbRegistroEntradas[[#This Row],[DATA DA COMPETENCIA]]="",0,YEAR(TbRegistroEntradas[[#This Row],[DATA DA COMPETENCIA]]))</f>
        <v>2019</v>
      </c>
      <c r="M198">
        <f>IF(TbRegistroEntradas[[#This Row],[DATA DO CAIXA PREVISTA]]="",0,MONTH(TbRegistroEntradas[[#This Row],[DATA DO CAIXA PREVISTA]]))</f>
        <v>4</v>
      </c>
      <c r="N198">
        <f>IF(TbRegistroEntradas[[#This Row],[DATA DO CAIXA PREVISTA]]="",0,YEAR(TbRegistroEntradas[[#This Row],[DATA DO CAIXA PREVISTA]]))</f>
        <v>2019</v>
      </c>
      <c r="O198" t="str">
        <f ca="1">IF(AND(TbRegistroEntradas[[#This Row],[DATA DO CAIXA PREVISTA]]&lt;TODAY(),TbRegistroEntradas[[#This Row],[DATA DO CAIXA REALIZADO]]=""),"Vencida","Não Vencida")</f>
        <v>Não Vencida</v>
      </c>
      <c r="P198" t="str">
        <f>IF(TbRegistroEntradas[[#This Row],[DATA DA COMPETENCIA]]=TbRegistroEntradas[[#This Row],[DATA DO CAIXA PREVISTA INT]],"VISTA","PRAZO")</f>
        <v>PRAZO</v>
      </c>
      <c r="Q198" s="14">
        <f>INT(TbRegistroEntradas[[#This Row],[DATA DO CAIXA PREVISTA]])</f>
        <v>43563</v>
      </c>
      <c r="R19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199" spans="2:18" x14ac:dyDescent="0.25">
      <c r="B199" s="14">
        <v>43578.576921560554</v>
      </c>
      <c r="C199" s="14">
        <v>43537</v>
      </c>
      <c r="D199" s="14">
        <v>43578.576921560554</v>
      </c>
      <c r="E199" t="s">
        <v>20</v>
      </c>
      <c r="F199" t="s">
        <v>36</v>
      </c>
      <c r="G199" t="s">
        <v>253</v>
      </c>
      <c r="H199" s="17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COMPETENCIA]]="",0,MONTH(TbRegistroEntradas[[#This Row],[DATA DA COMPETENCIA]]))</f>
        <v>3</v>
      </c>
      <c r="L199">
        <f>IF(TbRegistroEntradas[[#This Row],[DATA DA COMPETENCIA]]="",0,YEAR(TbRegistroEntradas[[#This Row],[DATA DA COMPETENCIA]]))</f>
        <v>2019</v>
      </c>
      <c r="M199">
        <f>IF(TbRegistroEntradas[[#This Row],[DATA DO CAIXA PREVISTA]]="",0,MONTH(TbRegistroEntradas[[#This Row],[DATA DO CAIXA PREVISTA]]))</f>
        <v>4</v>
      </c>
      <c r="N199">
        <f>IF(TbRegistroEntradas[[#This Row],[DATA DO CAIXA PREVISTA]]="",0,YEAR(TbRegistroEntradas[[#This Row],[DATA DO CAIXA PREVISTA]]))</f>
        <v>2019</v>
      </c>
      <c r="O199" t="str">
        <f ca="1">IF(AND(TbRegistroEntradas[[#This Row],[DATA DO CAIXA PREVISTA]]&lt;TODAY(),TbRegistroEntradas[[#This Row],[DATA DO CAIXA REALIZADO]]=""),"Vencida","Não Vencida")</f>
        <v>Não Vencida</v>
      </c>
      <c r="P199" t="str">
        <f>IF(TbRegistroEntradas[[#This Row],[DATA DA COMPETENCIA]]=TbRegistroEntradas[[#This Row],[DATA DO CAIXA PREVISTA INT]],"VISTA","PRAZO")</f>
        <v>PRAZO</v>
      </c>
      <c r="Q199" s="14">
        <f>INT(TbRegistroEntradas[[#This Row],[DATA DO CAIXA PREVISTA]])</f>
        <v>43578</v>
      </c>
      <c r="R19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0" spans="2:18" x14ac:dyDescent="0.25">
      <c r="B200" s="14">
        <v>43555.68421267363</v>
      </c>
      <c r="C200" s="14">
        <v>43543</v>
      </c>
      <c r="D200" s="14">
        <v>43555.68421267363</v>
      </c>
      <c r="E200" t="s">
        <v>20</v>
      </c>
      <c r="F200" t="s">
        <v>38</v>
      </c>
      <c r="G200" t="s">
        <v>254</v>
      </c>
      <c r="H200" s="17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COMPETENCIA]]="",0,MONTH(TbRegistroEntradas[[#This Row],[DATA DA COMPETENCIA]]))</f>
        <v>3</v>
      </c>
      <c r="L200">
        <f>IF(TbRegistroEntradas[[#This Row],[DATA DA COMPETENCIA]]="",0,YEAR(TbRegistroEntradas[[#This Row],[DATA DA COMPETENCIA]]))</f>
        <v>2019</v>
      </c>
      <c r="M200">
        <f>IF(TbRegistroEntradas[[#This Row],[DATA DO CAIXA PREVISTA]]="",0,MONTH(TbRegistroEntradas[[#This Row],[DATA DO CAIXA PREVISTA]]))</f>
        <v>3</v>
      </c>
      <c r="N200">
        <f>IF(TbRegistroEntradas[[#This Row],[DATA DO CAIXA PREVISTA]]="",0,YEAR(TbRegistroEntradas[[#This Row],[DATA DO CAIXA PREVISTA]]))</f>
        <v>2019</v>
      </c>
      <c r="O200" t="str">
        <f ca="1">IF(AND(TbRegistroEntradas[[#This Row],[DATA DO CAIXA PREVISTA]]&lt;TODAY(),TbRegistroEntradas[[#This Row],[DATA DO CAIXA REALIZADO]]=""),"Vencida","Não Vencida")</f>
        <v>Não Vencida</v>
      </c>
      <c r="P200" t="str">
        <f>IF(TbRegistroEntradas[[#This Row],[DATA DA COMPETENCIA]]=TbRegistroEntradas[[#This Row],[DATA DO CAIXA PREVISTA INT]],"VISTA","PRAZO")</f>
        <v>PRAZO</v>
      </c>
      <c r="Q200" s="14">
        <f>INT(TbRegistroEntradas[[#This Row],[DATA DO CAIXA PREVISTA]])</f>
        <v>43555</v>
      </c>
      <c r="R20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1" spans="2:18" x14ac:dyDescent="0.25">
      <c r="B201" s="14">
        <v>43614.347330751698</v>
      </c>
      <c r="C201" s="14">
        <v>43545</v>
      </c>
      <c r="D201" s="14">
        <v>43559.473956858106</v>
      </c>
      <c r="E201" t="s">
        <v>20</v>
      </c>
      <c r="F201" t="s">
        <v>38</v>
      </c>
      <c r="G201" t="s">
        <v>255</v>
      </c>
      <c r="H201" s="17">
        <v>3849</v>
      </c>
      <c r="I201">
        <f>IF(TbRegistroEntradas[[#This Row],[DATA DO CAIXA REALIZADO]]="",0,MONTH(TbRegistroEntradas[[#This Row],[DATA DO CAIXA REALIZADO]]))</f>
        <v>5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COMPETENCIA]]="",0,MONTH(TbRegistroEntradas[[#This Row],[DATA DA COMPETENCIA]]))</f>
        <v>3</v>
      </c>
      <c r="L201">
        <f>IF(TbRegistroEntradas[[#This Row],[DATA DA COMPETENCIA]]="",0,YEAR(TbRegistroEntradas[[#This Row],[DATA DA COMPETENCIA]]))</f>
        <v>2019</v>
      </c>
      <c r="M201">
        <f>IF(TbRegistroEntradas[[#This Row],[DATA DO CAIXA PREVISTA]]="",0,MONTH(TbRegistroEntradas[[#This Row],[DATA DO CAIXA PREVISTA]]))</f>
        <v>4</v>
      </c>
      <c r="N201">
        <f>IF(TbRegistroEntradas[[#This Row],[DATA DO CAIXA PREVISTA]]="",0,YEAR(TbRegistroEntradas[[#This Row],[DATA DO CAIXA PREVISTA]]))</f>
        <v>2019</v>
      </c>
      <c r="O201" t="str">
        <f ca="1">IF(AND(TbRegistroEntradas[[#This Row],[DATA DO CAIXA PREVISTA]]&lt;TODAY(),TbRegistroEntradas[[#This Row],[DATA DO CAIXA REALIZADO]]=""),"Vencida","Não Vencida")</f>
        <v>Não Vencida</v>
      </c>
      <c r="P201" t="str">
        <f>IF(TbRegistroEntradas[[#This Row],[DATA DA COMPETENCIA]]=TbRegistroEntradas[[#This Row],[DATA DO CAIXA PREVISTA INT]],"VISTA","PRAZO")</f>
        <v>PRAZO</v>
      </c>
      <c r="Q201" s="14">
        <f>INT(TbRegistroEntradas[[#This Row],[DATA DO CAIXA PREVISTA]])</f>
        <v>43559</v>
      </c>
      <c r="R20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54.873373893591634</v>
      </c>
    </row>
    <row r="202" spans="2:18" x14ac:dyDescent="0.25">
      <c r="B202" s="14">
        <v>43622.661194715285</v>
      </c>
      <c r="C202" s="14">
        <v>43551</v>
      </c>
      <c r="D202" s="14">
        <v>43586.046958916726</v>
      </c>
      <c r="E202" t="s">
        <v>20</v>
      </c>
      <c r="F202" t="s">
        <v>23</v>
      </c>
      <c r="G202" t="s">
        <v>256</v>
      </c>
      <c r="H202" s="17">
        <v>4141</v>
      </c>
      <c r="I202">
        <f>IF(TbRegistroEntradas[[#This Row],[DATA DO CAIXA REALIZADO]]="",0,MONTH(TbRegistroEntradas[[#This Row],[DATA DO CAIXA REALIZADO]]))</f>
        <v>6</v>
      </c>
      <c r="J202">
        <f>IF(TbRegistroEntradas[[#This Row],[DATA DO CAIXA REALIZADO]]="",0,YEAR(TbRegistroEntradas[[#This Row],[DATA DO CAIXA REALIZADO]]))</f>
        <v>2019</v>
      </c>
      <c r="K202">
        <f>IF(TbRegistroEntradas[[#This Row],[DATA DA COMPETENCIA]]="",0,MONTH(TbRegistroEntradas[[#This Row],[DATA DA COMPETENCIA]]))</f>
        <v>3</v>
      </c>
      <c r="L202">
        <f>IF(TbRegistroEntradas[[#This Row],[DATA DA COMPETENCIA]]="",0,YEAR(TbRegistroEntradas[[#This Row],[DATA DA COMPETENCIA]]))</f>
        <v>2019</v>
      </c>
      <c r="M202">
        <f>IF(TbRegistroEntradas[[#This Row],[DATA DO CAIXA PREVISTA]]="",0,MONTH(TbRegistroEntradas[[#This Row],[DATA DO CAIXA PREVISTA]]))</f>
        <v>5</v>
      </c>
      <c r="N202">
        <f>IF(TbRegistroEntradas[[#This Row],[DATA DO CAIXA PREVISTA]]="",0,YEAR(TbRegistroEntradas[[#This Row],[DATA DO CAIXA PREVISTA]]))</f>
        <v>2019</v>
      </c>
      <c r="O202" t="str">
        <f ca="1">IF(AND(TbRegistroEntradas[[#This Row],[DATA DO CAIXA PREVISTA]]&lt;TODAY(),TbRegistroEntradas[[#This Row],[DATA DO CAIXA REALIZADO]]=""),"Vencida","Não Vencida")</f>
        <v>Não Vencida</v>
      </c>
      <c r="P202" t="str">
        <f>IF(TbRegistroEntradas[[#This Row],[DATA DA COMPETENCIA]]=TbRegistroEntradas[[#This Row],[DATA DO CAIXA PREVISTA INT]],"VISTA","PRAZO")</f>
        <v>PRAZO</v>
      </c>
      <c r="Q202" s="14">
        <f>INT(TbRegistroEntradas[[#This Row],[DATA DO CAIXA PREVISTA]])</f>
        <v>43586</v>
      </c>
      <c r="R20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36.614235798559093</v>
      </c>
    </row>
    <row r="203" spans="2:18" x14ac:dyDescent="0.25">
      <c r="B203" s="14" t="s">
        <v>68</v>
      </c>
      <c r="C203" s="14">
        <v>43552</v>
      </c>
      <c r="D203" s="14">
        <v>43586.891175257784</v>
      </c>
      <c r="E203" t="s">
        <v>20</v>
      </c>
      <c r="F203" t="s">
        <v>23</v>
      </c>
      <c r="G203" t="s">
        <v>257</v>
      </c>
      <c r="H203" s="17">
        <v>1348</v>
      </c>
      <c r="I203">
        <f>IF(TbRegistroEntradas[[#This Row],[DATA DO CAIXA REALIZADO]]="",0,MONTH(TbRegistroEntradas[[#This Row],[DATA DO CAIXA REALIZADO]]))</f>
        <v>0</v>
      </c>
      <c r="J203">
        <f>IF(TbRegistroEntradas[[#This Row],[DATA DO CAIXA REALIZADO]]="",0,YEAR(TbRegistroEntradas[[#This Row],[DATA DO CAIXA REALIZADO]]))</f>
        <v>0</v>
      </c>
      <c r="K203">
        <f>IF(TbRegistroEntradas[[#This Row],[DATA DA COMPETENCIA]]="",0,MONTH(TbRegistroEntradas[[#This Row],[DATA DA COMPETENCIA]]))</f>
        <v>3</v>
      </c>
      <c r="L203">
        <f>IF(TbRegistroEntradas[[#This Row],[DATA DA COMPETENCIA]]="",0,YEAR(TbRegistroEntradas[[#This Row],[DATA DA COMPETENCIA]]))</f>
        <v>2019</v>
      </c>
      <c r="M203">
        <f>IF(TbRegistroEntradas[[#This Row],[DATA DO CAIXA PREVISTA]]="",0,MONTH(TbRegistroEntradas[[#This Row],[DATA DO CAIXA PREVISTA]]))</f>
        <v>5</v>
      </c>
      <c r="N203">
        <f>IF(TbRegistroEntradas[[#This Row],[DATA DO CAIXA PREVISTA]]="",0,YEAR(TbRegistroEntradas[[#This Row],[DATA DO CAIXA PREVISTA]]))</f>
        <v>2019</v>
      </c>
      <c r="O203" t="str">
        <f ca="1">IF(AND(TbRegistroEntradas[[#This Row],[DATA DO CAIXA PREVISTA]]&lt;TODAY(),TbRegistroEntradas[[#This Row],[DATA DO CAIXA REALIZADO]]=""),"Vencida","Não Vencida")</f>
        <v>Vencida</v>
      </c>
      <c r="P203" t="str">
        <f>IF(TbRegistroEntradas[[#This Row],[DATA DA COMPETENCIA]]=TbRegistroEntradas[[#This Row],[DATA DO CAIXA PREVISTA INT]],"VISTA","PRAZO")</f>
        <v>PRAZO</v>
      </c>
      <c r="Q203" s="14">
        <f>INT(TbRegistroEntradas[[#This Row],[DATA DO CAIXA PREVISTA]])</f>
        <v>43586</v>
      </c>
      <c r="R20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204" spans="2:18" x14ac:dyDescent="0.25">
      <c r="B204" s="14">
        <v>43579.560843489548</v>
      </c>
      <c r="C204" s="14">
        <v>43558</v>
      </c>
      <c r="D204" s="14">
        <v>43579.560843489548</v>
      </c>
      <c r="E204" t="s">
        <v>20</v>
      </c>
      <c r="F204" t="s">
        <v>36</v>
      </c>
      <c r="G204" t="s">
        <v>258</v>
      </c>
      <c r="H204" s="17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COMPETENCIA]]="",0,MONTH(TbRegistroEntradas[[#This Row],[DATA DA COMPETENCIA]]))</f>
        <v>4</v>
      </c>
      <c r="L204">
        <f>IF(TbRegistroEntradas[[#This Row],[DATA DA COMPETENCIA]]="",0,YEAR(TbRegistroEntradas[[#This Row],[DATA DA COMPETENCIA]]))</f>
        <v>2019</v>
      </c>
      <c r="M204">
        <f>IF(TbRegistroEntradas[[#This Row],[DATA DO CAIXA PREVISTA]]="",0,MONTH(TbRegistroEntradas[[#This Row],[DATA DO CAIXA PREVISTA]]))</f>
        <v>4</v>
      </c>
      <c r="N204">
        <f>IF(TbRegistroEntradas[[#This Row],[DATA DO CAIXA PREVISTA]]="",0,YEAR(TbRegistroEntradas[[#This Row],[DATA DO CAIXA PREVISTA]]))</f>
        <v>2019</v>
      </c>
      <c r="O204" t="str">
        <f ca="1">IF(AND(TbRegistroEntradas[[#This Row],[DATA DO CAIXA PREVISTA]]&lt;TODAY(),TbRegistroEntradas[[#This Row],[DATA DO CAIXA REALIZADO]]=""),"Vencida","Não Vencida")</f>
        <v>Não Vencida</v>
      </c>
      <c r="P204" t="str">
        <f>IF(TbRegistroEntradas[[#This Row],[DATA DA COMPETENCIA]]=TbRegistroEntradas[[#This Row],[DATA DO CAIXA PREVISTA INT]],"VISTA","PRAZO")</f>
        <v>PRAZO</v>
      </c>
      <c r="Q204" s="14">
        <f>INT(TbRegistroEntradas[[#This Row],[DATA DO CAIXA PREVISTA]])</f>
        <v>43579</v>
      </c>
      <c r="R20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5" spans="2:18" x14ac:dyDescent="0.25">
      <c r="B205" s="14">
        <v>43616.927767605004</v>
      </c>
      <c r="C205" s="14">
        <v>43561</v>
      </c>
      <c r="D205" s="14">
        <v>43616.927767605004</v>
      </c>
      <c r="E205" t="s">
        <v>20</v>
      </c>
      <c r="F205" t="s">
        <v>36</v>
      </c>
      <c r="G205" t="s">
        <v>259</v>
      </c>
      <c r="H205" s="17">
        <v>732</v>
      </c>
      <c r="I205">
        <f>IF(TbRegistroEntradas[[#This Row],[DATA DO CAIXA REALIZADO]]="",0,MONTH(TbRegistroEntradas[[#This Row],[DATA DO CAIXA REALIZADO]]))</f>
        <v>5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COMPETENCIA]]="",0,MONTH(TbRegistroEntradas[[#This Row],[DATA DA COMPETENCIA]]))</f>
        <v>4</v>
      </c>
      <c r="L205">
        <f>IF(TbRegistroEntradas[[#This Row],[DATA DA COMPETENCIA]]="",0,YEAR(TbRegistroEntradas[[#This Row],[DATA DA COMPETENCIA]]))</f>
        <v>2019</v>
      </c>
      <c r="M205">
        <f>IF(TbRegistroEntradas[[#This Row],[DATA DO CAIXA PREVISTA]]="",0,MONTH(TbRegistroEntradas[[#This Row],[DATA DO CAIXA PREVISTA]]))</f>
        <v>5</v>
      </c>
      <c r="N205">
        <f>IF(TbRegistroEntradas[[#This Row],[DATA DO CAIXA PREVISTA]]="",0,YEAR(TbRegistroEntradas[[#This Row],[DATA DO CAIXA PREVISTA]]))</f>
        <v>2019</v>
      </c>
      <c r="O205" t="str">
        <f ca="1">IF(AND(TbRegistroEntradas[[#This Row],[DATA DO CAIXA PREVISTA]]&lt;TODAY(),TbRegistroEntradas[[#This Row],[DATA DO CAIXA REALIZADO]]=""),"Vencida","Não Vencida")</f>
        <v>Não Vencida</v>
      </c>
      <c r="P205" t="str">
        <f>IF(TbRegistroEntradas[[#This Row],[DATA DA COMPETENCIA]]=TbRegistroEntradas[[#This Row],[DATA DO CAIXA PREVISTA INT]],"VISTA","PRAZO")</f>
        <v>PRAZO</v>
      </c>
      <c r="Q205" s="14">
        <f>INT(TbRegistroEntradas[[#This Row],[DATA DO CAIXA PREVISTA]])</f>
        <v>43616</v>
      </c>
      <c r="R20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6" spans="2:18" x14ac:dyDescent="0.25">
      <c r="B206" s="14">
        <v>43625.82552449884</v>
      </c>
      <c r="C206" s="14">
        <v>43562</v>
      </c>
      <c r="D206" s="14">
        <v>43586.693447907084</v>
      </c>
      <c r="E206" t="s">
        <v>20</v>
      </c>
      <c r="F206" t="s">
        <v>23</v>
      </c>
      <c r="G206" t="s">
        <v>260</v>
      </c>
      <c r="H206" s="17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COMPETENCIA]]="",0,MONTH(TbRegistroEntradas[[#This Row],[DATA DA COMPETENCIA]]))</f>
        <v>4</v>
      </c>
      <c r="L206">
        <f>IF(TbRegistroEntradas[[#This Row],[DATA DA COMPETENCIA]]="",0,YEAR(TbRegistroEntradas[[#This Row],[DATA DA COMPETENCIA]]))</f>
        <v>2019</v>
      </c>
      <c r="M206">
        <f>IF(TbRegistroEntradas[[#This Row],[DATA DO CAIXA PREVISTA]]="",0,MONTH(TbRegistroEntradas[[#This Row],[DATA DO CAIXA PREVISTA]]))</f>
        <v>5</v>
      </c>
      <c r="N206">
        <f>IF(TbRegistroEntradas[[#This Row],[DATA DO CAIXA PREVISTA]]="",0,YEAR(TbRegistroEntradas[[#This Row],[DATA DO CAIXA PREVISTA]]))</f>
        <v>2019</v>
      </c>
      <c r="O206" t="str">
        <f ca="1">IF(AND(TbRegistroEntradas[[#This Row],[DATA DO CAIXA PREVISTA]]&lt;TODAY(),TbRegistroEntradas[[#This Row],[DATA DO CAIXA REALIZADO]]=""),"Vencida","Não Vencida")</f>
        <v>Não Vencida</v>
      </c>
      <c r="P206" t="str">
        <f>IF(TbRegistroEntradas[[#This Row],[DATA DA COMPETENCIA]]=TbRegistroEntradas[[#This Row],[DATA DO CAIXA PREVISTA INT]],"VISTA","PRAZO")</f>
        <v>PRAZO</v>
      </c>
      <c r="Q206" s="14">
        <f>INT(TbRegistroEntradas[[#This Row],[DATA DO CAIXA PREVISTA]])</f>
        <v>43586</v>
      </c>
      <c r="R20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39.132076591755322</v>
      </c>
    </row>
    <row r="207" spans="2:18" x14ac:dyDescent="0.25">
      <c r="B207" s="14">
        <v>43680.092544285042</v>
      </c>
      <c r="C207" s="14">
        <v>43564</v>
      </c>
      <c r="D207" s="14">
        <v>43609.201502582175</v>
      </c>
      <c r="E207" t="s">
        <v>20</v>
      </c>
      <c r="F207" t="s">
        <v>37</v>
      </c>
      <c r="G207" t="s">
        <v>261</v>
      </c>
      <c r="H207" s="17">
        <v>609</v>
      </c>
      <c r="I207">
        <f>IF(TbRegistroEntradas[[#This Row],[DATA DO CAIXA REALIZADO]]="",0,MONTH(TbRegistroEntradas[[#This Row],[DATA DO CAIXA REALIZADO]]))</f>
        <v>8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COMPETENCIA]]="",0,MONTH(TbRegistroEntradas[[#This Row],[DATA DA COMPETENCIA]]))</f>
        <v>4</v>
      </c>
      <c r="L207">
        <f>IF(TbRegistroEntradas[[#This Row],[DATA DA COMPETENCIA]]="",0,YEAR(TbRegistroEntradas[[#This Row],[DATA DA COMPETENCIA]]))</f>
        <v>2019</v>
      </c>
      <c r="M207">
        <f>IF(TbRegistroEntradas[[#This Row],[DATA DO CAIXA PREVISTA]]="",0,MONTH(TbRegistroEntradas[[#This Row],[DATA DO CAIXA PREVISTA]]))</f>
        <v>5</v>
      </c>
      <c r="N207">
        <f>IF(TbRegistroEntradas[[#This Row],[DATA DO CAIXA PREVISTA]]="",0,YEAR(TbRegistroEntradas[[#This Row],[DATA DO CAIXA PREVISTA]]))</f>
        <v>2019</v>
      </c>
      <c r="O207" t="str">
        <f ca="1">IF(AND(TbRegistroEntradas[[#This Row],[DATA DO CAIXA PREVISTA]]&lt;TODAY(),TbRegistroEntradas[[#This Row],[DATA DO CAIXA REALIZADO]]=""),"Vencida","Não Vencida")</f>
        <v>Não Vencida</v>
      </c>
      <c r="P207" t="str">
        <f>IF(TbRegistroEntradas[[#This Row],[DATA DA COMPETENCIA]]=TbRegistroEntradas[[#This Row],[DATA DO CAIXA PREVISTA INT]],"VISTA","PRAZO")</f>
        <v>PRAZO</v>
      </c>
      <c r="Q207" s="14">
        <f>INT(TbRegistroEntradas[[#This Row],[DATA DO CAIXA PREVISTA]])</f>
        <v>43609</v>
      </c>
      <c r="R20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70.891041702867369</v>
      </c>
    </row>
    <row r="208" spans="2:18" x14ac:dyDescent="0.25">
      <c r="B208" s="14">
        <v>43615.075827004257</v>
      </c>
      <c r="C208" s="14">
        <v>43567</v>
      </c>
      <c r="D208" s="14">
        <v>43615.075827004257</v>
      </c>
      <c r="E208" t="s">
        <v>20</v>
      </c>
      <c r="F208" t="s">
        <v>36</v>
      </c>
      <c r="G208" t="s">
        <v>262</v>
      </c>
      <c r="H208" s="17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COMPETENCIA]]="",0,MONTH(TbRegistroEntradas[[#This Row],[DATA DA COMPETENCIA]]))</f>
        <v>4</v>
      </c>
      <c r="L208">
        <f>IF(TbRegistroEntradas[[#This Row],[DATA DA COMPETENCIA]]="",0,YEAR(TbRegistroEntradas[[#This Row],[DATA DA COMPETENCIA]]))</f>
        <v>2019</v>
      </c>
      <c r="M208">
        <f>IF(TbRegistroEntradas[[#This Row],[DATA DO CAIXA PREVISTA]]="",0,MONTH(TbRegistroEntradas[[#This Row],[DATA DO CAIXA PREVISTA]]))</f>
        <v>5</v>
      </c>
      <c r="N208">
        <f>IF(TbRegistroEntradas[[#This Row],[DATA DO CAIXA PREVISTA]]="",0,YEAR(TbRegistroEntradas[[#This Row],[DATA DO CAIXA PREVISTA]]))</f>
        <v>2019</v>
      </c>
      <c r="O208" t="str">
        <f ca="1">IF(AND(TbRegistroEntradas[[#This Row],[DATA DO CAIXA PREVISTA]]&lt;TODAY(),TbRegistroEntradas[[#This Row],[DATA DO CAIXA REALIZADO]]=""),"Vencida","Não Vencida")</f>
        <v>Não Vencida</v>
      </c>
      <c r="P208" t="str">
        <f>IF(TbRegistroEntradas[[#This Row],[DATA DA COMPETENCIA]]=TbRegistroEntradas[[#This Row],[DATA DO CAIXA PREVISTA INT]],"VISTA","PRAZO")</f>
        <v>PRAZO</v>
      </c>
      <c r="Q208" s="14">
        <f>INT(TbRegistroEntradas[[#This Row],[DATA DO CAIXA PREVISTA]])</f>
        <v>43615</v>
      </c>
      <c r="R20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09" spans="2:18" x14ac:dyDescent="0.25">
      <c r="B209" s="14">
        <v>43570.769485626974</v>
      </c>
      <c r="C209" s="14">
        <v>43569</v>
      </c>
      <c r="D209" s="14">
        <v>43570.769485626974</v>
      </c>
      <c r="E209" t="s">
        <v>20</v>
      </c>
      <c r="F209" t="s">
        <v>37</v>
      </c>
      <c r="G209" t="s">
        <v>263</v>
      </c>
      <c r="H209" s="17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COMPETENCIA]]="",0,MONTH(TbRegistroEntradas[[#This Row],[DATA DA COMPETENCIA]]))</f>
        <v>4</v>
      </c>
      <c r="L209">
        <f>IF(TbRegistroEntradas[[#This Row],[DATA DA COMPETENCIA]]="",0,YEAR(TbRegistroEntradas[[#This Row],[DATA DA COMPETENCIA]]))</f>
        <v>2019</v>
      </c>
      <c r="M209">
        <f>IF(TbRegistroEntradas[[#This Row],[DATA DO CAIXA PREVISTA]]="",0,MONTH(TbRegistroEntradas[[#This Row],[DATA DO CAIXA PREVISTA]]))</f>
        <v>4</v>
      </c>
      <c r="N209">
        <f>IF(TbRegistroEntradas[[#This Row],[DATA DO CAIXA PREVISTA]]="",0,YEAR(TbRegistroEntradas[[#This Row],[DATA DO CAIXA PREVISTA]]))</f>
        <v>2019</v>
      </c>
      <c r="O209" t="str">
        <f ca="1">IF(AND(TbRegistroEntradas[[#This Row],[DATA DO CAIXA PREVISTA]]&lt;TODAY(),TbRegistroEntradas[[#This Row],[DATA DO CAIXA REALIZADO]]=""),"Vencida","Não Vencida")</f>
        <v>Não Vencida</v>
      </c>
      <c r="P209" t="str">
        <f>IF(TbRegistroEntradas[[#This Row],[DATA DA COMPETENCIA]]=TbRegistroEntradas[[#This Row],[DATA DO CAIXA PREVISTA INT]],"VISTA","PRAZO")</f>
        <v>PRAZO</v>
      </c>
      <c r="Q209" s="14">
        <f>INT(TbRegistroEntradas[[#This Row],[DATA DO CAIXA PREVISTA]])</f>
        <v>43570</v>
      </c>
      <c r="R20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0" spans="2:18" x14ac:dyDescent="0.25">
      <c r="B210" s="14">
        <v>43579.931861207129</v>
      </c>
      <c r="C210" s="14">
        <v>43573</v>
      </c>
      <c r="D210" s="14">
        <v>43579.931861207129</v>
      </c>
      <c r="E210" t="s">
        <v>20</v>
      </c>
      <c r="F210" t="s">
        <v>37</v>
      </c>
      <c r="G210" t="s">
        <v>264</v>
      </c>
      <c r="H210" s="17">
        <v>4797</v>
      </c>
      <c r="I210">
        <f>IF(TbRegistroEntradas[[#This Row],[DATA DO CAIXA REALIZADO]]="",0,MONTH(TbRegistroEntradas[[#This Row],[DATA DO CAIXA REALIZADO]]))</f>
        <v>4</v>
      </c>
      <c r="J210">
        <f>IF(TbRegistroEntradas[[#This Row],[DATA DO CAIXA REALIZADO]]="",0,YEAR(TbRegistroEntradas[[#This Row],[DATA DO CAIXA REALIZADO]]))</f>
        <v>2019</v>
      </c>
      <c r="K210">
        <f>IF(TbRegistroEntradas[[#This Row],[DATA DA COMPETENCIA]]="",0,MONTH(TbRegistroEntradas[[#This Row],[DATA DA COMPETENCIA]]))</f>
        <v>4</v>
      </c>
      <c r="L210">
        <f>IF(TbRegistroEntradas[[#This Row],[DATA DA COMPETENCIA]]="",0,YEAR(TbRegistroEntradas[[#This Row],[DATA DA COMPETENCIA]]))</f>
        <v>2019</v>
      </c>
      <c r="M210">
        <f>IF(TbRegistroEntradas[[#This Row],[DATA DO CAIXA PREVISTA]]="",0,MONTH(TbRegistroEntradas[[#This Row],[DATA DO CAIXA PREVISTA]]))</f>
        <v>4</v>
      </c>
      <c r="N210">
        <f>IF(TbRegistroEntradas[[#This Row],[DATA DO CAIXA PREVISTA]]="",0,YEAR(TbRegistroEntradas[[#This Row],[DATA DO CAIXA PREVISTA]]))</f>
        <v>2019</v>
      </c>
      <c r="O210" t="str">
        <f ca="1">IF(AND(TbRegistroEntradas[[#This Row],[DATA DO CAIXA PREVISTA]]&lt;TODAY(),TbRegistroEntradas[[#This Row],[DATA DO CAIXA REALIZADO]]=""),"Vencida","Não Vencida")</f>
        <v>Não Vencida</v>
      </c>
      <c r="P210" t="str">
        <f>IF(TbRegistroEntradas[[#This Row],[DATA DA COMPETENCIA]]=TbRegistroEntradas[[#This Row],[DATA DO CAIXA PREVISTA INT]],"VISTA","PRAZO")</f>
        <v>PRAZO</v>
      </c>
      <c r="Q210" s="14">
        <f>INT(TbRegistroEntradas[[#This Row],[DATA DO CAIXA PREVISTA]])</f>
        <v>43579</v>
      </c>
      <c r="R21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1" spans="2:18" x14ac:dyDescent="0.25">
      <c r="B211" s="14">
        <v>43598.937055888804</v>
      </c>
      <c r="C211" s="14">
        <v>43575</v>
      </c>
      <c r="D211" s="14">
        <v>43598.937055888804</v>
      </c>
      <c r="E211" t="s">
        <v>20</v>
      </c>
      <c r="F211" t="s">
        <v>38</v>
      </c>
      <c r="G211" t="s">
        <v>265</v>
      </c>
      <c r="H211" s="17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COMPETENCIA]]="",0,MONTH(TbRegistroEntradas[[#This Row],[DATA DA COMPETENCIA]]))</f>
        <v>4</v>
      </c>
      <c r="L211">
        <f>IF(TbRegistroEntradas[[#This Row],[DATA DA COMPETENCIA]]="",0,YEAR(TbRegistroEntradas[[#This Row],[DATA DA COMPETENCIA]]))</f>
        <v>2019</v>
      </c>
      <c r="M211">
        <f>IF(TbRegistroEntradas[[#This Row],[DATA DO CAIXA PREVISTA]]="",0,MONTH(TbRegistroEntradas[[#This Row],[DATA DO CAIXA PREVISTA]]))</f>
        <v>5</v>
      </c>
      <c r="N211">
        <f>IF(TbRegistroEntradas[[#This Row],[DATA DO CAIXA PREVISTA]]="",0,YEAR(TbRegistroEntradas[[#This Row],[DATA DO CAIXA PREVISTA]]))</f>
        <v>2019</v>
      </c>
      <c r="O211" t="str">
        <f ca="1">IF(AND(TbRegistroEntradas[[#This Row],[DATA DO CAIXA PREVISTA]]&lt;TODAY(),TbRegistroEntradas[[#This Row],[DATA DO CAIXA REALIZADO]]=""),"Vencida","Não Vencida")</f>
        <v>Não Vencida</v>
      </c>
      <c r="P211" t="str">
        <f>IF(TbRegistroEntradas[[#This Row],[DATA DA COMPETENCIA]]=TbRegistroEntradas[[#This Row],[DATA DO CAIXA PREVISTA INT]],"VISTA","PRAZO")</f>
        <v>PRAZO</v>
      </c>
      <c r="Q211" s="14">
        <f>INT(TbRegistroEntradas[[#This Row],[DATA DO CAIXA PREVISTA]])</f>
        <v>43598</v>
      </c>
      <c r="R21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2" spans="2:18" x14ac:dyDescent="0.25">
      <c r="B212" s="14">
        <v>43625.868579479997</v>
      </c>
      <c r="C212" s="14">
        <v>43582</v>
      </c>
      <c r="D212" s="14">
        <v>43625.868579479997</v>
      </c>
      <c r="E212" t="s">
        <v>20</v>
      </c>
      <c r="F212" t="s">
        <v>23</v>
      </c>
      <c r="G212" t="s">
        <v>266</v>
      </c>
      <c r="H212" s="17">
        <v>245</v>
      </c>
      <c r="I212">
        <f>IF(TbRegistroEntradas[[#This Row],[DATA DO CAIXA REALIZADO]]="",0,MONTH(TbRegistroEntradas[[#This Row],[DATA DO CAIXA REALIZADO]]))</f>
        <v>6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COMPETENCIA]]="",0,MONTH(TbRegistroEntradas[[#This Row],[DATA DA COMPETENCIA]]))</f>
        <v>4</v>
      </c>
      <c r="L212">
        <f>IF(TbRegistroEntradas[[#This Row],[DATA DA COMPETENCIA]]="",0,YEAR(TbRegistroEntradas[[#This Row],[DATA DA COMPETENCIA]]))</f>
        <v>2019</v>
      </c>
      <c r="M212">
        <f>IF(TbRegistroEntradas[[#This Row],[DATA DO CAIXA PREVISTA]]="",0,MONTH(TbRegistroEntradas[[#This Row],[DATA DO CAIXA PREVISTA]]))</f>
        <v>6</v>
      </c>
      <c r="N212">
        <f>IF(TbRegistroEntradas[[#This Row],[DATA DO CAIXA PREVISTA]]="",0,YEAR(TbRegistroEntradas[[#This Row],[DATA DO CAIXA PREVISTA]]))</f>
        <v>2019</v>
      </c>
      <c r="O212" t="str">
        <f ca="1">IF(AND(TbRegistroEntradas[[#This Row],[DATA DO CAIXA PREVISTA]]&lt;TODAY(),TbRegistroEntradas[[#This Row],[DATA DO CAIXA REALIZADO]]=""),"Vencida","Não Vencida")</f>
        <v>Não Vencida</v>
      </c>
      <c r="P212" t="str">
        <f>IF(TbRegistroEntradas[[#This Row],[DATA DA COMPETENCIA]]=TbRegistroEntradas[[#This Row],[DATA DO CAIXA PREVISTA INT]],"VISTA","PRAZO")</f>
        <v>PRAZO</v>
      </c>
      <c r="Q212" s="14">
        <f>INT(TbRegistroEntradas[[#This Row],[DATA DO CAIXA PREVISTA]])</f>
        <v>43625</v>
      </c>
      <c r="R21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3" spans="2:18" x14ac:dyDescent="0.25">
      <c r="B213" s="14">
        <v>43595.986786318994</v>
      </c>
      <c r="C213" s="14">
        <v>43584</v>
      </c>
      <c r="D213" s="14">
        <v>43595.986786318994</v>
      </c>
      <c r="E213" t="s">
        <v>20</v>
      </c>
      <c r="F213" t="s">
        <v>36</v>
      </c>
      <c r="G213" t="s">
        <v>267</v>
      </c>
      <c r="H213" s="17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COMPETENCIA]]="",0,MONTH(TbRegistroEntradas[[#This Row],[DATA DA COMPETENCIA]]))</f>
        <v>4</v>
      </c>
      <c r="L213">
        <f>IF(TbRegistroEntradas[[#This Row],[DATA DA COMPETENCIA]]="",0,YEAR(TbRegistroEntradas[[#This Row],[DATA DA COMPETENCIA]]))</f>
        <v>2019</v>
      </c>
      <c r="M213">
        <f>IF(TbRegistroEntradas[[#This Row],[DATA DO CAIXA PREVISTA]]="",0,MONTH(TbRegistroEntradas[[#This Row],[DATA DO CAIXA PREVISTA]]))</f>
        <v>5</v>
      </c>
      <c r="N213">
        <f>IF(TbRegistroEntradas[[#This Row],[DATA DO CAIXA PREVISTA]]="",0,YEAR(TbRegistroEntradas[[#This Row],[DATA DO CAIXA PREVISTA]]))</f>
        <v>2019</v>
      </c>
      <c r="O213" t="str">
        <f ca="1">IF(AND(TbRegistroEntradas[[#This Row],[DATA DO CAIXA PREVISTA]]&lt;TODAY(),TbRegistroEntradas[[#This Row],[DATA DO CAIXA REALIZADO]]=""),"Vencida","Não Vencida")</f>
        <v>Não Vencida</v>
      </c>
      <c r="P213" t="str">
        <f>IF(TbRegistroEntradas[[#This Row],[DATA DA COMPETENCIA]]=TbRegistroEntradas[[#This Row],[DATA DO CAIXA PREVISTA INT]],"VISTA","PRAZO")</f>
        <v>PRAZO</v>
      </c>
      <c r="Q213" s="14">
        <f>INT(TbRegistroEntradas[[#This Row],[DATA DO CAIXA PREVISTA]])</f>
        <v>43595</v>
      </c>
      <c r="R21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4" spans="2:18" x14ac:dyDescent="0.25">
      <c r="B214" s="14">
        <v>43594.434933470475</v>
      </c>
      <c r="C214" s="14">
        <v>43585</v>
      </c>
      <c r="D214" s="14">
        <v>43594.434933470475</v>
      </c>
      <c r="E214" t="s">
        <v>20</v>
      </c>
      <c r="F214" t="s">
        <v>36</v>
      </c>
      <c r="G214" t="s">
        <v>268</v>
      </c>
      <c r="H214" s="17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COMPETENCIA]]="",0,MONTH(TbRegistroEntradas[[#This Row],[DATA DA COMPETENCIA]]))</f>
        <v>4</v>
      </c>
      <c r="L214">
        <f>IF(TbRegistroEntradas[[#This Row],[DATA DA COMPETENCIA]]="",0,YEAR(TbRegistroEntradas[[#This Row],[DATA DA COMPETENCIA]]))</f>
        <v>2019</v>
      </c>
      <c r="M214">
        <f>IF(TbRegistroEntradas[[#This Row],[DATA DO CAIXA PREVISTA]]="",0,MONTH(TbRegistroEntradas[[#This Row],[DATA DO CAIXA PREVISTA]]))</f>
        <v>5</v>
      </c>
      <c r="N214">
        <f>IF(TbRegistroEntradas[[#This Row],[DATA DO CAIXA PREVISTA]]="",0,YEAR(TbRegistroEntradas[[#This Row],[DATA DO CAIXA PREVISTA]]))</f>
        <v>2019</v>
      </c>
      <c r="O214" t="str">
        <f ca="1">IF(AND(TbRegistroEntradas[[#This Row],[DATA DO CAIXA PREVISTA]]&lt;TODAY(),TbRegistroEntradas[[#This Row],[DATA DO CAIXA REALIZADO]]=""),"Vencida","Não Vencida")</f>
        <v>Não Vencida</v>
      </c>
      <c r="P214" t="str">
        <f>IF(TbRegistroEntradas[[#This Row],[DATA DA COMPETENCIA]]=TbRegistroEntradas[[#This Row],[DATA DO CAIXA PREVISTA INT]],"VISTA","PRAZO")</f>
        <v>PRAZO</v>
      </c>
      <c r="Q214" s="14">
        <f>INT(TbRegistroEntradas[[#This Row],[DATA DO CAIXA PREVISTA]])</f>
        <v>43594</v>
      </c>
      <c r="R21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5" spans="2:18" x14ac:dyDescent="0.25">
      <c r="B215" s="14">
        <v>43604.067998386839</v>
      </c>
      <c r="C215" s="14">
        <v>43587</v>
      </c>
      <c r="D215" s="14">
        <v>43604.067998386839</v>
      </c>
      <c r="E215" t="s">
        <v>20</v>
      </c>
      <c r="F215" t="s">
        <v>23</v>
      </c>
      <c r="G215" t="s">
        <v>269</v>
      </c>
      <c r="H215" s="17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COMPETENCIA]]="",0,MONTH(TbRegistroEntradas[[#This Row],[DATA DA COMPETENCIA]]))</f>
        <v>5</v>
      </c>
      <c r="L215">
        <f>IF(TbRegistroEntradas[[#This Row],[DATA DA COMPETENCIA]]="",0,YEAR(TbRegistroEntradas[[#This Row],[DATA DA COMPETENCIA]]))</f>
        <v>2019</v>
      </c>
      <c r="M215">
        <f>IF(TbRegistroEntradas[[#This Row],[DATA DO CAIXA PREVISTA]]="",0,MONTH(TbRegistroEntradas[[#This Row],[DATA DO CAIXA PREVISTA]]))</f>
        <v>5</v>
      </c>
      <c r="N215">
        <f>IF(TbRegistroEntradas[[#This Row],[DATA DO CAIXA PREVISTA]]="",0,YEAR(TbRegistroEntradas[[#This Row],[DATA DO CAIXA PREVISTA]]))</f>
        <v>2019</v>
      </c>
      <c r="O215" t="str">
        <f ca="1">IF(AND(TbRegistroEntradas[[#This Row],[DATA DO CAIXA PREVISTA]]&lt;TODAY(),TbRegistroEntradas[[#This Row],[DATA DO CAIXA REALIZADO]]=""),"Vencida","Não Vencida")</f>
        <v>Não Vencida</v>
      </c>
      <c r="P215" t="str">
        <f>IF(TbRegistroEntradas[[#This Row],[DATA DA COMPETENCIA]]=TbRegistroEntradas[[#This Row],[DATA DO CAIXA PREVISTA INT]],"VISTA","PRAZO")</f>
        <v>PRAZO</v>
      </c>
      <c r="Q215" s="14">
        <f>INT(TbRegistroEntradas[[#This Row],[DATA DO CAIXA PREVISTA]])</f>
        <v>43604</v>
      </c>
      <c r="R21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6" spans="2:18" x14ac:dyDescent="0.25">
      <c r="B216" s="14">
        <v>43626.576857263979</v>
      </c>
      <c r="C216" s="14">
        <v>43590</v>
      </c>
      <c r="D216" s="14">
        <v>43626.576857263979</v>
      </c>
      <c r="E216" t="s">
        <v>20</v>
      </c>
      <c r="F216" t="s">
        <v>36</v>
      </c>
      <c r="G216" t="s">
        <v>270</v>
      </c>
      <c r="H216" s="17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COMPETENCIA]]="",0,MONTH(TbRegistroEntradas[[#This Row],[DATA DA COMPETENCIA]]))</f>
        <v>5</v>
      </c>
      <c r="L216">
        <f>IF(TbRegistroEntradas[[#This Row],[DATA DA COMPETENCIA]]="",0,YEAR(TbRegistroEntradas[[#This Row],[DATA DA COMPETENCIA]]))</f>
        <v>2019</v>
      </c>
      <c r="M216">
        <f>IF(TbRegistroEntradas[[#This Row],[DATA DO CAIXA PREVISTA]]="",0,MONTH(TbRegistroEntradas[[#This Row],[DATA DO CAIXA PREVISTA]]))</f>
        <v>6</v>
      </c>
      <c r="N216">
        <f>IF(TbRegistroEntradas[[#This Row],[DATA DO CAIXA PREVISTA]]="",0,YEAR(TbRegistroEntradas[[#This Row],[DATA DO CAIXA PREVISTA]]))</f>
        <v>2019</v>
      </c>
      <c r="O216" t="str">
        <f ca="1">IF(AND(TbRegistroEntradas[[#This Row],[DATA DO CAIXA PREVISTA]]&lt;TODAY(),TbRegistroEntradas[[#This Row],[DATA DO CAIXA REALIZADO]]=""),"Vencida","Não Vencida")</f>
        <v>Não Vencida</v>
      </c>
      <c r="P216" t="str">
        <f>IF(TbRegistroEntradas[[#This Row],[DATA DA COMPETENCIA]]=TbRegistroEntradas[[#This Row],[DATA DO CAIXA PREVISTA INT]],"VISTA","PRAZO")</f>
        <v>PRAZO</v>
      </c>
      <c r="Q216" s="14">
        <f>INT(TbRegistroEntradas[[#This Row],[DATA DO CAIXA PREVISTA]])</f>
        <v>43626</v>
      </c>
      <c r="R21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7" spans="2:18" x14ac:dyDescent="0.25">
      <c r="B217" s="14">
        <v>43624.539951944804</v>
      </c>
      <c r="C217" s="14">
        <v>43592</v>
      </c>
      <c r="D217" s="14">
        <v>43609.115059144882</v>
      </c>
      <c r="E217" t="s">
        <v>20</v>
      </c>
      <c r="F217" t="s">
        <v>36</v>
      </c>
      <c r="G217" t="s">
        <v>271</v>
      </c>
      <c r="H217" s="17">
        <v>343</v>
      </c>
      <c r="I217">
        <f>IF(TbRegistroEntradas[[#This Row],[DATA DO CAIXA REALIZADO]]="",0,MONTH(TbRegistroEntradas[[#This Row],[DATA DO CAIXA REALIZADO]]))</f>
        <v>6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COMPETENCIA]]="",0,MONTH(TbRegistroEntradas[[#This Row],[DATA DA COMPETENCIA]]))</f>
        <v>5</v>
      </c>
      <c r="L217">
        <f>IF(TbRegistroEntradas[[#This Row],[DATA DA COMPETENCIA]]="",0,YEAR(TbRegistroEntradas[[#This Row],[DATA DA COMPETENCIA]]))</f>
        <v>2019</v>
      </c>
      <c r="M217">
        <f>IF(TbRegistroEntradas[[#This Row],[DATA DO CAIXA PREVISTA]]="",0,MONTH(TbRegistroEntradas[[#This Row],[DATA DO CAIXA PREVISTA]]))</f>
        <v>5</v>
      </c>
      <c r="N217">
        <f>IF(TbRegistroEntradas[[#This Row],[DATA DO CAIXA PREVISTA]]="",0,YEAR(TbRegistroEntradas[[#This Row],[DATA DO CAIXA PREVISTA]]))</f>
        <v>2019</v>
      </c>
      <c r="O217" t="str">
        <f ca="1">IF(AND(TbRegistroEntradas[[#This Row],[DATA DO CAIXA PREVISTA]]&lt;TODAY(),TbRegistroEntradas[[#This Row],[DATA DO CAIXA REALIZADO]]=""),"Vencida","Não Vencida")</f>
        <v>Não Vencida</v>
      </c>
      <c r="P217" t="str">
        <f>IF(TbRegistroEntradas[[#This Row],[DATA DA COMPETENCIA]]=TbRegistroEntradas[[#This Row],[DATA DO CAIXA PREVISTA INT]],"VISTA","PRAZO")</f>
        <v>PRAZO</v>
      </c>
      <c r="Q217" s="14">
        <f>INT(TbRegistroEntradas[[#This Row],[DATA DO CAIXA PREVISTA]])</f>
        <v>43609</v>
      </c>
      <c r="R21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15.424892799921508</v>
      </c>
    </row>
    <row r="218" spans="2:18" x14ac:dyDescent="0.25">
      <c r="B218" s="14">
        <v>43603.679990785502</v>
      </c>
      <c r="C218" s="14">
        <v>43593</v>
      </c>
      <c r="D218" s="14">
        <v>43603.679990785502</v>
      </c>
      <c r="E218" t="s">
        <v>20</v>
      </c>
      <c r="F218" t="s">
        <v>37</v>
      </c>
      <c r="G218" t="s">
        <v>272</v>
      </c>
      <c r="H218" s="17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COMPETENCIA]]="",0,MONTH(TbRegistroEntradas[[#This Row],[DATA DA COMPETENCIA]]))</f>
        <v>5</v>
      </c>
      <c r="L218">
        <f>IF(TbRegistroEntradas[[#This Row],[DATA DA COMPETENCIA]]="",0,YEAR(TbRegistroEntradas[[#This Row],[DATA DA COMPETENCIA]]))</f>
        <v>2019</v>
      </c>
      <c r="M218">
        <f>IF(TbRegistroEntradas[[#This Row],[DATA DO CAIXA PREVISTA]]="",0,MONTH(TbRegistroEntradas[[#This Row],[DATA DO CAIXA PREVISTA]]))</f>
        <v>5</v>
      </c>
      <c r="N218">
        <f>IF(TbRegistroEntradas[[#This Row],[DATA DO CAIXA PREVISTA]]="",0,YEAR(TbRegistroEntradas[[#This Row],[DATA DO CAIXA PREVISTA]]))</f>
        <v>2019</v>
      </c>
      <c r="O218" t="str">
        <f ca="1">IF(AND(TbRegistroEntradas[[#This Row],[DATA DO CAIXA PREVISTA]]&lt;TODAY(),TbRegistroEntradas[[#This Row],[DATA DO CAIXA REALIZADO]]=""),"Vencida","Não Vencida")</f>
        <v>Não Vencida</v>
      </c>
      <c r="P218" t="str">
        <f>IF(TbRegistroEntradas[[#This Row],[DATA DA COMPETENCIA]]=TbRegistroEntradas[[#This Row],[DATA DO CAIXA PREVISTA INT]],"VISTA","PRAZO")</f>
        <v>PRAZO</v>
      </c>
      <c r="Q218" s="14">
        <f>INT(TbRegistroEntradas[[#This Row],[DATA DO CAIXA PREVISTA]])</f>
        <v>43603</v>
      </c>
      <c r="R218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19" spans="2:18" x14ac:dyDescent="0.25">
      <c r="B219" s="14" t="s">
        <v>68</v>
      </c>
      <c r="C219" s="14">
        <v>43597</v>
      </c>
      <c r="D219" s="14">
        <v>43605.396059977378</v>
      </c>
      <c r="E219" t="s">
        <v>20</v>
      </c>
      <c r="F219" t="s">
        <v>36</v>
      </c>
      <c r="G219" t="s">
        <v>273</v>
      </c>
      <c r="H219" s="17">
        <v>667</v>
      </c>
      <c r="I219">
        <f>IF(TbRegistroEntradas[[#This Row],[DATA DO CAIXA REALIZADO]]="",0,MONTH(TbRegistroEntradas[[#This Row],[DATA DO CAIXA REALIZADO]]))</f>
        <v>0</v>
      </c>
      <c r="J219">
        <f>IF(TbRegistroEntradas[[#This Row],[DATA DO CAIXA REALIZADO]]="",0,YEAR(TbRegistroEntradas[[#This Row],[DATA DO CAIXA REALIZADO]]))</f>
        <v>0</v>
      </c>
      <c r="K219">
        <f>IF(TbRegistroEntradas[[#This Row],[DATA DA COMPETENCIA]]="",0,MONTH(TbRegistroEntradas[[#This Row],[DATA DA COMPETENCIA]]))</f>
        <v>5</v>
      </c>
      <c r="L219">
        <f>IF(TbRegistroEntradas[[#This Row],[DATA DA COMPETENCIA]]="",0,YEAR(TbRegistroEntradas[[#This Row],[DATA DA COMPETENCIA]]))</f>
        <v>2019</v>
      </c>
      <c r="M219">
        <f>IF(TbRegistroEntradas[[#This Row],[DATA DO CAIXA PREVISTA]]="",0,MONTH(TbRegistroEntradas[[#This Row],[DATA DO CAIXA PREVISTA]]))</f>
        <v>5</v>
      </c>
      <c r="N219">
        <f>IF(TbRegistroEntradas[[#This Row],[DATA DO CAIXA PREVISTA]]="",0,YEAR(TbRegistroEntradas[[#This Row],[DATA DO CAIXA PREVISTA]]))</f>
        <v>2019</v>
      </c>
      <c r="O219" t="str">
        <f ca="1">IF(AND(TbRegistroEntradas[[#This Row],[DATA DO CAIXA PREVISTA]]&lt;TODAY(),TbRegistroEntradas[[#This Row],[DATA DO CAIXA REALIZADO]]=""),"Vencida","Não Vencida")</f>
        <v>Vencida</v>
      </c>
      <c r="P219" t="str">
        <f>IF(TbRegistroEntradas[[#This Row],[DATA DA COMPETENCIA]]=TbRegistroEntradas[[#This Row],[DATA DO CAIXA PREVISTA INT]],"VISTA","PRAZO")</f>
        <v>PRAZO</v>
      </c>
      <c r="Q219" s="14">
        <f>INT(TbRegistroEntradas[[#This Row],[DATA DO CAIXA PREVISTA]])</f>
        <v>43605</v>
      </c>
      <c r="R219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220" spans="2:18" x14ac:dyDescent="0.25">
      <c r="B220" s="14">
        <v>43631.169319753048</v>
      </c>
      <c r="C220" s="14">
        <v>43600</v>
      </c>
      <c r="D220" s="14">
        <v>43631.169319753048</v>
      </c>
      <c r="E220" t="s">
        <v>20</v>
      </c>
      <c r="F220" t="s">
        <v>36</v>
      </c>
      <c r="G220" t="s">
        <v>274</v>
      </c>
      <c r="H220" s="17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COMPETENCIA]]="",0,MONTH(TbRegistroEntradas[[#This Row],[DATA DA COMPETENCIA]]))</f>
        <v>5</v>
      </c>
      <c r="L220">
        <f>IF(TbRegistroEntradas[[#This Row],[DATA DA COMPETENCIA]]="",0,YEAR(TbRegistroEntradas[[#This Row],[DATA DA COMPETENCIA]]))</f>
        <v>2019</v>
      </c>
      <c r="M220">
        <f>IF(TbRegistroEntradas[[#This Row],[DATA DO CAIXA PREVISTA]]="",0,MONTH(TbRegistroEntradas[[#This Row],[DATA DO CAIXA PREVISTA]]))</f>
        <v>6</v>
      </c>
      <c r="N220">
        <f>IF(TbRegistroEntradas[[#This Row],[DATA DO CAIXA PREVISTA]]="",0,YEAR(TbRegistroEntradas[[#This Row],[DATA DO CAIXA PREVISTA]]))</f>
        <v>2019</v>
      </c>
      <c r="O220" t="str">
        <f ca="1">IF(AND(TbRegistroEntradas[[#This Row],[DATA DO CAIXA PREVISTA]]&lt;TODAY(),TbRegistroEntradas[[#This Row],[DATA DO CAIXA REALIZADO]]=""),"Vencida","Não Vencida")</f>
        <v>Não Vencida</v>
      </c>
      <c r="P220" t="str">
        <f>IF(TbRegistroEntradas[[#This Row],[DATA DA COMPETENCIA]]=TbRegistroEntradas[[#This Row],[DATA DO CAIXA PREVISTA INT]],"VISTA","PRAZO")</f>
        <v>PRAZO</v>
      </c>
      <c r="Q220" s="14">
        <f>INT(TbRegistroEntradas[[#This Row],[DATA DO CAIXA PREVISTA]])</f>
        <v>43631</v>
      </c>
      <c r="R22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21" spans="2:18" x14ac:dyDescent="0.25">
      <c r="B221" s="14">
        <v>43686.642670066765</v>
      </c>
      <c r="C221" s="14">
        <v>43604</v>
      </c>
      <c r="D221" s="14">
        <v>43635.878098777197</v>
      </c>
      <c r="E221" t="s">
        <v>20</v>
      </c>
      <c r="F221" t="s">
        <v>23</v>
      </c>
      <c r="G221" t="s">
        <v>275</v>
      </c>
      <c r="H221" s="17">
        <v>1071</v>
      </c>
      <c r="I221">
        <f>IF(TbRegistroEntradas[[#This Row],[DATA DO CAIXA REALIZADO]]="",0,MONTH(TbRegistroEntradas[[#This Row],[DATA DO CAIXA REALIZADO]]))</f>
        <v>8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COMPETENCIA]]="",0,MONTH(TbRegistroEntradas[[#This Row],[DATA DA COMPETENCIA]]))</f>
        <v>5</v>
      </c>
      <c r="L221">
        <f>IF(TbRegistroEntradas[[#This Row],[DATA DA COMPETENCIA]]="",0,YEAR(TbRegistroEntradas[[#This Row],[DATA DA COMPETENCIA]]))</f>
        <v>2019</v>
      </c>
      <c r="M221">
        <f>IF(TbRegistroEntradas[[#This Row],[DATA DO CAIXA PREVISTA]]="",0,MONTH(TbRegistroEntradas[[#This Row],[DATA DO CAIXA PREVISTA]]))</f>
        <v>6</v>
      </c>
      <c r="N221">
        <f>IF(TbRegistroEntradas[[#This Row],[DATA DO CAIXA PREVISTA]]="",0,YEAR(TbRegistroEntradas[[#This Row],[DATA DO CAIXA PREVISTA]]))</f>
        <v>2019</v>
      </c>
      <c r="O221" t="str">
        <f ca="1">IF(AND(TbRegistroEntradas[[#This Row],[DATA DO CAIXA PREVISTA]]&lt;TODAY(),TbRegistroEntradas[[#This Row],[DATA DO CAIXA REALIZADO]]=""),"Vencida","Não Vencida")</f>
        <v>Não Vencida</v>
      </c>
      <c r="P221" t="str">
        <f>IF(TbRegistroEntradas[[#This Row],[DATA DA COMPETENCIA]]=TbRegistroEntradas[[#This Row],[DATA DO CAIXA PREVISTA INT]],"VISTA","PRAZO")</f>
        <v>PRAZO</v>
      </c>
      <c r="Q221" s="14">
        <f>INT(TbRegistroEntradas[[#This Row],[DATA DO CAIXA PREVISTA]])</f>
        <v>43635</v>
      </c>
      <c r="R22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50.764571289568266</v>
      </c>
    </row>
    <row r="222" spans="2:18" x14ac:dyDescent="0.25">
      <c r="B222" s="14">
        <v>43630.288414733965</v>
      </c>
      <c r="C222" s="14">
        <v>43609</v>
      </c>
      <c r="D222" s="14">
        <v>43630.288414733965</v>
      </c>
      <c r="E222" t="s">
        <v>20</v>
      </c>
      <c r="F222" t="s">
        <v>38</v>
      </c>
      <c r="G222" t="s">
        <v>276</v>
      </c>
      <c r="H222" s="17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COMPETENCIA]]="",0,MONTH(TbRegistroEntradas[[#This Row],[DATA DA COMPETENCIA]]))</f>
        <v>5</v>
      </c>
      <c r="L222">
        <f>IF(TbRegistroEntradas[[#This Row],[DATA DA COMPETENCIA]]="",0,YEAR(TbRegistroEntradas[[#This Row],[DATA DA COMPETENCIA]]))</f>
        <v>2019</v>
      </c>
      <c r="M222">
        <f>IF(TbRegistroEntradas[[#This Row],[DATA DO CAIXA PREVISTA]]="",0,MONTH(TbRegistroEntradas[[#This Row],[DATA DO CAIXA PREVISTA]]))</f>
        <v>6</v>
      </c>
      <c r="N222">
        <f>IF(TbRegistroEntradas[[#This Row],[DATA DO CAIXA PREVISTA]]="",0,YEAR(TbRegistroEntradas[[#This Row],[DATA DO CAIXA PREVISTA]]))</f>
        <v>2019</v>
      </c>
      <c r="O222" t="str">
        <f ca="1">IF(AND(TbRegistroEntradas[[#This Row],[DATA DO CAIXA PREVISTA]]&lt;TODAY(),TbRegistroEntradas[[#This Row],[DATA DO CAIXA REALIZADO]]=""),"Vencida","Não Vencida")</f>
        <v>Não Vencida</v>
      </c>
      <c r="P222" t="str">
        <f>IF(TbRegistroEntradas[[#This Row],[DATA DA COMPETENCIA]]=TbRegistroEntradas[[#This Row],[DATA DO CAIXA PREVISTA INT]],"VISTA","PRAZO")</f>
        <v>PRAZO</v>
      </c>
      <c r="Q222" s="14">
        <f>INT(TbRegistroEntradas[[#This Row],[DATA DO CAIXA PREVISTA]])</f>
        <v>43630</v>
      </c>
      <c r="R22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23" spans="2:18" x14ac:dyDescent="0.25">
      <c r="B223" s="14">
        <v>43611.846709635254</v>
      </c>
      <c r="C223" s="14">
        <v>43611</v>
      </c>
      <c r="D223" s="14">
        <v>43611.846709635254</v>
      </c>
      <c r="E223" t="s">
        <v>20</v>
      </c>
      <c r="F223" t="s">
        <v>36</v>
      </c>
      <c r="G223" t="s">
        <v>277</v>
      </c>
      <c r="H223" s="17">
        <v>2531</v>
      </c>
      <c r="I223">
        <f>IF(TbRegistroEntradas[[#This Row],[DATA DO CAIXA REALIZADO]]="",0,MONTH(TbRegistroEntradas[[#This Row],[DATA DO CAIXA REALIZADO]]))</f>
        <v>5</v>
      </c>
      <c r="J223">
        <f>IF(TbRegistroEntradas[[#This Row],[DATA DO CAIXA REALIZADO]]="",0,YEAR(TbRegistroEntradas[[#This Row],[DATA DO CAIXA REALIZADO]]))</f>
        <v>2019</v>
      </c>
      <c r="K223">
        <f>IF(TbRegistroEntradas[[#This Row],[DATA DA COMPETENCIA]]="",0,MONTH(TbRegistroEntradas[[#This Row],[DATA DA COMPETENCIA]]))</f>
        <v>5</v>
      </c>
      <c r="L223">
        <f>IF(TbRegistroEntradas[[#This Row],[DATA DA COMPETENCIA]]="",0,YEAR(TbRegistroEntradas[[#This Row],[DATA DA COMPETENCIA]]))</f>
        <v>2019</v>
      </c>
      <c r="M223">
        <f>IF(TbRegistroEntradas[[#This Row],[DATA DO CAIXA PREVISTA]]="",0,MONTH(TbRegistroEntradas[[#This Row],[DATA DO CAIXA PREVISTA]]))</f>
        <v>5</v>
      </c>
      <c r="N223">
        <f>IF(TbRegistroEntradas[[#This Row],[DATA DO CAIXA PREVISTA]]="",0,YEAR(TbRegistroEntradas[[#This Row],[DATA DO CAIXA PREVISTA]]))</f>
        <v>2019</v>
      </c>
      <c r="O223" t="str">
        <f ca="1">IF(AND(TbRegistroEntradas[[#This Row],[DATA DO CAIXA PREVISTA]]&lt;TODAY(),TbRegistroEntradas[[#This Row],[DATA DO CAIXA REALIZADO]]=""),"Vencida","Não Vencida")</f>
        <v>Não Vencida</v>
      </c>
      <c r="P223" t="str">
        <f>IF(TbRegistroEntradas[[#This Row],[DATA DA COMPETENCIA]]=TbRegistroEntradas[[#This Row],[DATA DO CAIXA PREVISTA INT]],"VISTA","PRAZO")</f>
        <v>VISTA</v>
      </c>
      <c r="Q223" s="14">
        <f>INT(TbRegistroEntradas[[#This Row],[DATA DO CAIXA PREVISTA]])</f>
        <v>43611</v>
      </c>
      <c r="R223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24" spans="2:18" x14ac:dyDescent="0.25">
      <c r="B224" s="14">
        <v>43708.684678024969</v>
      </c>
      <c r="C224" s="14">
        <v>43614</v>
      </c>
      <c r="D224" s="14">
        <v>43655.218374780801</v>
      </c>
      <c r="E224" t="s">
        <v>20</v>
      </c>
      <c r="F224" t="s">
        <v>37</v>
      </c>
      <c r="G224" t="s">
        <v>278</v>
      </c>
      <c r="H224" s="17">
        <v>657</v>
      </c>
      <c r="I224">
        <f>IF(TbRegistroEntradas[[#This Row],[DATA DO CAIXA REALIZADO]]="",0,MONTH(TbRegistroEntradas[[#This Row],[DATA DO CAIXA REALIZADO]]))</f>
        <v>8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COMPETENCIA]]="",0,MONTH(TbRegistroEntradas[[#This Row],[DATA DA COMPETENCIA]]))</f>
        <v>5</v>
      </c>
      <c r="L224">
        <f>IF(TbRegistroEntradas[[#This Row],[DATA DA COMPETENCIA]]="",0,YEAR(TbRegistroEntradas[[#This Row],[DATA DA COMPETENCIA]]))</f>
        <v>2019</v>
      </c>
      <c r="M224">
        <f>IF(TbRegistroEntradas[[#This Row],[DATA DO CAIXA PREVISTA]]="",0,MONTH(TbRegistroEntradas[[#This Row],[DATA DO CAIXA PREVISTA]]))</f>
        <v>7</v>
      </c>
      <c r="N224">
        <f>IF(TbRegistroEntradas[[#This Row],[DATA DO CAIXA PREVISTA]]="",0,YEAR(TbRegistroEntradas[[#This Row],[DATA DO CAIXA PREVISTA]]))</f>
        <v>2019</v>
      </c>
      <c r="O224" t="str">
        <f ca="1">IF(AND(TbRegistroEntradas[[#This Row],[DATA DO CAIXA PREVISTA]]&lt;TODAY(),TbRegistroEntradas[[#This Row],[DATA DO CAIXA REALIZADO]]=""),"Vencida","Não Vencida")</f>
        <v>Não Vencida</v>
      </c>
      <c r="P224" t="str">
        <f>IF(TbRegistroEntradas[[#This Row],[DATA DA COMPETENCIA]]=TbRegistroEntradas[[#This Row],[DATA DO CAIXA PREVISTA INT]],"VISTA","PRAZO")</f>
        <v>PRAZO</v>
      </c>
      <c r="Q224" s="14">
        <f>INT(TbRegistroEntradas[[#This Row],[DATA DO CAIXA PREVISTA]])</f>
        <v>43655</v>
      </c>
      <c r="R22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53.466303244167648</v>
      </c>
    </row>
    <row r="225" spans="2:18" x14ac:dyDescent="0.25">
      <c r="B225" s="14">
        <v>43648.175451286195</v>
      </c>
      <c r="C225" s="14">
        <v>43615</v>
      </c>
      <c r="D225" s="14">
        <v>43648.175451286195</v>
      </c>
      <c r="E225" t="s">
        <v>20</v>
      </c>
      <c r="F225" t="s">
        <v>46</v>
      </c>
      <c r="G225" t="s">
        <v>279</v>
      </c>
      <c r="H225" s="17">
        <v>4535</v>
      </c>
      <c r="I225">
        <f>IF(TbRegistroEntradas[[#This Row],[DATA DO CAIXA REALIZADO]]="",0,MONTH(TbRegistroEntradas[[#This Row],[DATA DO CAIXA REALIZADO]]))</f>
        <v>7</v>
      </c>
      <c r="J225">
        <f>IF(TbRegistroEntradas[[#This Row],[DATA DO CAIXA REALIZADO]]="",0,YEAR(TbRegistroEntradas[[#This Row],[DATA DO CAIXA REALIZADO]]))</f>
        <v>2019</v>
      </c>
      <c r="K225">
        <f>IF(TbRegistroEntradas[[#This Row],[DATA DA COMPETENCIA]]="",0,MONTH(TbRegistroEntradas[[#This Row],[DATA DA COMPETENCIA]]))</f>
        <v>5</v>
      </c>
      <c r="L225">
        <f>IF(TbRegistroEntradas[[#This Row],[DATA DA COMPETENCIA]]="",0,YEAR(TbRegistroEntradas[[#This Row],[DATA DA COMPETENCIA]]))</f>
        <v>2019</v>
      </c>
      <c r="M225">
        <f>IF(TbRegistroEntradas[[#This Row],[DATA DO CAIXA PREVISTA]]="",0,MONTH(TbRegistroEntradas[[#This Row],[DATA DO CAIXA PREVISTA]]))</f>
        <v>7</v>
      </c>
      <c r="N225">
        <f>IF(TbRegistroEntradas[[#This Row],[DATA DO CAIXA PREVISTA]]="",0,YEAR(TbRegistroEntradas[[#This Row],[DATA DO CAIXA PREVISTA]]))</f>
        <v>2019</v>
      </c>
      <c r="O225" t="str">
        <f ca="1">IF(AND(TbRegistroEntradas[[#This Row],[DATA DO CAIXA PREVISTA]]&lt;TODAY(),TbRegistroEntradas[[#This Row],[DATA DO CAIXA REALIZADO]]=""),"Vencida","Não Vencida")</f>
        <v>Não Vencida</v>
      </c>
      <c r="P225" t="str">
        <f>IF(TbRegistroEntradas[[#This Row],[DATA DA COMPETENCIA]]=TbRegistroEntradas[[#This Row],[DATA DO CAIXA PREVISTA INT]],"VISTA","PRAZO")</f>
        <v>PRAZO</v>
      </c>
      <c r="Q225" s="14">
        <f>INT(TbRegistroEntradas[[#This Row],[DATA DO CAIXA PREVISTA]])</f>
        <v>43648</v>
      </c>
      <c r="R225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26" spans="2:18" x14ac:dyDescent="0.25">
      <c r="B226" s="14">
        <v>43667.504857748412</v>
      </c>
      <c r="C226" s="14">
        <v>43620</v>
      </c>
      <c r="D226" s="14">
        <v>43641.616865332398</v>
      </c>
      <c r="E226" t="s">
        <v>20</v>
      </c>
      <c r="F226" t="s">
        <v>36</v>
      </c>
      <c r="G226" t="s">
        <v>280</v>
      </c>
      <c r="H226" s="17">
        <v>1848</v>
      </c>
      <c r="I226">
        <f>IF(TbRegistroEntradas[[#This Row],[DATA DO CAIXA REALIZADO]]="",0,MONTH(TbRegistroEntradas[[#This Row],[DATA DO CAIXA REALIZADO]]))</f>
        <v>7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COMPETENCIA]]="",0,MONTH(TbRegistroEntradas[[#This Row],[DATA DA COMPETENCIA]]))</f>
        <v>6</v>
      </c>
      <c r="L226">
        <f>IF(TbRegistroEntradas[[#This Row],[DATA DA COMPETENCIA]]="",0,YEAR(TbRegistroEntradas[[#This Row],[DATA DA COMPETENCIA]]))</f>
        <v>2019</v>
      </c>
      <c r="M226">
        <f>IF(TbRegistroEntradas[[#This Row],[DATA DO CAIXA PREVISTA]]="",0,MONTH(TbRegistroEntradas[[#This Row],[DATA DO CAIXA PREVISTA]]))</f>
        <v>6</v>
      </c>
      <c r="N226">
        <f>IF(TbRegistroEntradas[[#This Row],[DATA DO CAIXA PREVISTA]]="",0,YEAR(TbRegistroEntradas[[#This Row],[DATA DO CAIXA PREVISTA]]))</f>
        <v>2019</v>
      </c>
      <c r="O226" t="str">
        <f ca="1">IF(AND(TbRegistroEntradas[[#This Row],[DATA DO CAIXA PREVISTA]]&lt;TODAY(),TbRegistroEntradas[[#This Row],[DATA DO CAIXA REALIZADO]]=""),"Vencida","Não Vencida")</f>
        <v>Não Vencida</v>
      </c>
      <c r="P226" t="str">
        <f>IF(TbRegistroEntradas[[#This Row],[DATA DA COMPETENCIA]]=TbRegistroEntradas[[#This Row],[DATA DO CAIXA PREVISTA INT]],"VISTA","PRAZO")</f>
        <v>PRAZO</v>
      </c>
      <c r="Q226" s="14">
        <f>INT(TbRegistroEntradas[[#This Row],[DATA DO CAIXA PREVISTA]])</f>
        <v>43641</v>
      </c>
      <c r="R226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25.887992416013731</v>
      </c>
    </row>
    <row r="227" spans="2:18" x14ac:dyDescent="0.25">
      <c r="B227" s="14">
        <v>43633.202763509209</v>
      </c>
      <c r="C227" s="14">
        <v>43625</v>
      </c>
      <c r="D227" s="14">
        <v>43632.847420047961</v>
      </c>
      <c r="E227" t="s">
        <v>20</v>
      </c>
      <c r="F227" t="s">
        <v>36</v>
      </c>
      <c r="G227" t="s">
        <v>281</v>
      </c>
      <c r="H227" s="17">
        <v>191</v>
      </c>
      <c r="I227">
        <f>IF(TbRegistroEntradas[[#This Row],[DATA DO CAIXA REALIZADO]]="",0,MONTH(TbRegistroEntradas[[#This Row],[DATA DO CAIXA REALIZADO]]))</f>
        <v>6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COMPETENCIA]]="",0,MONTH(TbRegistroEntradas[[#This Row],[DATA DA COMPETENCIA]]))</f>
        <v>6</v>
      </c>
      <c r="L227">
        <f>IF(TbRegistroEntradas[[#This Row],[DATA DA COMPETENCIA]]="",0,YEAR(TbRegistroEntradas[[#This Row],[DATA DA COMPETENCIA]]))</f>
        <v>2019</v>
      </c>
      <c r="M227">
        <f>IF(TbRegistroEntradas[[#This Row],[DATA DO CAIXA PREVISTA]]="",0,MONTH(TbRegistroEntradas[[#This Row],[DATA DO CAIXA PREVISTA]]))</f>
        <v>6</v>
      </c>
      <c r="N227">
        <f>IF(TbRegistroEntradas[[#This Row],[DATA DO CAIXA PREVISTA]]="",0,YEAR(TbRegistroEntradas[[#This Row],[DATA DO CAIXA PREVISTA]]))</f>
        <v>2019</v>
      </c>
      <c r="O227" t="str">
        <f ca="1">IF(AND(TbRegistroEntradas[[#This Row],[DATA DO CAIXA PREVISTA]]&lt;TODAY(),TbRegistroEntradas[[#This Row],[DATA DO CAIXA REALIZADO]]=""),"Vencida","Não Vencida")</f>
        <v>Não Vencida</v>
      </c>
      <c r="P227" t="str">
        <f>IF(TbRegistroEntradas[[#This Row],[DATA DA COMPETENCIA]]=TbRegistroEntradas[[#This Row],[DATA DO CAIXA PREVISTA INT]],"VISTA","PRAZO")</f>
        <v>PRAZO</v>
      </c>
      <c r="Q227" s="14">
        <f>INT(TbRegistroEntradas[[#This Row],[DATA DO CAIXA PREVISTA]])</f>
        <v>43632</v>
      </c>
      <c r="R227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0.3553434612476849</v>
      </c>
    </row>
    <row r="228" spans="2:18" x14ac:dyDescent="0.25">
      <c r="B228" s="14" t="s">
        <v>68</v>
      </c>
      <c r="C228" s="14">
        <v>43629</v>
      </c>
      <c r="D228" s="14">
        <v>43668.924870501287</v>
      </c>
      <c r="E228" t="s">
        <v>20</v>
      </c>
      <c r="F228" t="s">
        <v>46</v>
      </c>
      <c r="G228" t="s">
        <v>282</v>
      </c>
      <c r="H228" s="17">
        <v>508</v>
      </c>
      <c r="I228">
        <f>IF(TbRegistroEntradas[[#This Row],[DATA DO CAIXA REALIZADO]]="",0,MONTH(TbRegistroEntradas[[#This Row],[DATA DO CAIXA REALIZADO]]))</f>
        <v>0</v>
      </c>
      <c r="J228">
        <f>IF(TbRegistroEntradas[[#This Row],[DATA DO CAIXA REALIZADO]]="",0,YEAR(TbRegistroEntradas[[#This Row],[DATA DO CAIXA REALIZADO]]))</f>
        <v>0</v>
      </c>
      <c r="K228">
        <f>IF(TbRegistroEntradas[[#This Row],[DATA DA COMPETENCIA]]="",0,MONTH(TbRegistroEntradas[[#This Row],[DATA DA COMPETENCIA]]))</f>
        <v>6</v>
      </c>
      <c r="L228">
        <f>IF(TbRegistroEntradas[[#This Row],[DATA DA COMPETENCIA]]="",0,YEAR(TbRegistroEntradas[[#This Row],[DATA DA COMPETENCIA]]))</f>
        <v>2019</v>
      </c>
      <c r="M228">
        <f>IF(TbRegistroEntradas[[#This Row],[DATA DO CAIXA PREVISTA]]="",0,MONTH(TbRegistroEntradas[[#This Row],[DATA DO CAIXA PREVISTA]]))</f>
        <v>7</v>
      </c>
      <c r="N228">
        <f>IF(TbRegistroEntradas[[#This Row],[DATA DO CAIXA PREVISTA]]="",0,YEAR(TbRegistroEntradas[[#This Row],[DATA DO CAIXA PREVISTA]]))</f>
        <v>2019</v>
      </c>
      <c r="O228" t="str">
        <f ca="1">IF(AND(TbRegistroEntradas[[#This Row],[DATA DO CAIXA PREVISTA]]&lt;TODAY(),TbRegistroEntradas[[#This Row],[DATA DO CAIXA REALIZADO]]=""),"Vencida","Não Vencida")</f>
        <v>Vencida</v>
      </c>
      <c r="P228" t="str">
        <f>IF(TbRegistroEntradas[[#This Row],[DATA DA COMPETENCIA]]=TbRegistroEntradas[[#This Row],[DATA DO CAIXA PREVISTA INT]],"VISTA","PRAZO")</f>
        <v>PRAZO</v>
      </c>
      <c r="Q228" s="14">
        <f>INT(TbRegistroEntradas[[#This Row],[DATA DO CAIXA PREVISTA]])</f>
        <v>43668</v>
      </c>
      <c r="R228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229" spans="2:18" x14ac:dyDescent="0.25">
      <c r="B229" s="14">
        <v>43663.604642253973</v>
      </c>
      <c r="C229" s="14">
        <v>43631</v>
      </c>
      <c r="D229" s="14">
        <v>43663.604642253973</v>
      </c>
      <c r="E229" t="s">
        <v>20</v>
      </c>
      <c r="F229" t="s">
        <v>38</v>
      </c>
      <c r="G229" t="s">
        <v>283</v>
      </c>
      <c r="H229" s="17">
        <v>1482</v>
      </c>
      <c r="I229">
        <f>IF(TbRegistroEntradas[[#This Row],[DATA DO CAIXA REALIZADO]]="",0,MONTH(TbRegistroEntradas[[#This Row],[DATA DO CAIXA REALIZADO]]))</f>
        <v>7</v>
      </c>
      <c r="J229">
        <f>IF(TbRegistroEntradas[[#This Row],[DATA DO CAIXA REALIZADO]]="",0,YEAR(TbRegistroEntradas[[#This Row],[DATA DO CAIXA REALIZADO]]))</f>
        <v>2019</v>
      </c>
      <c r="K229">
        <f>IF(TbRegistroEntradas[[#This Row],[DATA DA COMPETENCIA]]="",0,MONTH(TbRegistroEntradas[[#This Row],[DATA DA COMPETENCIA]]))</f>
        <v>6</v>
      </c>
      <c r="L229">
        <f>IF(TbRegistroEntradas[[#This Row],[DATA DA COMPETENCIA]]="",0,YEAR(TbRegistroEntradas[[#This Row],[DATA DA COMPETENCIA]]))</f>
        <v>2019</v>
      </c>
      <c r="M229">
        <f>IF(TbRegistroEntradas[[#This Row],[DATA DO CAIXA PREVISTA]]="",0,MONTH(TbRegistroEntradas[[#This Row],[DATA DO CAIXA PREVISTA]]))</f>
        <v>7</v>
      </c>
      <c r="N229">
        <f>IF(TbRegistroEntradas[[#This Row],[DATA DO CAIXA PREVISTA]]="",0,YEAR(TbRegistroEntradas[[#This Row],[DATA DO CAIXA PREVISTA]]))</f>
        <v>2019</v>
      </c>
      <c r="O229" t="str">
        <f ca="1">IF(AND(TbRegistroEntradas[[#This Row],[DATA DO CAIXA PREVISTA]]&lt;TODAY(),TbRegistroEntradas[[#This Row],[DATA DO CAIXA REALIZADO]]=""),"Vencida","Não Vencida")</f>
        <v>Não Vencida</v>
      </c>
      <c r="P229" t="str">
        <f>IF(TbRegistroEntradas[[#This Row],[DATA DA COMPETENCIA]]=TbRegistroEntradas[[#This Row],[DATA DO CAIXA PREVISTA INT]],"VISTA","PRAZO")</f>
        <v>PRAZO</v>
      </c>
      <c r="Q229" s="14">
        <f>INT(TbRegistroEntradas[[#This Row],[DATA DO CAIXA PREVISTA]])</f>
        <v>43663</v>
      </c>
      <c r="R229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30" spans="2:18" x14ac:dyDescent="0.25">
      <c r="B230" s="14">
        <v>43647.603244851816</v>
      </c>
      <c r="C230" s="14">
        <v>43632</v>
      </c>
      <c r="D230" s="14">
        <v>43647.603244851816</v>
      </c>
      <c r="E230" t="s">
        <v>20</v>
      </c>
      <c r="F230" t="s">
        <v>23</v>
      </c>
      <c r="G230" t="s">
        <v>284</v>
      </c>
      <c r="H230" s="17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COMPETENCIA]]="",0,MONTH(TbRegistroEntradas[[#This Row],[DATA DA COMPETENCIA]]))</f>
        <v>6</v>
      </c>
      <c r="L230">
        <f>IF(TbRegistroEntradas[[#This Row],[DATA DA COMPETENCIA]]="",0,YEAR(TbRegistroEntradas[[#This Row],[DATA DA COMPETENCIA]]))</f>
        <v>2019</v>
      </c>
      <c r="M230">
        <f>IF(TbRegistroEntradas[[#This Row],[DATA DO CAIXA PREVISTA]]="",0,MONTH(TbRegistroEntradas[[#This Row],[DATA DO CAIXA PREVISTA]]))</f>
        <v>7</v>
      </c>
      <c r="N230">
        <f>IF(TbRegistroEntradas[[#This Row],[DATA DO CAIXA PREVISTA]]="",0,YEAR(TbRegistroEntradas[[#This Row],[DATA DO CAIXA PREVISTA]]))</f>
        <v>2019</v>
      </c>
      <c r="O230" t="str">
        <f ca="1">IF(AND(TbRegistroEntradas[[#This Row],[DATA DO CAIXA PREVISTA]]&lt;TODAY(),TbRegistroEntradas[[#This Row],[DATA DO CAIXA REALIZADO]]=""),"Vencida","Não Vencida")</f>
        <v>Não Vencida</v>
      </c>
      <c r="P230" t="str">
        <f>IF(TbRegistroEntradas[[#This Row],[DATA DA COMPETENCIA]]=TbRegistroEntradas[[#This Row],[DATA DO CAIXA PREVISTA INT]],"VISTA","PRAZO")</f>
        <v>PRAZO</v>
      </c>
      <c r="Q230" s="14">
        <f>INT(TbRegistroEntradas[[#This Row],[DATA DO CAIXA PREVISTA]])</f>
        <v>43647</v>
      </c>
      <c r="R230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31" spans="2:18" x14ac:dyDescent="0.25">
      <c r="B231" s="14">
        <v>43741.143740040614</v>
      </c>
      <c r="C231" s="14">
        <v>43636</v>
      </c>
      <c r="D231" s="14">
        <v>43687.570970311433</v>
      </c>
      <c r="E231" t="s">
        <v>20</v>
      </c>
      <c r="F231" t="s">
        <v>46</v>
      </c>
      <c r="G231" t="s">
        <v>285</v>
      </c>
      <c r="H231" s="17">
        <v>1906</v>
      </c>
      <c r="I231">
        <f>IF(TbRegistroEntradas[[#This Row],[DATA DO CAIXA REALIZADO]]="",0,MONTH(TbRegistroEntradas[[#This Row],[DATA DO CAIXA REALIZADO]]))</f>
        <v>10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COMPETENCIA]]="",0,MONTH(TbRegistroEntradas[[#This Row],[DATA DA COMPETENCIA]]))</f>
        <v>6</v>
      </c>
      <c r="L231">
        <f>IF(TbRegistroEntradas[[#This Row],[DATA DA COMPETENCIA]]="",0,YEAR(TbRegistroEntradas[[#This Row],[DATA DA COMPETENCIA]]))</f>
        <v>2019</v>
      </c>
      <c r="M231">
        <f>IF(TbRegistroEntradas[[#This Row],[DATA DO CAIXA PREVISTA]]="",0,MONTH(TbRegistroEntradas[[#This Row],[DATA DO CAIXA PREVISTA]]))</f>
        <v>8</v>
      </c>
      <c r="N231">
        <f>IF(TbRegistroEntradas[[#This Row],[DATA DO CAIXA PREVISTA]]="",0,YEAR(TbRegistroEntradas[[#This Row],[DATA DO CAIXA PREVISTA]]))</f>
        <v>2019</v>
      </c>
      <c r="O231" t="str">
        <f ca="1">IF(AND(TbRegistroEntradas[[#This Row],[DATA DO CAIXA PREVISTA]]&lt;TODAY(),TbRegistroEntradas[[#This Row],[DATA DO CAIXA REALIZADO]]=""),"Vencida","Não Vencida")</f>
        <v>Não Vencida</v>
      </c>
      <c r="P231" t="str">
        <f>IF(TbRegistroEntradas[[#This Row],[DATA DA COMPETENCIA]]=TbRegistroEntradas[[#This Row],[DATA DO CAIXA PREVISTA INT]],"VISTA","PRAZO")</f>
        <v>PRAZO</v>
      </c>
      <c r="Q231" s="14">
        <f>INT(TbRegistroEntradas[[#This Row],[DATA DO CAIXA PREVISTA]])</f>
        <v>43687</v>
      </c>
      <c r="R231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53.572769729180436</v>
      </c>
    </row>
    <row r="232" spans="2:18" x14ac:dyDescent="0.25">
      <c r="B232" s="14">
        <v>43645.269692137255</v>
      </c>
      <c r="C232" s="14">
        <v>43641</v>
      </c>
      <c r="D232" s="14">
        <v>43645.269692137255</v>
      </c>
      <c r="E232" t="s">
        <v>20</v>
      </c>
      <c r="F232" t="s">
        <v>46</v>
      </c>
      <c r="G232" t="s">
        <v>286</v>
      </c>
      <c r="H232" s="17">
        <v>450</v>
      </c>
      <c r="I232">
        <f>IF(TbRegistroEntradas[[#This Row],[DATA DO CAIXA REALIZADO]]="",0,MONTH(TbRegistroEntradas[[#This Row],[DATA DO CAIXA REALIZADO]]))</f>
        <v>6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COMPETENCIA]]="",0,MONTH(TbRegistroEntradas[[#This Row],[DATA DA COMPETENCIA]]))</f>
        <v>6</v>
      </c>
      <c r="L232">
        <f>IF(TbRegistroEntradas[[#This Row],[DATA DA COMPETENCIA]]="",0,YEAR(TbRegistroEntradas[[#This Row],[DATA DA COMPETENCIA]]))</f>
        <v>2019</v>
      </c>
      <c r="M232">
        <f>IF(TbRegistroEntradas[[#This Row],[DATA DO CAIXA PREVISTA]]="",0,MONTH(TbRegistroEntradas[[#This Row],[DATA DO CAIXA PREVISTA]]))</f>
        <v>6</v>
      </c>
      <c r="N232">
        <f>IF(TbRegistroEntradas[[#This Row],[DATA DO CAIXA PREVISTA]]="",0,YEAR(TbRegistroEntradas[[#This Row],[DATA DO CAIXA PREVISTA]]))</f>
        <v>2019</v>
      </c>
      <c r="O232" t="str">
        <f ca="1">IF(AND(TbRegistroEntradas[[#This Row],[DATA DO CAIXA PREVISTA]]&lt;TODAY(),TbRegistroEntradas[[#This Row],[DATA DO CAIXA REALIZADO]]=""),"Vencida","Não Vencida")</f>
        <v>Não Vencida</v>
      </c>
      <c r="P232" t="str">
        <f>IF(TbRegistroEntradas[[#This Row],[DATA DA COMPETENCIA]]=TbRegistroEntradas[[#This Row],[DATA DO CAIXA PREVISTA INT]],"VISTA","PRAZO")</f>
        <v>PRAZO</v>
      </c>
      <c r="Q232" s="14">
        <f>INT(TbRegistroEntradas[[#This Row],[DATA DO CAIXA PREVISTA]])</f>
        <v>43645</v>
      </c>
      <c r="R232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0</v>
      </c>
    </row>
    <row r="233" spans="2:18" x14ac:dyDescent="0.25">
      <c r="B233" s="14" t="s">
        <v>68</v>
      </c>
      <c r="C233" s="14">
        <v>43644</v>
      </c>
      <c r="D233" s="14">
        <v>43662.268601302756</v>
      </c>
      <c r="E233" t="s">
        <v>20</v>
      </c>
      <c r="F233" t="s">
        <v>36</v>
      </c>
      <c r="G233" t="s">
        <v>287</v>
      </c>
      <c r="H233" s="17">
        <v>1479</v>
      </c>
      <c r="I233">
        <f>IF(TbRegistroEntradas[[#This Row],[DATA DO CAIXA REALIZADO]]="",0,MONTH(TbRegistroEntradas[[#This Row],[DATA DO CAIXA REALIZADO]]))</f>
        <v>0</v>
      </c>
      <c r="J233">
        <f>IF(TbRegistroEntradas[[#This Row],[DATA DO CAIXA REALIZADO]]="",0,YEAR(TbRegistroEntradas[[#This Row],[DATA DO CAIXA REALIZADO]]))</f>
        <v>0</v>
      </c>
      <c r="K233">
        <f>IF(TbRegistroEntradas[[#This Row],[DATA DA COMPETENCIA]]="",0,MONTH(TbRegistroEntradas[[#This Row],[DATA DA COMPETENCIA]]))</f>
        <v>6</v>
      </c>
      <c r="L233">
        <f>IF(TbRegistroEntradas[[#This Row],[DATA DA COMPETENCIA]]="",0,YEAR(TbRegistroEntradas[[#This Row],[DATA DA COMPETENCIA]]))</f>
        <v>2019</v>
      </c>
      <c r="M233">
        <f>IF(TbRegistroEntradas[[#This Row],[DATA DO CAIXA PREVISTA]]="",0,MONTH(TbRegistroEntradas[[#This Row],[DATA DO CAIXA PREVISTA]]))</f>
        <v>7</v>
      </c>
      <c r="N233">
        <f>IF(TbRegistroEntradas[[#This Row],[DATA DO CAIXA PREVISTA]]="",0,YEAR(TbRegistroEntradas[[#This Row],[DATA DO CAIXA PREVISTA]]))</f>
        <v>2019</v>
      </c>
      <c r="O233" t="str">
        <f ca="1">IF(AND(TbRegistroEntradas[[#This Row],[DATA DO CAIXA PREVISTA]]&lt;TODAY(),TbRegistroEntradas[[#This Row],[DATA DO CAIXA REALIZADO]]=""),"Vencida","Não Vencida")</f>
        <v>Vencida</v>
      </c>
      <c r="P233" t="str">
        <f>IF(TbRegistroEntradas[[#This Row],[DATA DA COMPETENCIA]]=TbRegistroEntradas[[#This Row],[DATA DO CAIXA PREVISTA INT]],"VISTA","PRAZO")</f>
        <v>PRAZO</v>
      </c>
      <c r="Q233" s="14">
        <f>INT(TbRegistroEntradas[[#This Row],[DATA DO CAIXA PREVISTA]])</f>
        <v>43662</v>
      </c>
      <c r="R233" s="137" t="e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#VALUE!</v>
      </c>
    </row>
    <row r="234" spans="2:18" x14ac:dyDescent="0.25">
      <c r="B234" s="14">
        <v>43727.35674683658</v>
      </c>
      <c r="C234" s="14">
        <v>43645</v>
      </c>
      <c r="D234" s="14">
        <v>43647.81451187309</v>
      </c>
      <c r="E234" t="s">
        <v>20</v>
      </c>
      <c r="F234" t="s">
        <v>36</v>
      </c>
      <c r="G234" t="s">
        <v>288</v>
      </c>
      <c r="H234" s="17">
        <v>3446</v>
      </c>
      <c r="I234">
        <f>IF(TbRegistroEntradas[[#This Row],[DATA DO CAIXA REALIZADO]]="",0,MONTH(TbRegistroEntradas[[#This Row],[DATA DO CAIXA REALIZADO]]))</f>
        <v>9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COMPETENCIA]]="",0,MONTH(TbRegistroEntradas[[#This Row],[DATA DA COMPETENCIA]]))</f>
        <v>6</v>
      </c>
      <c r="L234">
        <f>IF(TbRegistroEntradas[[#This Row],[DATA DA COMPETENCIA]]="",0,YEAR(TbRegistroEntradas[[#This Row],[DATA DA COMPETENCIA]]))</f>
        <v>2019</v>
      </c>
      <c r="M234">
        <f>IF(TbRegistroEntradas[[#This Row],[DATA DO CAIXA PREVISTA]]="",0,MONTH(TbRegistroEntradas[[#This Row],[DATA DO CAIXA PREVISTA]]))</f>
        <v>7</v>
      </c>
      <c r="N234">
        <f>IF(TbRegistroEntradas[[#This Row],[DATA DO CAIXA PREVISTA]]="",0,YEAR(TbRegistroEntradas[[#This Row],[DATA DO CAIXA PREVISTA]]))</f>
        <v>2019</v>
      </c>
      <c r="O234" t="str">
        <f ca="1">IF(AND(TbRegistroEntradas[[#This Row],[DATA DO CAIXA PREVISTA]]&lt;TODAY(),TbRegistroEntradas[[#This Row],[DATA DO CAIXA REALIZADO]]=""),"Vencida","Não Vencida")</f>
        <v>Não Vencida</v>
      </c>
      <c r="P234" t="str">
        <f>IF(TbRegistroEntradas[[#This Row],[DATA DA COMPETENCIA]]=TbRegistroEntradas[[#This Row],[DATA DO CAIXA PREVISTA INT]],"VISTA","PRAZO")</f>
        <v>PRAZO</v>
      </c>
      <c r="Q234" s="14">
        <f>INT(TbRegistroEntradas[[#This Row],[DATA DO CAIXA PREVISTA]])</f>
        <v>43647</v>
      </c>
      <c r="R234" s="137">
        <f ca="1">IF(TbRegistroEntradas[[#This Row],[DATA DO CAIXA PREVISTA]]&lt;&gt;"", IF(TbRegistroEntradas[[#This Row],[DATA DO CAIXA REALIZADO]]&gt;TbRegistroEntradas[[#This Row],[DATA DO CAIXA PREVISTA]], TbRegistroEntradas[[#This Row],[DATA DO CAIXA REALIZADO]]-TbRegistroEntradas[[#This Row],[DATA DO CAIXA PREVISTA]], 0 ), IF(TODAY()&gt;TbRegistroEntradas[[#This Row],[DATA DO CAIXA PREVISTA]], TODAY()-TbRegistroEntradas[[#This Row],[DATA DO CAIXA PREVISTA]], 0 ) )</f>
        <v>79.542234963490046</v>
      </c>
    </row>
  </sheetData>
  <mergeCells count="1">
    <mergeCell ref="B1:D1"/>
  </mergeCells>
  <dataValidations count="2">
    <dataValidation type="list" allowBlank="1" showInputMessage="1" showErrorMessage="1" sqref="E4:E234" xr:uid="{ACB3CE23-550C-45C9-9689-59F612688441}">
      <formula1>PCEntradasN1_Nível_1</formula1>
    </dataValidation>
    <dataValidation type="list" allowBlank="1" showInputMessage="1" showErrorMessage="1" sqref="F4:F234" xr:uid="{14C01FD0-BB6D-464F-816A-7967751F93CA}">
      <formula1>OFFSET(PCEntradasN2_Nível_2,MATCH(E4,PCEntradasN2_Nível_1,0)-1,0,COUNTIF(PCEntradasN2_Nível_1,E4))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1266-217C-4755-80F5-0A945D0B567E}">
  <dimension ref="A1:O232"/>
  <sheetViews>
    <sheetView showGridLines="0" workbookViewId="0">
      <pane ySplit="3" topLeftCell="A4" activePane="bottomLeft" state="frozen"/>
      <selection pane="bottomLeft" activeCell="I1" sqref="I1:XFD1048576"/>
    </sheetView>
  </sheetViews>
  <sheetFormatPr defaultColWidth="0" defaultRowHeight="15" x14ac:dyDescent="0.25"/>
  <cols>
    <col min="1" max="1" width="3" customWidth="1"/>
    <col min="2" max="2" width="15.7109375" style="14" customWidth="1"/>
    <col min="3" max="3" width="13.7109375" style="14" customWidth="1"/>
    <col min="4" max="4" width="14.7109375" style="14" customWidth="1"/>
    <col min="5" max="5" width="34.7109375" customWidth="1"/>
    <col min="6" max="6" width="43.7109375" customWidth="1"/>
    <col min="7" max="7" width="31.7109375" customWidth="1"/>
    <col min="8" max="8" width="26.7109375" style="17" customWidth="1"/>
    <col min="9" max="14" width="0" hidden="1" customWidth="1"/>
    <col min="15" max="15" width="0" style="137" hidden="1" customWidth="1"/>
    <col min="16" max="16384" width="11.7109375" hidden="1"/>
  </cols>
  <sheetData>
    <row r="1" spans="2:15" ht="39.950000000000003" customHeight="1" x14ac:dyDescent="0.25">
      <c r="B1" s="190" t="s">
        <v>1</v>
      </c>
      <c r="C1" s="190"/>
      <c r="D1" s="190"/>
      <c r="E1" s="1"/>
      <c r="F1" s="1"/>
      <c r="G1" s="1"/>
      <c r="H1" s="2" t="s">
        <v>10</v>
      </c>
    </row>
    <row r="2" spans="2:15" ht="39.950000000000003" customHeight="1" x14ac:dyDescent="0.25">
      <c r="B2" s="15"/>
      <c r="C2" s="15"/>
      <c r="D2" s="15"/>
      <c r="E2" s="4"/>
      <c r="F2" s="4"/>
      <c r="G2" s="4"/>
      <c r="H2" s="16"/>
    </row>
    <row r="3" spans="2:15" ht="48" customHeight="1" x14ac:dyDescent="0.25">
      <c r="B3" s="18" t="s">
        <v>29</v>
      </c>
      <c r="C3" s="18" t="s">
        <v>30</v>
      </c>
      <c r="D3" s="18" t="s">
        <v>31</v>
      </c>
      <c r="E3" s="19" t="s">
        <v>32</v>
      </c>
      <c r="F3" s="19" t="s">
        <v>33</v>
      </c>
      <c r="G3" s="19" t="s">
        <v>34</v>
      </c>
      <c r="H3" s="20" t="s">
        <v>35</v>
      </c>
      <c r="I3" s="19" t="s">
        <v>537</v>
      </c>
      <c r="J3" s="19" t="s">
        <v>538</v>
      </c>
      <c r="K3" s="19" t="s">
        <v>541</v>
      </c>
      <c r="L3" s="19" t="s">
        <v>542</v>
      </c>
      <c r="M3" s="19" t="s">
        <v>548</v>
      </c>
      <c r="N3" s="19" t="s">
        <v>549</v>
      </c>
      <c r="O3" s="138" t="s">
        <v>609</v>
      </c>
    </row>
    <row r="4" spans="2:15" ht="20.100000000000001" customHeight="1" x14ac:dyDescent="0.25">
      <c r="B4" s="14">
        <v>43015.689099944895</v>
      </c>
      <c r="C4" s="14">
        <v>42957</v>
      </c>
      <c r="D4" s="14">
        <v>43015.689099944895</v>
      </c>
      <c r="E4" t="s">
        <v>47</v>
      </c>
      <c r="F4" t="s">
        <v>23</v>
      </c>
      <c r="G4" t="s">
        <v>289</v>
      </c>
      <c r="H4" s="17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COMPETENCIA]]="",0,MONTH(TbRegistroSaídas[[#This Row],[DATA DA COMPETENCIA]]))</f>
        <v>8</v>
      </c>
      <c r="L4">
        <f>IF(TbRegistroSaídas[[#This Row],[DATA DA COMPETENCIA]]="",0,YEAR(TbRegistroSaídas[[#This Row],[DATA DA COMPETENCIA]]))</f>
        <v>2017</v>
      </c>
      <c r="M4">
        <f>IF(TbRegistroSaídas[[#This Row],[DATA DO CAIXA PREVISTA]]="",0,MONTH(TbRegistroSaídas[[#This Row],[DATA DO CAIXA PREVISTA]]))</f>
        <v>10</v>
      </c>
      <c r="N4">
        <f>IF(TbRegistroSaídas[[#This Row],[DATA DO CAIXA PREVISTA]]="",0,YEAR(TbRegistroSaídas[[#This Row],[DATA DO CAIXA PREVISTA]]))</f>
        <v>2017</v>
      </c>
      <c r="O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" spans="2:15" ht="20.100000000000001" customHeight="1" x14ac:dyDescent="0.25">
      <c r="B5" s="14">
        <v>42995.83151981284</v>
      </c>
      <c r="C5" s="14">
        <v>42960</v>
      </c>
      <c r="D5" s="14">
        <v>42995.83151981284</v>
      </c>
      <c r="E5" t="s">
        <v>47</v>
      </c>
      <c r="F5" t="s">
        <v>52</v>
      </c>
      <c r="G5" t="s">
        <v>290</v>
      </c>
      <c r="H5" s="17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COMPETENCIA]]="",0,MONTH(TbRegistroSaídas[[#This Row],[DATA DA COMPETENCIA]]))</f>
        <v>8</v>
      </c>
      <c r="L5">
        <f>IF(TbRegistroSaídas[[#This Row],[DATA DA COMPETENCIA]]="",0,YEAR(TbRegistroSaídas[[#This Row],[DATA DA COMPETENCIA]]))</f>
        <v>2017</v>
      </c>
      <c r="M5">
        <f>IF(TbRegistroSaídas[[#This Row],[DATA DO CAIXA PREVISTA]]="",0,MONTH(TbRegistroSaídas[[#This Row],[DATA DO CAIXA PREVISTA]]))</f>
        <v>9</v>
      </c>
      <c r="N5">
        <f>IF(TbRegistroSaídas[[#This Row],[DATA DO CAIXA PREVISTA]]="",0,YEAR(TbRegistroSaídas[[#This Row],[DATA DO CAIXA PREVISTA]]))</f>
        <v>2017</v>
      </c>
      <c r="O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" spans="2:15" ht="20.100000000000001" customHeight="1" x14ac:dyDescent="0.25">
      <c r="B6" s="14">
        <v>42983.821864178215</v>
      </c>
      <c r="C6" s="14">
        <v>42965</v>
      </c>
      <c r="D6" s="14">
        <v>42983.821864178215</v>
      </c>
      <c r="E6" t="s">
        <v>47</v>
      </c>
      <c r="F6" t="s">
        <v>23</v>
      </c>
      <c r="G6" t="s">
        <v>291</v>
      </c>
      <c r="H6" s="17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COMPETENCIA]]="",0,MONTH(TbRegistroSaídas[[#This Row],[DATA DA COMPETENCIA]]))</f>
        <v>8</v>
      </c>
      <c r="L6">
        <f>IF(TbRegistroSaídas[[#This Row],[DATA DA COMPETENCIA]]="",0,YEAR(TbRegistroSaídas[[#This Row],[DATA DA COMPETENCIA]]))</f>
        <v>2017</v>
      </c>
      <c r="M6">
        <f>IF(TbRegistroSaídas[[#This Row],[DATA DO CAIXA PREVISTA]]="",0,MONTH(TbRegistroSaídas[[#This Row],[DATA DO CAIXA PREVISTA]]))</f>
        <v>9</v>
      </c>
      <c r="N6">
        <f>IF(TbRegistroSaídas[[#This Row],[DATA DO CAIXA PREVISTA]]="",0,YEAR(TbRegistroSaídas[[#This Row],[DATA DO CAIXA PREVISTA]]))</f>
        <v>2017</v>
      </c>
      <c r="O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" spans="2:15" ht="20.100000000000001" customHeight="1" x14ac:dyDescent="0.25">
      <c r="B7" s="14">
        <v>43004.400385589004</v>
      </c>
      <c r="C7" s="14">
        <v>42970</v>
      </c>
      <c r="D7" s="14">
        <v>43004.400385589004</v>
      </c>
      <c r="E7" t="s">
        <v>47</v>
      </c>
      <c r="F7" t="s">
        <v>23</v>
      </c>
      <c r="G7" t="s">
        <v>292</v>
      </c>
      <c r="H7" s="17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COMPETENCIA]]="",0,MONTH(TbRegistroSaídas[[#This Row],[DATA DA COMPETENCIA]]))</f>
        <v>8</v>
      </c>
      <c r="L7">
        <f>IF(TbRegistroSaídas[[#This Row],[DATA DA COMPETENCIA]]="",0,YEAR(TbRegistroSaídas[[#This Row],[DATA DA COMPETENCIA]]))</f>
        <v>2017</v>
      </c>
      <c r="M7">
        <f>IF(TbRegistroSaídas[[#This Row],[DATA DO CAIXA PREVISTA]]="",0,MONTH(TbRegistroSaídas[[#This Row],[DATA DO CAIXA PREVISTA]]))</f>
        <v>9</v>
      </c>
      <c r="N7">
        <f>IF(TbRegistroSaídas[[#This Row],[DATA DO CAIXA PREVISTA]]="",0,YEAR(TbRegistroSaídas[[#This Row],[DATA DO CAIXA PREVISTA]]))</f>
        <v>2017</v>
      </c>
      <c r="O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" spans="2:15" ht="20.100000000000001" customHeight="1" x14ac:dyDescent="0.25">
      <c r="B8" s="14">
        <v>43002.058153394239</v>
      </c>
      <c r="C8" s="14">
        <v>42971</v>
      </c>
      <c r="D8" s="14">
        <v>43002.058153394239</v>
      </c>
      <c r="E8" t="s">
        <v>47</v>
      </c>
      <c r="F8" t="s">
        <v>52</v>
      </c>
      <c r="G8" t="s">
        <v>293</v>
      </c>
      <c r="H8" s="17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COMPETENCIA]]="",0,MONTH(TbRegistroSaídas[[#This Row],[DATA DA COMPETENCIA]]))</f>
        <v>8</v>
      </c>
      <c r="L8">
        <f>IF(TbRegistroSaídas[[#This Row],[DATA DA COMPETENCIA]]="",0,YEAR(TbRegistroSaídas[[#This Row],[DATA DA COMPETENCIA]]))</f>
        <v>2017</v>
      </c>
      <c r="M8">
        <f>IF(TbRegistroSaídas[[#This Row],[DATA DO CAIXA PREVISTA]]="",0,MONTH(TbRegistroSaídas[[#This Row],[DATA DO CAIXA PREVISTA]]))</f>
        <v>9</v>
      </c>
      <c r="N8">
        <f>IF(TbRegistroSaídas[[#This Row],[DATA DO CAIXA PREVISTA]]="",0,YEAR(TbRegistroSaídas[[#This Row],[DATA DO CAIXA PREVISTA]]))</f>
        <v>2017</v>
      </c>
      <c r="O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" spans="2:15" ht="20.100000000000001" customHeight="1" x14ac:dyDescent="0.25">
      <c r="B9" s="14">
        <v>42980.358785052202</v>
      </c>
      <c r="C9" s="14">
        <v>42972</v>
      </c>
      <c r="D9" s="14">
        <v>42980.358785052202</v>
      </c>
      <c r="E9" t="s">
        <v>47</v>
      </c>
      <c r="F9" t="s">
        <v>37</v>
      </c>
      <c r="G9" t="s">
        <v>294</v>
      </c>
      <c r="H9" s="17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COMPETENCIA]]="",0,MONTH(TbRegistroSaídas[[#This Row],[DATA DA COMPETENCIA]]))</f>
        <v>8</v>
      </c>
      <c r="L9">
        <f>IF(TbRegistroSaídas[[#This Row],[DATA DA COMPETENCIA]]="",0,YEAR(TbRegistroSaídas[[#This Row],[DATA DA COMPETENCIA]]))</f>
        <v>2017</v>
      </c>
      <c r="M9">
        <f>IF(TbRegistroSaídas[[#This Row],[DATA DO CAIXA PREVISTA]]="",0,MONTH(TbRegistroSaídas[[#This Row],[DATA DO CAIXA PREVISTA]]))</f>
        <v>9</v>
      </c>
      <c r="N9">
        <f>IF(TbRegistroSaídas[[#This Row],[DATA DO CAIXA PREVISTA]]="",0,YEAR(TbRegistroSaídas[[#This Row],[DATA DO CAIXA PREVISTA]]))</f>
        <v>2017</v>
      </c>
      <c r="O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" spans="2:15" ht="20.100000000000001" customHeight="1" x14ac:dyDescent="0.25">
      <c r="B10" s="14">
        <v>43014.597468673528</v>
      </c>
      <c r="C10" s="14">
        <v>42976</v>
      </c>
      <c r="D10" s="14">
        <v>43014.597468673528</v>
      </c>
      <c r="E10" t="s">
        <v>47</v>
      </c>
      <c r="F10" t="s">
        <v>52</v>
      </c>
      <c r="G10" t="s">
        <v>295</v>
      </c>
      <c r="H10" s="17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COMPETENCIA]]="",0,MONTH(TbRegistroSaídas[[#This Row],[DATA DA COMPETENCIA]]))</f>
        <v>8</v>
      </c>
      <c r="L10">
        <f>IF(TbRegistroSaídas[[#This Row],[DATA DA COMPETENCIA]]="",0,YEAR(TbRegistroSaídas[[#This Row],[DATA DA COMPETENCIA]]))</f>
        <v>2017</v>
      </c>
      <c r="M10">
        <f>IF(TbRegistroSaídas[[#This Row],[DATA DO CAIXA PREVISTA]]="",0,MONTH(TbRegistroSaídas[[#This Row],[DATA DO CAIXA PREVISTA]]))</f>
        <v>10</v>
      </c>
      <c r="N10">
        <f>IF(TbRegistroSaídas[[#This Row],[DATA DO CAIXA PREVISTA]]="",0,YEAR(TbRegistroSaídas[[#This Row],[DATA DO CAIXA PREVISTA]]))</f>
        <v>2017</v>
      </c>
      <c r="O1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" spans="2:15" ht="20.100000000000001" customHeight="1" x14ac:dyDescent="0.25">
      <c r="B11" s="14">
        <v>42990.1117348099</v>
      </c>
      <c r="C11" s="14">
        <v>42979</v>
      </c>
      <c r="D11" s="14">
        <v>42980.556611132772</v>
      </c>
      <c r="E11" t="s">
        <v>47</v>
      </c>
      <c r="F11" t="s">
        <v>52</v>
      </c>
      <c r="G11" t="s">
        <v>115</v>
      </c>
      <c r="H11" s="17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COMPETENCIA]]="",0,MONTH(TbRegistroSaídas[[#This Row],[DATA DA COMPETENCIA]]))</f>
        <v>9</v>
      </c>
      <c r="L11">
        <f>IF(TbRegistroSaídas[[#This Row],[DATA DA COMPETENCIA]]="",0,YEAR(TbRegistroSaídas[[#This Row],[DATA DA COMPETENCIA]]))</f>
        <v>2017</v>
      </c>
      <c r="M11">
        <f>IF(TbRegistroSaídas[[#This Row],[DATA DO CAIXA PREVISTA]]="",0,MONTH(TbRegistroSaídas[[#This Row],[DATA DO CAIXA PREVISTA]]))</f>
        <v>9</v>
      </c>
      <c r="N11">
        <f>IF(TbRegistroSaídas[[#This Row],[DATA DO CAIXA PREVISTA]]="",0,YEAR(TbRegistroSaídas[[#This Row],[DATA DO CAIXA PREVISTA]]))</f>
        <v>2017</v>
      </c>
      <c r="O1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9.5551236771279946</v>
      </c>
    </row>
    <row r="12" spans="2:15" ht="20.100000000000001" customHeight="1" x14ac:dyDescent="0.25">
      <c r="B12" s="14">
        <v>42987.417576127409</v>
      </c>
      <c r="C12" s="14">
        <v>42982</v>
      </c>
      <c r="D12" s="14">
        <v>42987.417576127409</v>
      </c>
      <c r="E12" t="s">
        <v>47</v>
      </c>
      <c r="F12" t="s">
        <v>23</v>
      </c>
      <c r="G12" t="s">
        <v>296</v>
      </c>
      <c r="H12" s="17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COMPETENCIA]]="",0,MONTH(TbRegistroSaídas[[#This Row],[DATA DA COMPETENCIA]]))</f>
        <v>9</v>
      </c>
      <c r="L12">
        <f>IF(TbRegistroSaídas[[#This Row],[DATA DA COMPETENCIA]]="",0,YEAR(TbRegistroSaídas[[#This Row],[DATA DA COMPETENCIA]]))</f>
        <v>2017</v>
      </c>
      <c r="M12">
        <f>IF(TbRegistroSaídas[[#This Row],[DATA DO CAIXA PREVISTA]]="",0,MONTH(TbRegistroSaídas[[#This Row],[DATA DO CAIXA PREVISTA]]))</f>
        <v>9</v>
      </c>
      <c r="N12">
        <f>IF(TbRegistroSaídas[[#This Row],[DATA DO CAIXA PREVISTA]]="",0,YEAR(TbRegistroSaídas[[#This Row],[DATA DO CAIXA PREVISTA]]))</f>
        <v>2017</v>
      </c>
      <c r="O1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" spans="2:15" ht="20.100000000000001" customHeight="1" x14ac:dyDescent="0.25">
      <c r="B13" s="14" t="s">
        <v>68</v>
      </c>
      <c r="C13" s="14">
        <v>42984</v>
      </c>
      <c r="D13" s="14">
        <v>42984.703005901203</v>
      </c>
      <c r="E13" t="s">
        <v>47</v>
      </c>
      <c r="F13" t="s">
        <v>37</v>
      </c>
      <c r="G13" t="s">
        <v>297</v>
      </c>
      <c r="H13" s="17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COMPETENCIA]]="",0,MONTH(TbRegistroSaídas[[#This Row],[DATA DA COMPETENCIA]]))</f>
        <v>9</v>
      </c>
      <c r="L13">
        <f>IF(TbRegistroSaídas[[#This Row],[DATA DA COMPETENCIA]]="",0,YEAR(TbRegistroSaídas[[#This Row],[DATA DA COMPETENCIA]]))</f>
        <v>2017</v>
      </c>
      <c r="M13">
        <f>IF(TbRegistroSaídas[[#This Row],[DATA DO CAIXA PREVISTA]]="",0,MONTH(TbRegistroSaídas[[#This Row],[DATA DO CAIXA PREVISTA]]))</f>
        <v>9</v>
      </c>
      <c r="N13">
        <f>IF(TbRegistroSaídas[[#This Row],[DATA DO CAIXA PREVISTA]]="",0,YEAR(TbRegistroSaídas[[#This Row],[DATA DO CAIXA PREVISTA]]))</f>
        <v>2017</v>
      </c>
      <c r="O13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4" spans="2:15" ht="20.100000000000001" customHeight="1" x14ac:dyDescent="0.25">
      <c r="B14" s="14" t="s">
        <v>68</v>
      </c>
      <c r="C14" s="14">
        <v>42990</v>
      </c>
      <c r="D14" s="14">
        <v>43020.233591992961</v>
      </c>
      <c r="E14" t="s">
        <v>47</v>
      </c>
      <c r="F14" t="s">
        <v>38</v>
      </c>
      <c r="G14" t="s">
        <v>298</v>
      </c>
      <c r="H14" s="17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COMPETENCIA]]="",0,MONTH(TbRegistroSaídas[[#This Row],[DATA DA COMPETENCIA]]))</f>
        <v>9</v>
      </c>
      <c r="L14">
        <f>IF(TbRegistroSaídas[[#This Row],[DATA DA COMPETENCIA]]="",0,YEAR(TbRegistroSaídas[[#This Row],[DATA DA COMPETENCIA]]))</f>
        <v>2017</v>
      </c>
      <c r="M14">
        <f>IF(TbRegistroSaídas[[#This Row],[DATA DO CAIXA PREVISTA]]="",0,MONTH(TbRegistroSaídas[[#This Row],[DATA DO CAIXA PREVISTA]]))</f>
        <v>10</v>
      </c>
      <c r="N14">
        <f>IF(TbRegistroSaídas[[#This Row],[DATA DO CAIXA PREVISTA]]="",0,YEAR(TbRegistroSaídas[[#This Row],[DATA DO CAIXA PREVISTA]]))</f>
        <v>2017</v>
      </c>
      <c r="O14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5" spans="2:15" ht="20.100000000000001" customHeight="1" x14ac:dyDescent="0.25">
      <c r="B15" s="14">
        <v>43025.32782899923</v>
      </c>
      <c r="C15" s="14">
        <v>42991</v>
      </c>
      <c r="D15" s="14">
        <v>43025.32782899923</v>
      </c>
      <c r="E15" t="s">
        <v>47</v>
      </c>
      <c r="F15" t="s">
        <v>38</v>
      </c>
      <c r="G15" t="s">
        <v>299</v>
      </c>
      <c r="H15" s="17">
        <v>4739</v>
      </c>
      <c r="I15">
        <f>IF(TbRegistroSaídas[[#This Row],[DATA DO CAIXA REALIZADO]]="",0,MONTH(TbRegistroSaídas[[#This Row],[DATA DO CAIXA REALIZADO]]))</f>
        <v>10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COMPETENCIA]]="",0,MONTH(TbRegistroSaídas[[#This Row],[DATA DA COMPETENCIA]]))</f>
        <v>9</v>
      </c>
      <c r="L15">
        <f>IF(TbRegistroSaídas[[#This Row],[DATA DA COMPETENCIA]]="",0,YEAR(TbRegistroSaídas[[#This Row],[DATA DA COMPETENCIA]]))</f>
        <v>2017</v>
      </c>
      <c r="M15">
        <f>IF(TbRegistroSaídas[[#This Row],[DATA DO CAIXA PREVISTA]]="",0,MONTH(TbRegistroSaídas[[#This Row],[DATA DO CAIXA PREVISTA]]))</f>
        <v>10</v>
      </c>
      <c r="N15">
        <f>IF(TbRegistroSaídas[[#This Row],[DATA DO CAIXA PREVISTA]]="",0,YEAR(TbRegistroSaídas[[#This Row],[DATA DO CAIXA PREVISTA]]))</f>
        <v>2017</v>
      </c>
      <c r="O1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6" spans="2:15" ht="20.100000000000001" customHeight="1" x14ac:dyDescent="0.25">
      <c r="B16" s="14">
        <v>43008.599150206064</v>
      </c>
      <c r="C16" s="14">
        <v>42992</v>
      </c>
      <c r="D16" s="14">
        <v>43008.599150206064</v>
      </c>
      <c r="E16" t="s">
        <v>47</v>
      </c>
      <c r="F16" t="s">
        <v>23</v>
      </c>
      <c r="G16" t="s">
        <v>300</v>
      </c>
      <c r="H16" s="17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COMPETENCIA]]="",0,MONTH(TbRegistroSaídas[[#This Row],[DATA DA COMPETENCIA]]))</f>
        <v>9</v>
      </c>
      <c r="L16">
        <f>IF(TbRegistroSaídas[[#This Row],[DATA DA COMPETENCIA]]="",0,YEAR(TbRegistroSaídas[[#This Row],[DATA DA COMPETENCIA]]))</f>
        <v>2017</v>
      </c>
      <c r="M16">
        <f>IF(TbRegistroSaídas[[#This Row],[DATA DO CAIXA PREVISTA]]="",0,MONTH(TbRegistroSaídas[[#This Row],[DATA DO CAIXA PREVISTA]]))</f>
        <v>9</v>
      </c>
      <c r="N16">
        <f>IF(TbRegistroSaídas[[#This Row],[DATA DO CAIXA PREVISTA]]="",0,YEAR(TbRegistroSaídas[[#This Row],[DATA DO CAIXA PREVISTA]]))</f>
        <v>2017</v>
      </c>
      <c r="O1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" spans="2:15" ht="20.100000000000001" customHeight="1" x14ac:dyDescent="0.25">
      <c r="B17" s="14">
        <v>43004.132052173023</v>
      </c>
      <c r="C17" s="14">
        <v>42997</v>
      </c>
      <c r="D17" s="14">
        <v>43004.132052173023</v>
      </c>
      <c r="E17" t="s">
        <v>47</v>
      </c>
      <c r="F17" t="s">
        <v>52</v>
      </c>
      <c r="G17" t="s">
        <v>301</v>
      </c>
      <c r="H17" s="17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COMPETENCIA]]="",0,MONTH(TbRegistroSaídas[[#This Row],[DATA DA COMPETENCIA]]))</f>
        <v>9</v>
      </c>
      <c r="L17">
        <f>IF(TbRegistroSaídas[[#This Row],[DATA DA COMPETENCIA]]="",0,YEAR(TbRegistroSaídas[[#This Row],[DATA DA COMPETENCIA]]))</f>
        <v>2017</v>
      </c>
      <c r="M17">
        <f>IF(TbRegistroSaídas[[#This Row],[DATA DO CAIXA PREVISTA]]="",0,MONTH(TbRegistroSaídas[[#This Row],[DATA DO CAIXA PREVISTA]]))</f>
        <v>9</v>
      </c>
      <c r="N17">
        <f>IF(TbRegistroSaídas[[#This Row],[DATA DO CAIXA PREVISTA]]="",0,YEAR(TbRegistroSaídas[[#This Row],[DATA DO CAIXA PREVISTA]]))</f>
        <v>2017</v>
      </c>
      <c r="O1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" spans="2:15" ht="20.100000000000001" customHeight="1" x14ac:dyDescent="0.25">
      <c r="B18" s="14">
        <v>43043.977578613987</v>
      </c>
      <c r="C18" s="14">
        <v>43002</v>
      </c>
      <c r="D18" s="14">
        <v>43043.977578613987</v>
      </c>
      <c r="E18" t="s">
        <v>47</v>
      </c>
      <c r="F18" t="s">
        <v>38</v>
      </c>
      <c r="G18" t="s">
        <v>302</v>
      </c>
      <c r="H18" s="17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COMPETENCIA]]="",0,MONTH(TbRegistroSaídas[[#This Row],[DATA DA COMPETENCIA]]))</f>
        <v>9</v>
      </c>
      <c r="L18">
        <f>IF(TbRegistroSaídas[[#This Row],[DATA DA COMPETENCIA]]="",0,YEAR(TbRegistroSaídas[[#This Row],[DATA DA COMPETENCIA]]))</f>
        <v>2017</v>
      </c>
      <c r="M18">
        <f>IF(TbRegistroSaídas[[#This Row],[DATA DO CAIXA PREVISTA]]="",0,MONTH(TbRegistroSaídas[[#This Row],[DATA DO CAIXA PREVISTA]]))</f>
        <v>11</v>
      </c>
      <c r="N18">
        <f>IF(TbRegistroSaídas[[#This Row],[DATA DO CAIXA PREVISTA]]="",0,YEAR(TbRegistroSaídas[[#This Row],[DATA DO CAIXA PREVISTA]]))</f>
        <v>2017</v>
      </c>
      <c r="O1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" spans="2:15" ht="20.100000000000001" customHeight="1" x14ac:dyDescent="0.25">
      <c r="B19" s="14">
        <v>43015.898045269183</v>
      </c>
      <c r="C19" s="14">
        <v>43003</v>
      </c>
      <c r="D19" s="14">
        <v>43015.898045269183</v>
      </c>
      <c r="E19" t="s">
        <v>47</v>
      </c>
      <c r="F19" t="s">
        <v>52</v>
      </c>
      <c r="G19" t="s">
        <v>303</v>
      </c>
      <c r="H19" s="17">
        <v>2784</v>
      </c>
      <c r="I19">
        <f>IF(TbRegistroSaídas[[#This Row],[DATA DO CAIXA REALIZADO]]="",0,MONTH(TbRegistroSaídas[[#This Row],[DATA DO CAIXA REALIZADO]]))</f>
        <v>10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COMPETENCIA]]="",0,MONTH(TbRegistroSaídas[[#This Row],[DATA DA COMPETENCIA]]))</f>
        <v>9</v>
      </c>
      <c r="L19">
        <f>IF(TbRegistroSaídas[[#This Row],[DATA DA COMPETENCIA]]="",0,YEAR(TbRegistroSaídas[[#This Row],[DATA DA COMPETENCIA]]))</f>
        <v>2017</v>
      </c>
      <c r="M19">
        <f>IF(TbRegistroSaídas[[#This Row],[DATA DO CAIXA PREVISTA]]="",0,MONTH(TbRegistroSaídas[[#This Row],[DATA DO CAIXA PREVISTA]]))</f>
        <v>10</v>
      </c>
      <c r="N19">
        <f>IF(TbRegistroSaídas[[#This Row],[DATA DO CAIXA PREVISTA]]="",0,YEAR(TbRegistroSaídas[[#This Row],[DATA DO CAIXA PREVISTA]]))</f>
        <v>2017</v>
      </c>
      <c r="O1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" spans="2:15" ht="20.100000000000001" customHeight="1" x14ac:dyDescent="0.25">
      <c r="B20" s="14">
        <v>43010.944524159138</v>
      </c>
      <c r="C20" s="14">
        <v>43003</v>
      </c>
      <c r="D20" s="14">
        <v>43010.944524159138</v>
      </c>
      <c r="E20" t="s">
        <v>47</v>
      </c>
      <c r="F20" t="s">
        <v>37</v>
      </c>
      <c r="G20" t="s">
        <v>304</v>
      </c>
      <c r="H20" s="17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COMPETENCIA]]="",0,MONTH(TbRegistroSaídas[[#This Row],[DATA DA COMPETENCIA]]))</f>
        <v>9</v>
      </c>
      <c r="L20">
        <f>IF(TbRegistroSaídas[[#This Row],[DATA DA COMPETENCIA]]="",0,YEAR(TbRegistroSaídas[[#This Row],[DATA DA COMPETENCIA]]))</f>
        <v>2017</v>
      </c>
      <c r="M20">
        <f>IF(TbRegistroSaídas[[#This Row],[DATA DO CAIXA PREVISTA]]="",0,MONTH(TbRegistroSaídas[[#This Row],[DATA DO CAIXA PREVISTA]]))</f>
        <v>10</v>
      </c>
      <c r="N20">
        <f>IF(TbRegistroSaídas[[#This Row],[DATA DO CAIXA PREVISTA]]="",0,YEAR(TbRegistroSaídas[[#This Row],[DATA DO CAIXA PREVISTA]]))</f>
        <v>2017</v>
      </c>
      <c r="O2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" spans="2:15" x14ac:dyDescent="0.25">
      <c r="B21" s="14">
        <v>43118.867552272008</v>
      </c>
      <c r="C21" s="14">
        <v>43006</v>
      </c>
      <c r="D21" s="14">
        <v>43042.600768911587</v>
      </c>
      <c r="E21" t="s">
        <v>47</v>
      </c>
      <c r="F21" t="s">
        <v>37</v>
      </c>
      <c r="G21" t="s">
        <v>305</v>
      </c>
      <c r="H21" s="17">
        <v>229</v>
      </c>
      <c r="I21">
        <f>IF(TbRegistroSaídas[[#This Row],[DATA DO CAIXA REALIZADO]]="",0,MONTH(TbRegistroSaídas[[#This Row],[DATA DO CAIXA REALIZADO]]))</f>
        <v>1</v>
      </c>
      <c r="J21">
        <f>IF(TbRegistroSaídas[[#This Row],[DATA DO CAIXA REALIZADO]]="",0,YEAR(TbRegistroSaídas[[#This Row],[DATA DO CAIXA REALIZADO]]))</f>
        <v>2018</v>
      </c>
      <c r="K21">
        <f>IF(TbRegistroSaídas[[#This Row],[DATA DA COMPETENCIA]]="",0,MONTH(TbRegistroSaídas[[#This Row],[DATA DA COMPETENCIA]]))</f>
        <v>9</v>
      </c>
      <c r="L21">
        <f>IF(TbRegistroSaídas[[#This Row],[DATA DA COMPETENCIA]]="",0,YEAR(TbRegistroSaídas[[#This Row],[DATA DA COMPETENCIA]]))</f>
        <v>2017</v>
      </c>
      <c r="M21">
        <f>IF(TbRegistroSaídas[[#This Row],[DATA DO CAIXA PREVISTA]]="",0,MONTH(TbRegistroSaídas[[#This Row],[DATA DO CAIXA PREVISTA]]))</f>
        <v>11</v>
      </c>
      <c r="N21">
        <f>IF(TbRegistroSaídas[[#This Row],[DATA DO CAIXA PREVISTA]]="",0,YEAR(TbRegistroSaídas[[#This Row],[DATA DO CAIXA PREVISTA]]))</f>
        <v>2017</v>
      </c>
      <c r="O2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76.266783360420959</v>
      </c>
    </row>
    <row r="22" spans="2:15" x14ac:dyDescent="0.25">
      <c r="B22" s="14">
        <v>43059.310583292005</v>
      </c>
      <c r="C22" s="14">
        <v>43009</v>
      </c>
      <c r="D22" s="14">
        <v>43059.310583292005</v>
      </c>
      <c r="E22" t="s">
        <v>47</v>
      </c>
      <c r="F22" t="s">
        <v>52</v>
      </c>
      <c r="G22" t="s">
        <v>306</v>
      </c>
      <c r="H22" s="17">
        <v>2894</v>
      </c>
      <c r="I22">
        <f>IF(TbRegistroSaídas[[#This Row],[DATA DO CAIXA REALIZADO]]="",0,MONTH(TbRegistroSaídas[[#This Row],[DATA DO CAIXA REALIZADO]]))</f>
        <v>11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COMPETENCIA]]="",0,MONTH(TbRegistroSaídas[[#This Row],[DATA DA COMPETENCIA]]))</f>
        <v>10</v>
      </c>
      <c r="L22">
        <f>IF(TbRegistroSaídas[[#This Row],[DATA DA COMPETENCIA]]="",0,YEAR(TbRegistroSaídas[[#This Row],[DATA DA COMPETENCIA]]))</f>
        <v>2017</v>
      </c>
      <c r="M22">
        <f>IF(TbRegistroSaídas[[#This Row],[DATA DO CAIXA PREVISTA]]="",0,MONTH(TbRegistroSaídas[[#This Row],[DATA DO CAIXA PREVISTA]]))</f>
        <v>11</v>
      </c>
      <c r="N22">
        <f>IF(TbRegistroSaídas[[#This Row],[DATA DO CAIXA PREVISTA]]="",0,YEAR(TbRegistroSaídas[[#This Row],[DATA DO CAIXA PREVISTA]]))</f>
        <v>2017</v>
      </c>
      <c r="O2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3" spans="2:15" x14ac:dyDescent="0.25">
      <c r="B23" s="14" t="s">
        <v>68</v>
      </c>
      <c r="C23" s="14">
        <v>43012</v>
      </c>
      <c r="D23" s="14">
        <v>43030.293823546323</v>
      </c>
      <c r="E23" t="s">
        <v>47</v>
      </c>
      <c r="F23" t="s">
        <v>38</v>
      </c>
      <c r="G23" t="s">
        <v>307</v>
      </c>
      <c r="H23" s="17">
        <v>4516</v>
      </c>
      <c r="I23">
        <f>IF(TbRegistroSaídas[[#This Row],[DATA DO CAIXA REALIZADO]]="",0,MONTH(TbRegistroSaídas[[#This Row],[DATA DO CAIXA REALIZADO]]))</f>
        <v>0</v>
      </c>
      <c r="J23">
        <f>IF(TbRegistroSaídas[[#This Row],[DATA DO CAIXA REALIZADO]]="",0,YEAR(TbRegistroSaídas[[#This Row],[DATA DO CAIXA REALIZADO]]))</f>
        <v>0</v>
      </c>
      <c r="K23">
        <f>IF(TbRegistroSaídas[[#This Row],[DATA DA COMPETENCIA]]="",0,MONTH(TbRegistroSaídas[[#This Row],[DATA DA COMPETENCIA]]))</f>
        <v>10</v>
      </c>
      <c r="L23">
        <f>IF(TbRegistroSaídas[[#This Row],[DATA DA COMPETENCIA]]="",0,YEAR(TbRegistroSaídas[[#This Row],[DATA DA COMPETENCIA]]))</f>
        <v>2017</v>
      </c>
      <c r="M23">
        <f>IF(TbRegistroSaídas[[#This Row],[DATA DO CAIXA PREVISTA]]="",0,MONTH(TbRegistroSaídas[[#This Row],[DATA DO CAIXA PREVISTA]]))</f>
        <v>10</v>
      </c>
      <c r="N23">
        <f>IF(TbRegistroSaídas[[#This Row],[DATA DO CAIXA PREVISTA]]="",0,YEAR(TbRegistroSaídas[[#This Row],[DATA DO CAIXA PREVISTA]]))</f>
        <v>2017</v>
      </c>
      <c r="O23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24" spans="2:15" x14ac:dyDescent="0.25">
      <c r="B24" s="14">
        <v>43031.057901657718</v>
      </c>
      <c r="C24" s="14">
        <v>43014</v>
      </c>
      <c r="D24" s="14">
        <v>43031.057901657718</v>
      </c>
      <c r="E24" t="s">
        <v>47</v>
      </c>
      <c r="F24" t="s">
        <v>38</v>
      </c>
      <c r="G24" t="s">
        <v>308</v>
      </c>
      <c r="H24" s="17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COMPETENCIA]]="",0,MONTH(TbRegistroSaídas[[#This Row],[DATA DA COMPETENCIA]]))</f>
        <v>10</v>
      </c>
      <c r="L24">
        <f>IF(TbRegistroSaídas[[#This Row],[DATA DA COMPETENCIA]]="",0,YEAR(TbRegistroSaídas[[#This Row],[DATA DA COMPETENCIA]]))</f>
        <v>2017</v>
      </c>
      <c r="M24">
        <f>IF(TbRegistroSaídas[[#This Row],[DATA DO CAIXA PREVISTA]]="",0,MONTH(TbRegistroSaídas[[#This Row],[DATA DO CAIXA PREVISTA]]))</f>
        <v>10</v>
      </c>
      <c r="N24">
        <f>IF(TbRegistroSaídas[[#This Row],[DATA DO CAIXA PREVISTA]]="",0,YEAR(TbRegistroSaídas[[#This Row],[DATA DO CAIXA PREVISTA]]))</f>
        <v>2017</v>
      </c>
      <c r="O2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5" spans="2:15" x14ac:dyDescent="0.25">
      <c r="B25" s="14">
        <v>43051.580861965143</v>
      </c>
      <c r="C25" s="14">
        <v>43017</v>
      </c>
      <c r="D25" s="14">
        <v>43046.987199176881</v>
      </c>
      <c r="E25" t="s">
        <v>47</v>
      </c>
      <c r="F25" t="s">
        <v>46</v>
      </c>
      <c r="G25" t="s">
        <v>309</v>
      </c>
      <c r="H25" s="17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COMPETENCIA]]="",0,MONTH(TbRegistroSaídas[[#This Row],[DATA DA COMPETENCIA]]))</f>
        <v>10</v>
      </c>
      <c r="L25">
        <f>IF(TbRegistroSaídas[[#This Row],[DATA DA COMPETENCIA]]="",0,YEAR(TbRegistroSaídas[[#This Row],[DATA DA COMPETENCIA]]))</f>
        <v>2017</v>
      </c>
      <c r="M25">
        <f>IF(TbRegistroSaídas[[#This Row],[DATA DO CAIXA PREVISTA]]="",0,MONTH(TbRegistroSaídas[[#This Row],[DATA DO CAIXA PREVISTA]]))</f>
        <v>11</v>
      </c>
      <c r="N25">
        <f>IF(TbRegistroSaídas[[#This Row],[DATA DO CAIXA PREVISTA]]="",0,YEAR(TbRegistroSaídas[[#This Row],[DATA DO CAIXA PREVISTA]]))</f>
        <v>2017</v>
      </c>
      <c r="O2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4.5936627882620087</v>
      </c>
    </row>
    <row r="26" spans="2:15" x14ac:dyDescent="0.25">
      <c r="B26" s="14">
        <v>43134.239961092644</v>
      </c>
      <c r="C26" s="14">
        <v>43022</v>
      </c>
      <c r="D26" s="14">
        <v>43045.041972262814</v>
      </c>
      <c r="E26" t="s">
        <v>47</v>
      </c>
      <c r="F26" t="s">
        <v>52</v>
      </c>
      <c r="G26" t="s">
        <v>310</v>
      </c>
      <c r="H26" s="17">
        <v>145</v>
      </c>
      <c r="I26">
        <f>IF(TbRegistroSaídas[[#This Row],[DATA DO CAIXA REALIZADO]]="",0,MONTH(TbRegistroSaídas[[#This Row],[DATA DO CAIXA REALIZADO]]))</f>
        <v>2</v>
      </c>
      <c r="J26">
        <f>IF(TbRegistroSaídas[[#This Row],[DATA DO CAIXA REALIZADO]]="",0,YEAR(TbRegistroSaídas[[#This Row],[DATA DO CAIXA REALIZADO]]))</f>
        <v>2018</v>
      </c>
      <c r="K26">
        <f>IF(TbRegistroSaídas[[#This Row],[DATA DA COMPETENCIA]]="",0,MONTH(TbRegistroSaídas[[#This Row],[DATA DA COMPETENCIA]]))</f>
        <v>10</v>
      </c>
      <c r="L26">
        <f>IF(TbRegistroSaídas[[#This Row],[DATA DA COMPETENCIA]]="",0,YEAR(TbRegistroSaídas[[#This Row],[DATA DA COMPETENCIA]]))</f>
        <v>2017</v>
      </c>
      <c r="M26">
        <f>IF(TbRegistroSaídas[[#This Row],[DATA DO CAIXA PREVISTA]]="",0,MONTH(TbRegistroSaídas[[#This Row],[DATA DO CAIXA PREVISTA]]))</f>
        <v>11</v>
      </c>
      <c r="N26">
        <f>IF(TbRegistroSaídas[[#This Row],[DATA DO CAIXA PREVISTA]]="",0,YEAR(TbRegistroSaídas[[#This Row],[DATA DO CAIXA PREVISTA]]))</f>
        <v>2017</v>
      </c>
      <c r="O2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89.197988829830138</v>
      </c>
    </row>
    <row r="27" spans="2:15" x14ac:dyDescent="0.25">
      <c r="B27" s="14">
        <v>43051.301144712357</v>
      </c>
      <c r="C27" s="14">
        <v>43024</v>
      </c>
      <c r="D27" s="14">
        <v>43031.245493844843</v>
      </c>
      <c r="E27" t="s">
        <v>47</v>
      </c>
      <c r="F27" t="s">
        <v>52</v>
      </c>
      <c r="G27" t="s">
        <v>311</v>
      </c>
      <c r="H27" s="17">
        <v>1311</v>
      </c>
      <c r="I27">
        <f>IF(TbRegistroSaídas[[#This Row],[DATA DO CAIXA REALIZADO]]="",0,MONTH(TbRegistroSaídas[[#This Row],[DATA DO CAIXA REALIZADO]]))</f>
        <v>11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COMPETENCIA]]="",0,MONTH(TbRegistroSaídas[[#This Row],[DATA DA COMPETENCIA]]))</f>
        <v>10</v>
      </c>
      <c r="L27">
        <f>IF(TbRegistroSaídas[[#This Row],[DATA DA COMPETENCIA]]="",0,YEAR(TbRegistroSaídas[[#This Row],[DATA DA COMPETENCIA]]))</f>
        <v>2017</v>
      </c>
      <c r="M27">
        <f>IF(TbRegistroSaídas[[#This Row],[DATA DO CAIXA PREVISTA]]="",0,MONTH(TbRegistroSaídas[[#This Row],[DATA DO CAIXA PREVISTA]]))</f>
        <v>10</v>
      </c>
      <c r="N27">
        <f>IF(TbRegistroSaídas[[#This Row],[DATA DO CAIXA PREVISTA]]="",0,YEAR(TbRegistroSaídas[[#This Row],[DATA DO CAIXA PREVISTA]]))</f>
        <v>2017</v>
      </c>
      <c r="O2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20.055650867514487</v>
      </c>
    </row>
    <row r="28" spans="2:15" x14ac:dyDescent="0.25">
      <c r="B28" s="14">
        <v>43059.361635124777</v>
      </c>
      <c r="C28" s="14">
        <v>43026</v>
      </c>
      <c r="D28" s="14">
        <v>43059.361635124777</v>
      </c>
      <c r="E28" t="s">
        <v>47</v>
      </c>
      <c r="F28" t="s">
        <v>52</v>
      </c>
      <c r="G28" t="s">
        <v>312</v>
      </c>
      <c r="H28" s="17">
        <v>4182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COMPETENCIA]]="",0,MONTH(TbRegistroSaídas[[#This Row],[DATA DA COMPETENCIA]]))</f>
        <v>10</v>
      </c>
      <c r="L28">
        <f>IF(TbRegistroSaídas[[#This Row],[DATA DA COMPETENCIA]]="",0,YEAR(TbRegistroSaídas[[#This Row],[DATA DA COMPETENCIA]]))</f>
        <v>2017</v>
      </c>
      <c r="M28">
        <f>IF(TbRegistroSaídas[[#This Row],[DATA DO CAIXA PREVISTA]]="",0,MONTH(TbRegistroSaídas[[#This Row],[DATA DO CAIXA PREVISTA]]))</f>
        <v>11</v>
      </c>
      <c r="N28">
        <f>IF(TbRegistroSaídas[[#This Row],[DATA DO CAIXA PREVISTA]]="",0,YEAR(TbRegistroSaídas[[#This Row],[DATA DO CAIXA PREVISTA]]))</f>
        <v>2017</v>
      </c>
      <c r="O2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9" spans="2:15" x14ac:dyDescent="0.25">
      <c r="B29" s="14">
        <v>43037.396901300337</v>
      </c>
      <c r="C29" s="14">
        <v>43032</v>
      </c>
      <c r="D29" s="14">
        <v>43037.396901300337</v>
      </c>
      <c r="E29" t="s">
        <v>47</v>
      </c>
      <c r="F29" t="s">
        <v>37</v>
      </c>
      <c r="G29" t="s">
        <v>313</v>
      </c>
      <c r="H29" s="17">
        <v>339</v>
      </c>
      <c r="I29">
        <f>IF(TbRegistroSaídas[[#This Row],[DATA DO CAIXA REALIZADO]]="",0,MONTH(TbRegistroSaídas[[#This Row],[DATA DO CAIXA REALIZADO]]))</f>
        <v>10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COMPETENCIA]]="",0,MONTH(TbRegistroSaídas[[#This Row],[DATA DA COMPETENCIA]]))</f>
        <v>10</v>
      </c>
      <c r="L29">
        <f>IF(TbRegistroSaídas[[#This Row],[DATA DA COMPETENCIA]]="",0,YEAR(TbRegistroSaídas[[#This Row],[DATA DA COMPETENCIA]]))</f>
        <v>2017</v>
      </c>
      <c r="M29">
        <f>IF(TbRegistroSaídas[[#This Row],[DATA DO CAIXA PREVISTA]]="",0,MONTH(TbRegistroSaídas[[#This Row],[DATA DO CAIXA PREVISTA]]))</f>
        <v>10</v>
      </c>
      <c r="N29">
        <f>IF(TbRegistroSaídas[[#This Row],[DATA DO CAIXA PREVISTA]]="",0,YEAR(TbRegistroSaídas[[#This Row],[DATA DO CAIXA PREVISTA]]))</f>
        <v>2017</v>
      </c>
      <c r="O2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0" spans="2:15" x14ac:dyDescent="0.25">
      <c r="B30" s="14">
        <v>43130.980668733508</v>
      </c>
      <c r="C30" s="14">
        <v>43037</v>
      </c>
      <c r="D30" s="14">
        <v>43068.17516674153</v>
      </c>
      <c r="E30" t="s">
        <v>47</v>
      </c>
      <c r="F30" t="s">
        <v>46</v>
      </c>
      <c r="G30" t="s">
        <v>314</v>
      </c>
      <c r="H30" s="17">
        <v>1788</v>
      </c>
      <c r="I30">
        <f>IF(TbRegistroSaídas[[#This Row],[DATA DO CAIXA REALIZADO]]="",0,MONTH(TbRegistroSaídas[[#This Row],[DATA DO CAIXA REALIZADO]]))</f>
        <v>1</v>
      </c>
      <c r="J30">
        <f>IF(TbRegistroSaídas[[#This Row],[DATA DO CAIXA REALIZADO]]="",0,YEAR(TbRegistroSaídas[[#This Row],[DATA DO CAIXA REALIZADO]]))</f>
        <v>2018</v>
      </c>
      <c r="K30">
        <f>IF(TbRegistroSaídas[[#This Row],[DATA DA COMPETENCIA]]="",0,MONTH(TbRegistroSaídas[[#This Row],[DATA DA COMPETENCIA]]))</f>
        <v>10</v>
      </c>
      <c r="L30">
        <f>IF(TbRegistroSaídas[[#This Row],[DATA DA COMPETENCIA]]="",0,YEAR(TbRegistroSaídas[[#This Row],[DATA DA COMPETENCIA]]))</f>
        <v>2017</v>
      </c>
      <c r="M30">
        <f>IF(TbRegistroSaídas[[#This Row],[DATA DO CAIXA PREVISTA]]="",0,MONTH(TbRegistroSaídas[[#This Row],[DATA DO CAIXA PREVISTA]]))</f>
        <v>11</v>
      </c>
      <c r="N30">
        <f>IF(TbRegistroSaídas[[#This Row],[DATA DO CAIXA PREVISTA]]="",0,YEAR(TbRegistroSaídas[[#This Row],[DATA DO CAIXA PREVISTA]]))</f>
        <v>2017</v>
      </c>
      <c r="O3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62.805501991977508</v>
      </c>
    </row>
    <row r="31" spans="2:15" x14ac:dyDescent="0.25">
      <c r="B31" s="14">
        <v>43089.045976990965</v>
      </c>
      <c r="C31" s="14">
        <v>43042</v>
      </c>
      <c r="D31" s="14">
        <v>43089.045976990965</v>
      </c>
      <c r="E31" t="s">
        <v>47</v>
      </c>
      <c r="F31" t="s">
        <v>38</v>
      </c>
      <c r="G31" t="s">
        <v>315</v>
      </c>
      <c r="H31" s="17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COMPETENCIA]]="",0,MONTH(TbRegistroSaídas[[#This Row],[DATA DA COMPETENCIA]]))</f>
        <v>11</v>
      </c>
      <c r="L31">
        <f>IF(TbRegistroSaídas[[#This Row],[DATA DA COMPETENCIA]]="",0,YEAR(TbRegistroSaídas[[#This Row],[DATA DA COMPETENCIA]]))</f>
        <v>2017</v>
      </c>
      <c r="M31">
        <f>IF(TbRegistroSaídas[[#This Row],[DATA DO CAIXA PREVISTA]]="",0,MONTH(TbRegistroSaídas[[#This Row],[DATA DO CAIXA PREVISTA]]))</f>
        <v>12</v>
      </c>
      <c r="N31">
        <f>IF(TbRegistroSaídas[[#This Row],[DATA DO CAIXA PREVISTA]]="",0,YEAR(TbRegistroSaídas[[#This Row],[DATA DO CAIXA PREVISTA]]))</f>
        <v>2017</v>
      </c>
      <c r="O3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2" spans="2:15" x14ac:dyDescent="0.25">
      <c r="B32" s="14">
        <v>43053.799831016353</v>
      </c>
      <c r="C32" s="14">
        <v>43044</v>
      </c>
      <c r="D32" s="14">
        <v>43053.799831016353</v>
      </c>
      <c r="E32" t="s">
        <v>47</v>
      </c>
      <c r="F32" t="s">
        <v>52</v>
      </c>
      <c r="G32" t="s">
        <v>316</v>
      </c>
      <c r="H32" s="17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COMPETENCIA]]="",0,MONTH(TbRegistroSaídas[[#This Row],[DATA DA COMPETENCIA]]))</f>
        <v>11</v>
      </c>
      <c r="L32">
        <f>IF(TbRegistroSaídas[[#This Row],[DATA DA COMPETENCIA]]="",0,YEAR(TbRegistroSaídas[[#This Row],[DATA DA COMPETENCIA]]))</f>
        <v>2017</v>
      </c>
      <c r="M32">
        <f>IF(TbRegistroSaídas[[#This Row],[DATA DO CAIXA PREVISTA]]="",0,MONTH(TbRegistroSaídas[[#This Row],[DATA DO CAIXA PREVISTA]]))</f>
        <v>11</v>
      </c>
      <c r="N32">
        <f>IF(TbRegistroSaídas[[#This Row],[DATA DO CAIXA PREVISTA]]="",0,YEAR(TbRegistroSaídas[[#This Row],[DATA DO CAIXA PREVISTA]]))</f>
        <v>2017</v>
      </c>
      <c r="O3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3" spans="2:15" x14ac:dyDescent="0.25">
      <c r="B33" s="14">
        <v>43080.068251063065</v>
      </c>
      <c r="C33" s="14">
        <v>43047</v>
      </c>
      <c r="D33" s="14">
        <v>43080.068251063065</v>
      </c>
      <c r="E33" t="s">
        <v>47</v>
      </c>
      <c r="F33" t="s">
        <v>23</v>
      </c>
      <c r="G33" t="s">
        <v>317</v>
      </c>
      <c r="H33" s="17">
        <v>4919</v>
      </c>
      <c r="I33">
        <f>IF(TbRegistroSaídas[[#This Row],[DATA DO CAIXA REALIZADO]]="",0,MONTH(TbRegistroSaídas[[#This Row],[DATA DO CAIXA REALIZADO]]))</f>
        <v>12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COMPETENCIA]]="",0,MONTH(TbRegistroSaídas[[#This Row],[DATA DA COMPETENCIA]]))</f>
        <v>11</v>
      </c>
      <c r="L33">
        <f>IF(TbRegistroSaídas[[#This Row],[DATA DA COMPETENCIA]]="",0,YEAR(TbRegistroSaídas[[#This Row],[DATA DA COMPETENCIA]]))</f>
        <v>2017</v>
      </c>
      <c r="M33">
        <f>IF(TbRegistroSaídas[[#This Row],[DATA DO CAIXA PREVISTA]]="",0,MONTH(TbRegistroSaídas[[#This Row],[DATA DO CAIXA PREVISTA]]))</f>
        <v>12</v>
      </c>
      <c r="N33">
        <f>IF(TbRegistroSaídas[[#This Row],[DATA DO CAIXA PREVISTA]]="",0,YEAR(TbRegistroSaídas[[#This Row],[DATA DO CAIXA PREVISTA]]))</f>
        <v>2017</v>
      </c>
      <c r="O3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4" spans="2:15" x14ac:dyDescent="0.25">
      <c r="B34" s="14">
        <v>43097.450419750799</v>
      </c>
      <c r="C34" s="14">
        <v>43051</v>
      </c>
      <c r="D34" s="14">
        <v>43087.512329668702</v>
      </c>
      <c r="E34" t="s">
        <v>47</v>
      </c>
      <c r="F34" t="s">
        <v>52</v>
      </c>
      <c r="G34" t="s">
        <v>318</v>
      </c>
      <c r="H34" s="17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COMPETENCIA]]="",0,MONTH(TbRegistroSaídas[[#This Row],[DATA DA COMPETENCIA]]))</f>
        <v>11</v>
      </c>
      <c r="L34">
        <f>IF(TbRegistroSaídas[[#This Row],[DATA DA COMPETENCIA]]="",0,YEAR(TbRegistroSaídas[[#This Row],[DATA DA COMPETENCIA]]))</f>
        <v>2017</v>
      </c>
      <c r="M34">
        <f>IF(TbRegistroSaídas[[#This Row],[DATA DO CAIXA PREVISTA]]="",0,MONTH(TbRegistroSaídas[[#This Row],[DATA DO CAIXA PREVISTA]]))</f>
        <v>12</v>
      </c>
      <c r="N34">
        <f>IF(TbRegistroSaídas[[#This Row],[DATA DO CAIXA PREVISTA]]="",0,YEAR(TbRegistroSaídas[[#This Row],[DATA DO CAIXA PREVISTA]]))</f>
        <v>2017</v>
      </c>
      <c r="O3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9.938090082097915</v>
      </c>
    </row>
    <row r="35" spans="2:15" x14ac:dyDescent="0.25">
      <c r="B35" s="14">
        <v>43095.145797073659</v>
      </c>
      <c r="C35" s="14">
        <v>43054</v>
      </c>
      <c r="D35" s="14">
        <v>43095.145797073659</v>
      </c>
      <c r="E35" t="s">
        <v>47</v>
      </c>
      <c r="F35" t="s">
        <v>38</v>
      </c>
      <c r="G35" t="s">
        <v>319</v>
      </c>
      <c r="H35" s="17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COMPETENCIA]]="",0,MONTH(TbRegistroSaídas[[#This Row],[DATA DA COMPETENCIA]]))</f>
        <v>11</v>
      </c>
      <c r="L35">
        <f>IF(TbRegistroSaídas[[#This Row],[DATA DA COMPETENCIA]]="",0,YEAR(TbRegistroSaídas[[#This Row],[DATA DA COMPETENCIA]]))</f>
        <v>2017</v>
      </c>
      <c r="M35">
        <f>IF(TbRegistroSaídas[[#This Row],[DATA DO CAIXA PREVISTA]]="",0,MONTH(TbRegistroSaídas[[#This Row],[DATA DO CAIXA PREVISTA]]))</f>
        <v>12</v>
      </c>
      <c r="N35">
        <f>IF(TbRegistroSaídas[[#This Row],[DATA DO CAIXA PREVISTA]]="",0,YEAR(TbRegistroSaídas[[#This Row],[DATA DO CAIXA PREVISTA]]))</f>
        <v>2017</v>
      </c>
      <c r="O3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6" spans="2:15" x14ac:dyDescent="0.25">
      <c r="B36" s="14">
        <v>43085.287677276574</v>
      </c>
      <c r="C36" s="14">
        <v>43056</v>
      </c>
      <c r="D36" s="14">
        <v>43085.287677276574</v>
      </c>
      <c r="E36" t="s">
        <v>47</v>
      </c>
      <c r="F36" t="s">
        <v>38</v>
      </c>
      <c r="G36" t="s">
        <v>320</v>
      </c>
      <c r="H36" s="17">
        <v>312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COMPETENCIA]]="",0,MONTH(TbRegistroSaídas[[#This Row],[DATA DA COMPETENCIA]]))</f>
        <v>11</v>
      </c>
      <c r="L36">
        <f>IF(TbRegistroSaídas[[#This Row],[DATA DA COMPETENCIA]]="",0,YEAR(TbRegistroSaídas[[#This Row],[DATA DA COMPETENCIA]]))</f>
        <v>2017</v>
      </c>
      <c r="M36">
        <f>IF(TbRegistroSaídas[[#This Row],[DATA DO CAIXA PREVISTA]]="",0,MONTH(TbRegistroSaídas[[#This Row],[DATA DO CAIXA PREVISTA]]))</f>
        <v>12</v>
      </c>
      <c r="N36">
        <f>IF(TbRegistroSaídas[[#This Row],[DATA DO CAIXA PREVISTA]]="",0,YEAR(TbRegistroSaídas[[#This Row],[DATA DO CAIXA PREVISTA]]))</f>
        <v>2017</v>
      </c>
      <c r="O3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7" spans="2:15" x14ac:dyDescent="0.25">
      <c r="B37" s="14">
        <v>43112.669025156058</v>
      </c>
      <c r="C37" s="14">
        <v>43057</v>
      </c>
      <c r="D37" s="14">
        <v>43112.669025156058</v>
      </c>
      <c r="E37" t="s">
        <v>47</v>
      </c>
      <c r="F37" t="s">
        <v>52</v>
      </c>
      <c r="G37" t="s">
        <v>321</v>
      </c>
      <c r="H37" s="17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COMPETENCIA]]="",0,MONTH(TbRegistroSaídas[[#This Row],[DATA DA COMPETENCIA]]))</f>
        <v>11</v>
      </c>
      <c r="L37">
        <f>IF(TbRegistroSaídas[[#This Row],[DATA DA COMPETENCIA]]="",0,YEAR(TbRegistroSaídas[[#This Row],[DATA DA COMPETENCIA]]))</f>
        <v>2017</v>
      </c>
      <c r="M37">
        <f>IF(TbRegistroSaídas[[#This Row],[DATA DO CAIXA PREVISTA]]="",0,MONTH(TbRegistroSaídas[[#This Row],[DATA DO CAIXA PREVISTA]]))</f>
        <v>1</v>
      </c>
      <c r="N37">
        <f>IF(TbRegistroSaídas[[#This Row],[DATA DO CAIXA PREVISTA]]="",0,YEAR(TbRegistroSaídas[[#This Row],[DATA DO CAIXA PREVISTA]]))</f>
        <v>2018</v>
      </c>
      <c r="O3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8" spans="2:15" x14ac:dyDescent="0.25">
      <c r="B38" s="14">
        <v>43076.636591836308</v>
      </c>
      <c r="C38" s="14">
        <v>43058</v>
      </c>
      <c r="D38" s="14">
        <v>43076.636591836308</v>
      </c>
      <c r="E38" t="s">
        <v>47</v>
      </c>
      <c r="F38" t="s">
        <v>23</v>
      </c>
      <c r="G38" t="s">
        <v>322</v>
      </c>
      <c r="H38" s="17">
        <v>228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COMPETENCIA]]="",0,MONTH(TbRegistroSaídas[[#This Row],[DATA DA COMPETENCIA]]))</f>
        <v>11</v>
      </c>
      <c r="L38">
        <f>IF(TbRegistroSaídas[[#This Row],[DATA DA COMPETENCIA]]="",0,YEAR(TbRegistroSaídas[[#This Row],[DATA DA COMPETENCIA]]))</f>
        <v>2017</v>
      </c>
      <c r="M38">
        <f>IF(TbRegistroSaídas[[#This Row],[DATA DO CAIXA PREVISTA]]="",0,MONTH(TbRegistroSaídas[[#This Row],[DATA DO CAIXA PREVISTA]]))</f>
        <v>12</v>
      </c>
      <c r="N38">
        <f>IF(TbRegistroSaídas[[#This Row],[DATA DO CAIXA PREVISTA]]="",0,YEAR(TbRegistroSaídas[[#This Row],[DATA DO CAIXA PREVISTA]]))</f>
        <v>2017</v>
      </c>
      <c r="O3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39" spans="2:15" x14ac:dyDescent="0.25">
      <c r="B39" s="14">
        <v>43097.776800296095</v>
      </c>
      <c r="C39" s="14">
        <v>43061</v>
      </c>
      <c r="D39" s="14">
        <v>43097.776800296095</v>
      </c>
      <c r="E39" t="s">
        <v>47</v>
      </c>
      <c r="F39" t="s">
        <v>52</v>
      </c>
      <c r="G39" t="s">
        <v>323</v>
      </c>
      <c r="H39" s="17">
        <v>450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COMPETENCIA]]="",0,MONTH(TbRegistroSaídas[[#This Row],[DATA DA COMPETENCIA]]))</f>
        <v>11</v>
      </c>
      <c r="L39">
        <f>IF(TbRegistroSaídas[[#This Row],[DATA DA COMPETENCIA]]="",0,YEAR(TbRegistroSaídas[[#This Row],[DATA DA COMPETENCIA]]))</f>
        <v>2017</v>
      </c>
      <c r="M39">
        <f>IF(TbRegistroSaídas[[#This Row],[DATA DO CAIXA PREVISTA]]="",0,MONTH(TbRegistroSaídas[[#This Row],[DATA DO CAIXA PREVISTA]]))</f>
        <v>12</v>
      </c>
      <c r="N39">
        <f>IF(TbRegistroSaídas[[#This Row],[DATA DO CAIXA PREVISTA]]="",0,YEAR(TbRegistroSaídas[[#This Row],[DATA DO CAIXA PREVISTA]]))</f>
        <v>2017</v>
      </c>
      <c r="O3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0" spans="2:15" x14ac:dyDescent="0.25">
      <c r="B40" s="14" t="s">
        <v>68</v>
      </c>
      <c r="C40" s="14">
        <v>43062</v>
      </c>
      <c r="D40" s="14">
        <v>43103.4086174822</v>
      </c>
      <c r="E40" t="s">
        <v>47</v>
      </c>
      <c r="F40" t="s">
        <v>52</v>
      </c>
      <c r="G40" t="s">
        <v>324</v>
      </c>
      <c r="H40" s="17">
        <v>1155</v>
      </c>
      <c r="I40">
        <f>IF(TbRegistroSaídas[[#This Row],[DATA DO CAIXA REALIZADO]]="",0,MONTH(TbRegistroSaídas[[#This Row],[DATA DO CAIXA REALIZADO]]))</f>
        <v>0</v>
      </c>
      <c r="J40">
        <f>IF(TbRegistroSaídas[[#This Row],[DATA DO CAIXA REALIZADO]]="",0,YEAR(TbRegistroSaídas[[#This Row],[DATA DO CAIXA REALIZADO]]))</f>
        <v>0</v>
      </c>
      <c r="K40">
        <f>IF(TbRegistroSaídas[[#This Row],[DATA DA COMPETENCIA]]="",0,MONTH(TbRegistroSaídas[[#This Row],[DATA DA COMPETENCIA]]))</f>
        <v>11</v>
      </c>
      <c r="L40">
        <f>IF(TbRegistroSaídas[[#This Row],[DATA DA COMPETENCIA]]="",0,YEAR(TbRegistroSaídas[[#This Row],[DATA DA COMPETENCIA]]))</f>
        <v>2017</v>
      </c>
      <c r="M40">
        <f>IF(TbRegistroSaídas[[#This Row],[DATA DO CAIXA PREVISTA]]="",0,MONTH(TbRegistroSaídas[[#This Row],[DATA DO CAIXA PREVISTA]]))</f>
        <v>1</v>
      </c>
      <c r="N40">
        <f>IF(TbRegistroSaídas[[#This Row],[DATA DO CAIXA PREVISTA]]="",0,YEAR(TbRegistroSaídas[[#This Row],[DATA DO CAIXA PREVISTA]]))</f>
        <v>2018</v>
      </c>
      <c r="O40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41" spans="2:15" x14ac:dyDescent="0.25">
      <c r="B41" s="14" t="s">
        <v>68</v>
      </c>
      <c r="C41" s="14">
        <v>43069</v>
      </c>
      <c r="D41" s="14">
        <v>43070.024697534791</v>
      </c>
      <c r="E41" t="s">
        <v>47</v>
      </c>
      <c r="F41" t="s">
        <v>52</v>
      </c>
      <c r="G41" t="s">
        <v>293</v>
      </c>
      <c r="H41" s="17">
        <v>1967</v>
      </c>
      <c r="I41">
        <f>IF(TbRegistroSaídas[[#This Row],[DATA DO CAIXA REALIZADO]]="",0,MONTH(TbRegistroSaídas[[#This Row],[DATA DO CAIXA REALIZADO]]))</f>
        <v>0</v>
      </c>
      <c r="J41">
        <f>IF(TbRegistroSaídas[[#This Row],[DATA DO CAIXA REALIZADO]]="",0,YEAR(TbRegistroSaídas[[#This Row],[DATA DO CAIXA REALIZADO]]))</f>
        <v>0</v>
      </c>
      <c r="K41">
        <f>IF(TbRegistroSaídas[[#This Row],[DATA DA COMPETENCIA]]="",0,MONTH(TbRegistroSaídas[[#This Row],[DATA DA COMPETENCIA]]))</f>
        <v>11</v>
      </c>
      <c r="L41">
        <f>IF(TbRegistroSaídas[[#This Row],[DATA DA COMPETENCIA]]="",0,YEAR(TbRegistroSaídas[[#This Row],[DATA DA COMPETENCIA]]))</f>
        <v>2017</v>
      </c>
      <c r="M41">
        <f>IF(TbRegistroSaídas[[#This Row],[DATA DO CAIXA PREVISTA]]="",0,MONTH(TbRegistroSaídas[[#This Row],[DATA DO CAIXA PREVISTA]]))</f>
        <v>12</v>
      </c>
      <c r="N41">
        <f>IF(TbRegistroSaídas[[#This Row],[DATA DO CAIXA PREVISTA]]="",0,YEAR(TbRegistroSaídas[[#This Row],[DATA DO CAIXA PREVISTA]]))</f>
        <v>2017</v>
      </c>
      <c r="O41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42" spans="2:15" x14ac:dyDescent="0.25">
      <c r="B42" s="14">
        <v>43159.922520357031</v>
      </c>
      <c r="C42" s="14">
        <v>43070</v>
      </c>
      <c r="D42" s="14">
        <v>43096.096100611438</v>
      </c>
      <c r="E42" t="s">
        <v>47</v>
      </c>
      <c r="F42" t="s">
        <v>46</v>
      </c>
      <c r="G42" t="s">
        <v>325</v>
      </c>
      <c r="H42" s="17">
        <v>2741</v>
      </c>
      <c r="I42">
        <f>IF(TbRegistroSaídas[[#This Row],[DATA DO CAIXA REALIZADO]]="",0,MONTH(TbRegistroSaídas[[#This Row],[DATA DO CAIXA REALIZADO]]))</f>
        <v>2</v>
      </c>
      <c r="J42">
        <f>IF(TbRegistroSaídas[[#This Row],[DATA DO CAIXA REALIZADO]]="",0,YEAR(TbRegistroSaídas[[#This Row],[DATA DO CAIXA REALIZADO]]))</f>
        <v>2018</v>
      </c>
      <c r="K42">
        <f>IF(TbRegistroSaídas[[#This Row],[DATA DA COMPETENCIA]]="",0,MONTH(TbRegistroSaídas[[#This Row],[DATA DA COMPETENCIA]]))</f>
        <v>12</v>
      </c>
      <c r="L42">
        <f>IF(TbRegistroSaídas[[#This Row],[DATA DA COMPETENCIA]]="",0,YEAR(TbRegistroSaídas[[#This Row],[DATA DA COMPETENCIA]]))</f>
        <v>2017</v>
      </c>
      <c r="M42">
        <f>IF(TbRegistroSaídas[[#This Row],[DATA DO CAIXA PREVISTA]]="",0,MONTH(TbRegistroSaídas[[#This Row],[DATA DO CAIXA PREVISTA]]))</f>
        <v>12</v>
      </c>
      <c r="N42">
        <f>IF(TbRegistroSaídas[[#This Row],[DATA DO CAIXA PREVISTA]]="",0,YEAR(TbRegistroSaídas[[#This Row],[DATA DO CAIXA PREVISTA]]))</f>
        <v>2017</v>
      </c>
      <c r="O4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63.826419745593739</v>
      </c>
    </row>
    <row r="43" spans="2:15" x14ac:dyDescent="0.25">
      <c r="B43" s="14">
        <v>43125.34551811625</v>
      </c>
      <c r="C43" s="14">
        <v>43071</v>
      </c>
      <c r="D43" s="14">
        <v>43125.34551811625</v>
      </c>
      <c r="E43" t="s">
        <v>47</v>
      </c>
      <c r="F43" t="s">
        <v>37</v>
      </c>
      <c r="G43" t="s">
        <v>326</v>
      </c>
      <c r="H43" s="17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COMPETENCIA]]="",0,MONTH(TbRegistroSaídas[[#This Row],[DATA DA COMPETENCIA]]))</f>
        <v>12</v>
      </c>
      <c r="L43">
        <f>IF(TbRegistroSaídas[[#This Row],[DATA DA COMPETENCIA]]="",0,YEAR(TbRegistroSaídas[[#This Row],[DATA DA COMPETENCIA]]))</f>
        <v>2017</v>
      </c>
      <c r="M43">
        <f>IF(TbRegistroSaídas[[#This Row],[DATA DO CAIXA PREVISTA]]="",0,MONTH(TbRegistroSaídas[[#This Row],[DATA DO CAIXA PREVISTA]]))</f>
        <v>1</v>
      </c>
      <c r="N43">
        <f>IF(TbRegistroSaídas[[#This Row],[DATA DO CAIXA PREVISTA]]="",0,YEAR(TbRegistroSaídas[[#This Row],[DATA DO CAIXA PREVISTA]]))</f>
        <v>2018</v>
      </c>
      <c r="O4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4" spans="2:15" x14ac:dyDescent="0.25">
      <c r="B44" s="14">
        <v>43118.533892290689</v>
      </c>
      <c r="C44" s="14">
        <v>43075</v>
      </c>
      <c r="D44" s="14">
        <v>43118.533892290689</v>
      </c>
      <c r="E44" t="s">
        <v>47</v>
      </c>
      <c r="F44" t="s">
        <v>38</v>
      </c>
      <c r="G44" t="s">
        <v>327</v>
      </c>
      <c r="H44" s="17">
        <v>4835</v>
      </c>
      <c r="I44">
        <f>IF(TbRegistroSaídas[[#This Row],[DATA DO CAIXA REALIZADO]]="",0,MONTH(TbRegistroSaídas[[#This Row],[DATA DO CAIXA REALIZADO]]))</f>
        <v>1</v>
      </c>
      <c r="J44">
        <f>IF(TbRegistroSaídas[[#This Row],[DATA DO CAIXA REALIZADO]]="",0,YEAR(TbRegistroSaídas[[#This Row],[DATA DO CAIXA REALIZADO]]))</f>
        <v>2018</v>
      </c>
      <c r="K44">
        <f>IF(TbRegistroSaídas[[#This Row],[DATA DA COMPETENCIA]]="",0,MONTH(TbRegistroSaídas[[#This Row],[DATA DA COMPETENCIA]]))</f>
        <v>12</v>
      </c>
      <c r="L44">
        <f>IF(TbRegistroSaídas[[#This Row],[DATA DA COMPETENCIA]]="",0,YEAR(TbRegistroSaídas[[#This Row],[DATA DA COMPETENCIA]]))</f>
        <v>2017</v>
      </c>
      <c r="M44">
        <f>IF(TbRegistroSaídas[[#This Row],[DATA DO CAIXA PREVISTA]]="",0,MONTH(TbRegistroSaídas[[#This Row],[DATA DO CAIXA PREVISTA]]))</f>
        <v>1</v>
      </c>
      <c r="N44">
        <f>IF(TbRegistroSaídas[[#This Row],[DATA DO CAIXA PREVISTA]]="",0,YEAR(TbRegistroSaídas[[#This Row],[DATA DO CAIXA PREVISTA]]))</f>
        <v>2018</v>
      </c>
      <c r="O4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5" spans="2:15" x14ac:dyDescent="0.25">
      <c r="B45" s="14">
        <v>43129.076273391656</v>
      </c>
      <c r="C45" s="14">
        <v>43077</v>
      </c>
      <c r="D45" s="14">
        <v>43129.076273391656</v>
      </c>
      <c r="E45" t="s">
        <v>47</v>
      </c>
      <c r="F45" t="s">
        <v>46</v>
      </c>
      <c r="G45" t="s">
        <v>289</v>
      </c>
      <c r="H45" s="17">
        <v>1411</v>
      </c>
      <c r="I45">
        <f>IF(TbRegistroSaídas[[#This Row],[DATA DO CAIXA REALIZADO]]="",0,MONTH(TbRegistroSaídas[[#This Row],[DATA DO CAIXA REALIZADO]]))</f>
        <v>1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COMPETENCIA]]="",0,MONTH(TbRegistroSaídas[[#This Row],[DATA DA COMPETENCIA]]))</f>
        <v>12</v>
      </c>
      <c r="L45">
        <f>IF(TbRegistroSaídas[[#This Row],[DATA DA COMPETENCIA]]="",0,YEAR(TbRegistroSaídas[[#This Row],[DATA DA COMPETENCIA]]))</f>
        <v>2017</v>
      </c>
      <c r="M45">
        <f>IF(TbRegistroSaídas[[#This Row],[DATA DO CAIXA PREVISTA]]="",0,MONTH(TbRegistroSaídas[[#This Row],[DATA DO CAIXA PREVISTA]]))</f>
        <v>1</v>
      </c>
      <c r="N45">
        <f>IF(TbRegistroSaídas[[#This Row],[DATA DO CAIXA PREVISTA]]="",0,YEAR(TbRegistroSaídas[[#This Row],[DATA DO CAIXA PREVISTA]]))</f>
        <v>2018</v>
      </c>
      <c r="O4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6" spans="2:15" x14ac:dyDescent="0.25">
      <c r="B46" s="14">
        <v>43099.632017726879</v>
      </c>
      <c r="C46" s="14">
        <v>43079</v>
      </c>
      <c r="D46" s="14">
        <v>43099.632017726879</v>
      </c>
      <c r="E46" t="s">
        <v>47</v>
      </c>
      <c r="F46" t="s">
        <v>52</v>
      </c>
      <c r="G46" t="s">
        <v>328</v>
      </c>
      <c r="H46" s="17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COMPETENCIA]]="",0,MONTH(TbRegistroSaídas[[#This Row],[DATA DA COMPETENCIA]]))</f>
        <v>12</v>
      </c>
      <c r="L46">
        <f>IF(TbRegistroSaídas[[#This Row],[DATA DA COMPETENCIA]]="",0,YEAR(TbRegistroSaídas[[#This Row],[DATA DA COMPETENCIA]]))</f>
        <v>2017</v>
      </c>
      <c r="M46">
        <f>IF(TbRegistroSaídas[[#This Row],[DATA DO CAIXA PREVISTA]]="",0,MONTH(TbRegistroSaídas[[#This Row],[DATA DO CAIXA PREVISTA]]))</f>
        <v>12</v>
      </c>
      <c r="N46">
        <f>IF(TbRegistroSaídas[[#This Row],[DATA DO CAIXA PREVISTA]]="",0,YEAR(TbRegistroSaídas[[#This Row],[DATA DO CAIXA PREVISTA]]))</f>
        <v>2017</v>
      </c>
      <c r="O4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7" spans="2:15" x14ac:dyDescent="0.25">
      <c r="B47" s="14">
        <v>43142.610706080763</v>
      </c>
      <c r="C47" s="14">
        <v>43084</v>
      </c>
      <c r="D47" s="14">
        <v>43142.610706080763</v>
      </c>
      <c r="E47" t="s">
        <v>47</v>
      </c>
      <c r="F47" t="s">
        <v>37</v>
      </c>
      <c r="G47" t="s">
        <v>329</v>
      </c>
      <c r="H47" s="17">
        <v>2623</v>
      </c>
      <c r="I47">
        <f>IF(TbRegistroSaídas[[#This Row],[DATA DO CAIXA REALIZADO]]="",0,MONTH(TbRegistroSaídas[[#This Row],[DATA DO CAIXA REALIZADO]]))</f>
        <v>2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COMPETENCIA]]="",0,MONTH(TbRegistroSaídas[[#This Row],[DATA DA COMPETENCIA]]))</f>
        <v>12</v>
      </c>
      <c r="L47">
        <f>IF(TbRegistroSaídas[[#This Row],[DATA DA COMPETENCIA]]="",0,YEAR(TbRegistroSaídas[[#This Row],[DATA DA COMPETENCIA]]))</f>
        <v>2017</v>
      </c>
      <c r="M47">
        <f>IF(TbRegistroSaídas[[#This Row],[DATA DO CAIXA PREVISTA]]="",0,MONTH(TbRegistroSaídas[[#This Row],[DATA DO CAIXA PREVISTA]]))</f>
        <v>2</v>
      </c>
      <c r="N47">
        <f>IF(TbRegistroSaídas[[#This Row],[DATA DO CAIXA PREVISTA]]="",0,YEAR(TbRegistroSaídas[[#This Row],[DATA DO CAIXA PREVISTA]]))</f>
        <v>2018</v>
      </c>
      <c r="O4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8" spans="2:15" x14ac:dyDescent="0.25">
      <c r="B48" s="14">
        <v>43098.200846805485</v>
      </c>
      <c r="C48" s="14">
        <v>43086</v>
      </c>
      <c r="D48" s="14">
        <v>43098.200846805485</v>
      </c>
      <c r="E48" t="s">
        <v>47</v>
      </c>
      <c r="F48" t="s">
        <v>46</v>
      </c>
      <c r="G48" t="s">
        <v>330</v>
      </c>
      <c r="H48" s="17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COMPETENCIA]]="",0,MONTH(TbRegistroSaídas[[#This Row],[DATA DA COMPETENCIA]]))</f>
        <v>12</v>
      </c>
      <c r="L48">
        <f>IF(TbRegistroSaídas[[#This Row],[DATA DA COMPETENCIA]]="",0,YEAR(TbRegistroSaídas[[#This Row],[DATA DA COMPETENCIA]]))</f>
        <v>2017</v>
      </c>
      <c r="M48">
        <f>IF(TbRegistroSaídas[[#This Row],[DATA DO CAIXA PREVISTA]]="",0,MONTH(TbRegistroSaídas[[#This Row],[DATA DO CAIXA PREVISTA]]))</f>
        <v>12</v>
      </c>
      <c r="N48">
        <f>IF(TbRegistroSaídas[[#This Row],[DATA DO CAIXA PREVISTA]]="",0,YEAR(TbRegistroSaídas[[#This Row],[DATA DO CAIXA PREVISTA]]))</f>
        <v>2017</v>
      </c>
      <c r="O4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49" spans="2:15" x14ac:dyDescent="0.25">
      <c r="B49" s="14">
        <v>43111.046742717648</v>
      </c>
      <c r="C49" s="14">
        <v>43089</v>
      </c>
      <c r="D49" s="14">
        <v>43111.046742717648</v>
      </c>
      <c r="E49" t="s">
        <v>47</v>
      </c>
      <c r="F49" t="s">
        <v>52</v>
      </c>
      <c r="G49" t="s">
        <v>331</v>
      </c>
      <c r="H49" s="17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COMPETENCIA]]="",0,MONTH(TbRegistroSaídas[[#This Row],[DATA DA COMPETENCIA]]))</f>
        <v>12</v>
      </c>
      <c r="L49">
        <f>IF(TbRegistroSaídas[[#This Row],[DATA DA COMPETENCIA]]="",0,YEAR(TbRegistroSaídas[[#This Row],[DATA DA COMPETENCIA]]))</f>
        <v>2017</v>
      </c>
      <c r="M49">
        <f>IF(TbRegistroSaídas[[#This Row],[DATA DO CAIXA PREVISTA]]="",0,MONTH(TbRegistroSaídas[[#This Row],[DATA DO CAIXA PREVISTA]]))</f>
        <v>1</v>
      </c>
      <c r="N49">
        <f>IF(TbRegistroSaídas[[#This Row],[DATA DO CAIXA PREVISTA]]="",0,YEAR(TbRegistroSaídas[[#This Row],[DATA DO CAIXA PREVISTA]]))</f>
        <v>2018</v>
      </c>
      <c r="O4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0" spans="2:15" x14ac:dyDescent="0.25">
      <c r="B50" s="14">
        <v>43148.048932403181</v>
      </c>
      <c r="C50" s="14">
        <v>43090</v>
      </c>
      <c r="D50" s="14">
        <v>43148.048932403181</v>
      </c>
      <c r="E50" t="s">
        <v>47</v>
      </c>
      <c r="F50" t="s">
        <v>52</v>
      </c>
      <c r="G50" t="s">
        <v>332</v>
      </c>
      <c r="H50" s="17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COMPETENCIA]]="",0,MONTH(TbRegistroSaídas[[#This Row],[DATA DA COMPETENCIA]]))</f>
        <v>12</v>
      </c>
      <c r="L50">
        <f>IF(TbRegistroSaídas[[#This Row],[DATA DA COMPETENCIA]]="",0,YEAR(TbRegistroSaídas[[#This Row],[DATA DA COMPETENCIA]]))</f>
        <v>2017</v>
      </c>
      <c r="M50">
        <f>IF(TbRegistroSaídas[[#This Row],[DATA DO CAIXA PREVISTA]]="",0,MONTH(TbRegistroSaídas[[#This Row],[DATA DO CAIXA PREVISTA]]))</f>
        <v>2</v>
      </c>
      <c r="N50">
        <f>IF(TbRegistroSaídas[[#This Row],[DATA DO CAIXA PREVISTA]]="",0,YEAR(TbRegistroSaídas[[#This Row],[DATA DO CAIXA PREVISTA]]))</f>
        <v>2018</v>
      </c>
      <c r="O5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1" spans="2:15" x14ac:dyDescent="0.25">
      <c r="B51" s="14">
        <v>43135.265910262075</v>
      </c>
      <c r="C51" s="14">
        <v>43094</v>
      </c>
      <c r="D51" s="14">
        <v>43135.265910262075</v>
      </c>
      <c r="E51" t="s">
        <v>47</v>
      </c>
      <c r="F51" t="s">
        <v>46</v>
      </c>
      <c r="G51" t="s">
        <v>333</v>
      </c>
      <c r="H51" s="17">
        <v>4494</v>
      </c>
      <c r="I51">
        <f>IF(TbRegistroSaídas[[#This Row],[DATA DO CAIXA REALIZADO]]="",0,MONTH(TbRegistroSaídas[[#This Row],[DATA DO CAIXA REALIZADO]]))</f>
        <v>2</v>
      </c>
      <c r="J51">
        <f>IF(TbRegistroSaídas[[#This Row],[DATA DO CAIXA REALIZADO]]="",0,YEAR(TbRegistroSaídas[[#This Row],[DATA DO CAIXA REALIZADO]]))</f>
        <v>2018</v>
      </c>
      <c r="K51">
        <f>IF(TbRegistroSaídas[[#This Row],[DATA DA COMPETENCIA]]="",0,MONTH(TbRegistroSaídas[[#This Row],[DATA DA COMPETENCIA]]))</f>
        <v>12</v>
      </c>
      <c r="L51">
        <f>IF(TbRegistroSaídas[[#This Row],[DATA DA COMPETENCIA]]="",0,YEAR(TbRegistroSaídas[[#This Row],[DATA DA COMPETENCIA]]))</f>
        <v>2017</v>
      </c>
      <c r="M51">
        <f>IF(TbRegistroSaídas[[#This Row],[DATA DO CAIXA PREVISTA]]="",0,MONTH(TbRegistroSaídas[[#This Row],[DATA DO CAIXA PREVISTA]]))</f>
        <v>2</v>
      </c>
      <c r="N51">
        <f>IF(TbRegistroSaídas[[#This Row],[DATA DO CAIXA PREVISTA]]="",0,YEAR(TbRegistroSaídas[[#This Row],[DATA DO CAIXA PREVISTA]]))</f>
        <v>2018</v>
      </c>
      <c r="O5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2" spans="2:15" x14ac:dyDescent="0.25">
      <c r="B52" s="14">
        <v>43124.925483598126</v>
      </c>
      <c r="C52" s="14">
        <v>43096</v>
      </c>
      <c r="D52" s="14">
        <v>43124.925483598126</v>
      </c>
      <c r="E52" t="s">
        <v>47</v>
      </c>
      <c r="F52" t="s">
        <v>23</v>
      </c>
      <c r="G52" t="s">
        <v>334</v>
      </c>
      <c r="H52" s="17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COMPETENCIA]]="",0,MONTH(TbRegistroSaídas[[#This Row],[DATA DA COMPETENCIA]]))</f>
        <v>12</v>
      </c>
      <c r="L52">
        <f>IF(TbRegistroSaídas[[#This Row],[DATA DA COMPETENCIA]]="",0,YEAR(TbRegistroSaídas[[#This Row],[DATA DA COMPETENCIA]]))</f>
        <v>2017</v>
      </c>
      <c r="M52">
        <f>IF(TbRegistroSaídas[[#This Row],[DATA DO CAIXA PREVISTA]]="",0,MONTH(TbRegistroSaídas[[#This Row],[DATA DO CAIXA PREVISTA]]))</f>
        <v>1</v>
      </c>
      <c r="N52">
        <f>IF(TbRegistroSaídas[[#This Row],[DATA DO CAIXA PREVISTA]]="",0,YEAR(TbRegistroSaídas[[#This Row],[DATA DO CAIXA PREVISTA]]))</f>
        <v>2018</v>
      </c>
      <c r="O5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3" spans="2:15" x14ac:dyDescent="0.25">
      <c r="B53" s="14">
        <v>43143.989919163403</v>
      </c>
      <c r="C53" s="14">
        <v>43098</v>
      </c>
      <c r="D53" s="14">
        <v>43143.989919163403</v>
      </c>
      <c r="E53" t="s">
        <v>47</v>
      </c>
      <c r="F53" t="s">
        <v>37</v>
      </c>
      <c r="G53" t="s">
        <v>335</v>
      </c>
      <c r="H53" s="17">
        <v>2015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COMPETENCIA]]="",0,MONTH(TbRegistroSaídas[[#This Row],[DATA DA COMPETENCIA]]))</f>
        <v>12</v>
      </c>
      <c r="L53">
        <f>IF(TbRegistroSaídas[[#This Row],[DATA DA COMPETENCIA]]="",0,YEAR(TbRegistroSaídas[[#This Row],[DATA DA COMPETENCIA]]))</f>
        <v>2017</v>
      </c>
      <c r="M53">
        <f>IF(TbRegistroSaídas[[#This Row],[DATA DO CAIXA PREVISTA]]="",0,MONTH(TbRegistroSaídas[[#This Row],[DATA DO CAIXA PREVISTA]]))</f>
        <v>2</v>
      </c>
      <c r="N53">
        <f>IF(TbRegistroSaídas[[#This Row],[DATA DO CAIXA PREVISTA]]="",0,YEAR(TbRegistroSaídas[[#This Row],[DATA DO CAIXA PREVISTA]]))</f>
        <v>2018</v>
      </c>
      <c r="O5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4" spans="2:15" x14ac:dyDescent="0.25">
      <c r="B54" s="14">
        <v>43180.312256585908</v>
      </c>
      <c r="C54" s="14">
        <v>43100</v>
      </c>
      <c r="D54" s="14">
        <v>43151.353970851676</v>
      </c>
      <c r="E54" t="s">
        <v>47</v>
      </c>
      <c r="F54" t="s">
        <v>38</v>
      </c>
      <c r="G54" t="s">
        <v>336</v>
      </c>
      <c r="H54" s="17">
        <v>3413</v>
      </c>
      <c r="I54">
        <f>IF(TbRegistroSaídas[[#This Row],[DATA DO CAIXA REALIZADO]]="",0,MONTH(TbRegistroSaídas[[#This Row],[DATA DO CAIXA REALIZADO]]))</f>
        <v>3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COMPETENCIA]]="",0,MONTH(TbRegistroSaídas[[#This Row],[DATA DA COMPETENCIA]]))</f>
        <v>12</v>
      </c>
      <c r="L54">
        <f>IF(TbRegistroSaídas[[#This Row],[DATA DA COMPETENCIA]]="",0,YEAR(TbRegistroSaídas[[#This Row],[DATA DA COMPETENCIA]]))</f>
        <v>2017</v>
      </c>
      <c r="M54">
        <f>IF(TbRegistroSaídas[[#This Row],[DATA DO CAIXA PREVISTA]]="",0,MONTH(TbRegistroSaídas[[#This Row],[DATA DO CAIXA PREVISTA]]))</f>
        <v>2</v>
      </c>
      <c r="N54">
        <f>IF(TbRegistroSaídas[[#This Row],[DATA DO CAIXA PREVISTA]]="",0,YEAR(TbRegistroSaídas[[#This Row],[DATA DO CAIXA PREVISTA]]))</f>
        <v>2018</v>
      </c>
      <c r="O5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28.958285734232049</v>
      </c>
    </row>
    <row r="55" spans="2:15" x14ac:dyDescent="0.25">
      <c r="B55" s="14">
        <v>43144.795115927831</v>
      </c>
      <c r="C55" s="14">
        <v>43103</v>
      </c>
      <c r="D55" s="14">
        <v>43108.84859147996</v>
      </c>
      <c r="E55" t="s">
        <v>47</v>
      </c>
      <c r="F55" t="s">
        <v>23</v>
      </c>
      <c r="G55" t="s">
        <v>337</v>
      </c>
      <c r="H55" s="17">
        <v>4087</v>
      </c>
      <c r="I55">
        <f>IF(TbRegistroSaídas[[#This Row],[DATA DO CAIXA REALIZADO]]="",0,MONTH(TbRegistroSaídas[[#This Row],[DATA DO CAIXA REALIZADO]]))</f>
        <v>2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COMPETENCIA]]="",0,MONTH(TbRegistroSaídas[[#This Row],[DATA DA COMPETENCIA]]))</f>
        <v>1</v>
      </c>
      <c r="L55">
        <f>IF(TbRegistroSaídas[[#This Row],[DATA DA COMPETENCIA]]="",0,YEAR(TbRegistroSaídas[[#This Row],[DATA DA COMPETENCIA]]))</f>
        <v>2018</v>
      </c>
      <c r="M55">
        <f>IF(TbRegistroSaídas[[#This Row],[DATA DO CAIXA PREVISTA]]="",0,MONTH(TbRegistroSaídas[[#This Row],[DATA DO CAIXA PREVISTA]]))</f>
        <v>1</v>
      </c>
      <c r="N55">
        <f>IF(TbRegistroSaídas[[#This Row],[DATA DO CAIXA PREVISTA]]="",0,YEAR(TbRegistroSaídas[[#This Row],[DATA DO CAIXA PREVISTA]]))</f>
        <v>2018</v>
      </c>
      <c r="O5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35.946524447870615</v>
      </c>
    </row>
    <row r="56" spans="2:15" x14ac:dyDescent="0.25">
      <c r="B56" s="14">
        <v>43117.371907988454</v>
      </c>
      <c r="C56" s="14">
        <v>43106</v>
      </c>
      <c r="D56" s="14">
        <v>43117.371907988454</v>
      </c>
      <c r="E56" t="s">
        <v>47</v>
      </c>
      <c r="F56" t="s">
        <v>52</v>
      </c>
      <c r="G56" t="s">
        <v>338</v>
      </c>
      <c r="H56" s="17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COMPETENCIA]]="",0,MONTH(TbRegistroSaídas[[#This Row],[DATA DA COMPETENCIA]]))</f>
        <v>1</v>
      </c>
      <c r="L56">
        <f>IF(TbRegistroSaídas[[#This Row],[DATA DA COMPETENCIA]]="",0,YEAR(TbRegistroSaídas[[#This Row],[DATA DA COMPETENCIA]]))</f>
        <v>2018</v>
      </c>
      <c r="M56">
        <f>IF(TbRegistroSaídas[[#This Row],[DATA DO CAIXA PREVISTA]]="",0,MONTH(TbRegistroSaídas[[#This Row],[DATA DO CAIXA PREVISTA]]))</f>
        <v>1</v>
      </c>
      <c r="N56">
        <f>IF(TbRegistroSaídas[[#This Row],[DATA DO CAIXA PREVISTA]]="",0,YEAR(TbRegistroSaídas[[#This Row],[DATA DO CAIXA PREVISTA]]))</f>
        <v>2018</v>
      </c>
      <c r="O5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7" spans="2:15" x14ac:dyDescent="0.25">
      <c r="B57" s="14">
        <v>43127.72575701114</v>
      </c>
      <c r="C57" s="14">
        <v>43109</v>
      </c>
      <c r="D57" s="14">
        <v>43127.72575701114</v>
      </c>
      <c r="E57" t="s">
        <v>47</v>
      </c>
      <c r="F57" t="s">
        <v>37</v>
      </c>
      <c r="G57" t="s">
        <v>339</v>
      </c>
      <c r="H57" s="17">
        <v>3598</v>
      </c>
      <c r="I57">
        <f>IF(TbRegistroSaídas[[#This Row],[DATA DO CAIXA REALIZADO]]="",0,MONTH(TbRegistroSaídas[[#This Row],[DATA DO CAIXA REALIZADO]]))</f>
        <v>1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COMPETENCIA]]="",0,MONTH(TbRegistroSaídas[[#This Row],[DATA DA COMPETENCIA]]))</f>
        <v>1</v>
      </c>
      <c r="L57">
        <f>IF(TbRegistroSaídas[[#This Row],[DATA DA COMPETENCIA]]="",0,YEAR(TbRegistroSaídas[[#This Row],[DATA DA COMPETENCIA]]))</f>
        <v>2018</v>
      </c>
      <c r="M57">
        <f>IF(TbRegistroSaídas[[#This Row],[DATA DO CAIXA PREVISTA]]="",0,MONTH(TbRegistroSaídas[[#This Row],[DATA DO CAIXA PREVISTA]]))</f>
        <v>1</v>
      </c>
      <c r="N57">
        <f>IF(TbRegistroSaídas[[#This Row],[DATA DO CAIXA PREVISTA]]="",0,YEAR(TbRegistroSaídas[[#This Row],[DATA DO CAIXA PREVISTA]]))</f>
        <v>2018</v>
      </c>
      <c r="O5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8" spans="2:15" x14ac:dyDescent="0.25">
      <c r="B58" s="14">
        <v>43118.823326450649</v>
      </c>
      <c r="C58" s="14">
        <v>43110</v>
      </c>
      <c r="D58" s="14">
        <v>43118.823326450649</v>
      </c>
      <c r="E58" t="s">
        <v>47</v>
      </c>
      <c r="F58" t="s">
        <v>52</v>
      </c>
      <c r="G58" t="s">
        <v>340</v>
      </c>
      <c r="H58" s="17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COMPETENCIA]]="",0,MONTH(TbRegistroSaídas[[#This Row],[DATA DA COMPETENCIA]]))</f>
        <v>1</v>
      </c>
      <c r="L58">
        <f>IF(TbRegistroSaídas[[#This Row],[DATA DA COMPETENCIA]]="",0,YEAR(TbRegistroSaídas[[#This Row],[DATA DA COMPETENCIA]]))</f>
        <v>2018</v>
      </c>
      <c r="M58">
        <f>IF(TbRegistroSaídas[[#This Row],[DATA DO CAIXA PREVISTA]]="",0,MONTH(TbRegistroSaídas[[#This Row],[DATA DO CAIXA PREVISTA]]))</f>
        <v>1</v>
      </c>
      <c r="N58">
        <f>IF(TbRegistroSaídas[[#This Row],[DATA DO CAIXA PREVISTA]]="",0,YEAR(TbRegistroSaídas[[#This Row],[DATA DO CAIXA PREVISTA]]))</f>
        <v>2018</v>
      </c>
      <c r="O5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59" spans="2:15" x14ac:dyDescent="0.25">
      <c r="B59" s="14">
        <v>43167.544338803593</v>
      </c>
      <c r="C59" s="14">
        <v>43112</v>
      </c>
      <c r="D59" s="14">
        <v>43167.544338803593</v>
      </c>
      <c r="E59" t="s">
        <v>47</v>
      </c>
      <c r="F59" t="s">
        <v>52</v>
      </c>
      <c r="G59" t="s">
        <v>341</v>
      </c>
      <c r="H59" s="17">
        <v>971</v>
      </c>
      <c r="I59">
        <f>IF(TbRegistroSaídas[[#This Row],[DATA DO CAIXA REALIZADO]]="",0,MONTH(TbRegistroSaídas[[#This Row],[DATA DO CAIXA REALIZADO]]))</f>
        <v>3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COMPETENCIA]]="",0,MONTH(TbRegistroSaídas[[#This Row],[DATA DA COMPETENCIA]]))</f>
        <v>1</v>
      </c>
      <c r="L59">
        <f>IF(TbRegistroSaídas[[#This Row],[DATA DA COMPETENCIA]]="",0,YEAR(TbRegistroSaídas[[#This Row],[DATA DA COMPETENCIA]]))</f>
        <v>2018</v>
      </c>
      <c r="M59">
        <f>IF(TbRegistroSaídas[[#This Row],[DATA DO CAIXA PREVISTA]]="",0,MONTH(TbRegistroSaídas[[#This Row],[DATA DO CAIXA PREVISTA]]))</f>
        <v>3</v>
      </c>
      <c r="N59">
        <f>IF(TbRegistroSaídas[[#This Row],[DATA DO CAIXA PREVISTA]]="",0,YEAR(TbRegistroSaídas[[#This Row],[DATA DO CAIXA PREVISTA]]))</f>
        <v>2018</v>
      </c>
      <c r="O5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0" spans="2:15" x14ac:dyDescent="0.25">
      <c r="B60" s="14">
        <v>43137.043955849207</v>
      </c>
      <c r="C60" s="14">
        <v>43113</v>
      </c>
      <c r="D60" s="14">
        <v>43137.043955849207</v>
      </c>
      <c r="E60" t="s">
        <v>47</v>
      </c>
      <c r="F60" t="s">
        <v>23</v>
      </c>
      <c r="G60" t="s">
        <v>342</v>
      </c>
      <c r="H60" s="17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COMPETENCIA]]="",0,MONTH(TbRegistroSaídas[[#This Row],[DATA DA COMPETENCIA]]))</f>
        <v>1</v>
      </c>
      <c r="L60">
        <f>IF(TbRegistroSaídas[[#This Row],[DATA DA COMPETENCIA]]="",0,YEAR(TbRegistroSaídas[[#This Row],[DATA DA COMPETENCIA]]))</f>
        <v>2018</v>
      </c>
      <c r="M60">
        <f>IF(TbRegistroSaídas[[#This Row],[DATA DO CAIXA PREVISTA]]="",0,MONTH(TbRegistroSaídas[[#This Row],[DATA DO CAIXA PREVISTA]]))</f>
        <v>2</v>
      </c>
      <c r="N60">
        <f>IF(TbRegistroSaídas[[#This Row],[DATA DO CAIXA PREVISTA]]="",0,YEAR(TbRegistroSaídas[[#This Row],[DATA DO CAIXA PREVISTA]]))</f>
        <v>2018</v>
      </c>
      <c r="O6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1" spans="2:15" x14ac:dyDescent="0.25">
      <c r="B61" s="14">
        <v>43144.881827671154</v>
      </c>
      <c r="C61" s="14">
        <v>43114</v>
      </c>
      <c r="D61" s="14">
        <v>43144.881827671154</v>
      </c>
      <c r="E61" t="s">
        <v>47</v>
      </c>
      <c r="F61" t="s">
        <v>23</v>
      </c>
      <c r="G61" t="s">
        <v>343</v>
      </c>
      <c r="H61" s="17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COMPETENCIA]]="",0,MONTH(TbRegistroSaídas[[#This Row],[DATA DA COMPETENCIA]]))</f>
        <v>1</v>
      </c>
      <c r="L61">
        <f>IF(TbRegistroSaídas[[#This Row],[DATA DA COMPETENCIA]]="",0,YEAR(TbRegistroSaídas[[#This Row],[DATA DA COMPETENCIA]]))</f>
        <v>2018</v>
      </c>
      <c r="M61">
        <f>IF(TbRegistroSaídas[[#This Row],[DATA DO CAIXA PREVISTA]]="",0,MONTH(TbRegistroSaídas[[#This Row],[DATA DO CAIXA PREVISTA]]))</f>
        <v>2</v>
      </c>
      <c r="N61">
        <f>IF(TbRegistroSaídas[[#This Row],[DATA DO CAIXA PREVISTA]]="",0,YEAR(TbRegistroSaídas[[#This Row],[DATA DO CAIXA PREVISTA]]))</f>
        <v>2018</v>
      </c>
      <c r="O6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2" spans="2:15" x14ac:dyDescent="0.25">
      <c r="B62" s="14">
        <v>43127.357625825418</v>
      </c>
      <c r="C62" s="14">
        <v>43116</v>
      </c>
      <c r="D62" s="14">
        <v>43127.357625825418</v>
      </c>
      <c r="E62" t="s">
        <v>47</v>
      </c>
      <c r="F62" t="s">
        <v>52</v>
      </c>
      <c r="G62" t="s">
        <v>296</v>
      </c>
      <c r="H62" s="17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COMPETENCIA]]="",0,MONTH(TbRegistroSaídas[[#This Row],[DATA DA COMPETENCIA]]))</f>
        <v>1</v>
      </c>
      <c r="L62">
        <f>IF(TbRegistroSaídas[[#This Row],[DATA DA COMPETENCIA]]="",0,YEAR(TbRegistroSaídas[[#This Row],[DATA DA COMPETENCIA]]))</f>
        <v>2018</v>
      </c>
      <c r="M62">
        <f>IF(TbRegistroSaídas[[#This Row],[DATA DO CAIXA PREVISTA]]="",0,MONTH(TbRegistroSaídas[[#This Row],[DATA DO CAIXA PREVISTA]]))</f>
        <v>1</v>
      </c>
      <c r="N62">
        <f>IF(TbRegistroSaídas[[#This Row],[DATA DO CAIXA PREVISTA]]="",0,YEAR(TbRegistroSaídas[[#This Row],[DATA DO CAIXA PREVISTA]]))</f>
        <v>2018</v>
      </c>
      <c r="O6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3" spans="2:15" x14ac:dyDescent="0.25">
      <c r="B63" s="14">
        <v>43164.408101095891</v>
      </c>
      <c r="C63" s="14">
        <v>43120</v>
      </c>
      <c r="D63" s="14">
        <v>43164.408101095891</v>
      </c>
      <c r="E63" t="s">
        <v>47</v>
      </c>
      <c r="F63" t="s">
        <v>52</v>
      </c>
      <c r="G63" t="s">
        <v>344</v>
      </c>
      <c r="H63" s="17">
        <v>2535</v>
      </c>
      <c r="I63">
        <f>IF(TbRegistroSaídas[[#This Row],[DATA DO CAIXA REALIZADO]]="",0,MONTH(TbRegistroSaídas[[#This Row],[DATA DO CAIXA REALIZADO]]))</f>
        <v>3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COMPETENCIA]]="",0,MONTH(TbRegistroSaídas[[#This Row],[DATA DA COMPETENCIA]]))</f>
        <v>1</v>
      </c>
      <c r="L63">
        <f>IF(TbRegistroSaídas[[#This Row],[DATA DA COMPETENCIA]]="",0,YEAR(TbRegistroSaídas[[#This Row],[DATA DA COMPETENCIA]]))</f>
        <v>2018</v>
      </c>
      <c r="M63">
        <f>IF(TbRegistroSaídas[[#This Row],[DATA DO CAIXA PREVISTA]]="",0,MONTH(TbRegistroSaídas[[#This Row],[DATA DO CAIXA PREVISTA]]))</f>
        <v>3</v>
      </c>
      <c r="N63">
        <f>IF(TbRegistroSaídas[[#This Row],[DATA DO CAIXA PREVISTA]]="",0,YEAR(TbRegistroSaídas[[#This Row],[DATA DO CAIXA PREVISTA]]))</f>
        <v>2018</v>
      </c>
      <c r="O6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4" spans="2:15" x14ac:dyDescent="0.25">
      <c r="B64" s="14">
        <v>43141.579590343346</v>
      </c>
      <c r="C64" s="14">
        <v>43121</v>
      </c>
      <c r="D64" s="14">
        <v>43141.579590343346</v>
      </c>
      <c r="E64" t="s">
        <v>47</v>
      </c>
      <c r="F64" t="s">
        <v>46</v>
      </c>
      <c r="G64" t="s">
        <v>345</v>
      </c>
      <c r="H64" s="17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COMPETENCIA]]="",0,MONTH(TbRegistroSaídas[[#This Row],[DATA DA COMPETENCIA]]))</f>
        <v>1</v>
      </c>
      <c r="L64">
        <f>IF(TbRegistroSaídas[[#This Row],[DATA DA COMPETENCIA]]="",0,YEAR(TbRegistroSaídas[[#This Row],[DATA DA COMPETENCIA]]))</f>
        <v>2018</v>
      </c>
      <c r="M64">
        <f>IF(TbRegistroSaídas[[#This Row],[DATA DO CAIXA PREVISTA]]="",0,MONTH(TbRegistroSaídas[[#This Row],[DATA DO CAIXA PREVISTA]]))</f>
        <v>2</v>
      </c>
      <c r="N64">
        <f>IF(TbRegistroSaídas[[#This Row],[DATA DO CAIXA PREVISTA]]="",0,YEAR(TbRegistroSaídas[[#This Row],[DATA DO CAIXA PREVISTA]]))</f>
        <v>2018</v>
      </c>
      <c r="O6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5" spans="2:15" x14ac:dyDescent="0.25">
      <c r="B65" s="14">
        <v>43140.52607681365</v>
      </c>
      <c r="C65" s="14">
        <v>43123</v>
      </c>
      <c r="D65" s="14">
        <v>43140.52607681365</v>
      </c>
      <c r="E65" t="s">
        <v>47</v>
      </c>
      <c r="F65" t="s">
        <v>23</v>
      </c>
      <c r="G65" t="s">
        <v>346</v>
      </c>
      <c r="H65" s="17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COMPETENCIA]]="",0,MONTH(TbRegistroSaídas[[#This Row],[DATA DA COMPETENCIA]]))</f>
        <v>1</v>
      </c>
      <c r="L65">
        <f>IF(TbRegistroSaídas[[#This Row],[DATA DA COMPETENCIA]]="",0,YEAR(TbRegistroSaídas[[#This Row],[DATA DA COMPETENCIA]]))</f>
        <v>2018</v>
      </c>
      <c r="M65">
        <f>IF(TbRegistroSaídas[[#This Row],[DATA DO CAIXA PREVISTA]]="",0,MONTH(TbRegistroSaídas[[#This Row],[DATA DO CAIXA PREVISTA]]))</f>
        <v>2</v>
      </c>
      <c r="N65">
        <f>IF(TbRegistroSaídas[[#This Row],[DATA DO CAIXA PREVISTA]]="",0,YEAR(TbRegistroSaídas[[#This Row],[DATA DO CAIXA PREVISTA]]))</f>
        <v>2018</v>
      </c>
      <c r="O6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6" spans="2:15" x14ac:dyDescent="0.25">
      <c r="B66" s="14">
        <v>43167.136566438901</v>
      </c>
      <c r="C66" s="14">
        <v>43125</v>
      </c>
      <c r="D66" s="14">
        <v>43167.136566438901</v>
      </c>
      <c r="E66" t="s">
        <v>47</v>
      </c>
      <c r="F66" t="s">
        <v>38</v>
      </c>
      <c r="G66" t="s">
        <v>347</v>
      </c>
      <c r="H66" s="17">
        <v>2247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COMPETENCIA]]="",0,MONTH(TbRegistroSaídas[[#This Row],[DATA DA COMPETENCIA]]))</f>
        <v>1</v>
      </c>
      <c r="L66">
        <f>IF(TbRegistroSaídas[[#This Row],[DATA DA COMPETENCIA]]="",0,YEAR(TbRegistroSaídas[[#This Row],[DATA DA COMPETENCIA]]))</f>
        <v>2018</v>
      </c>
      <c r="M66">
        <f>IF(TbRegistroSaídas[[#This Row],[DATA DO CAIXA PREVISTA]]="",0,MONTH(TbRegistroSaídas[[#This Row],[DATA DO CAIXA PREVISTA]]))</f>
        <v>3</v>
      </c>
      <c r="N66">
        <f>IF(TbRegistroSaídas[[#This Row],[DATA DO CAIXA PREVISTA]]="",0,YEAR(TbRegistroSaídas[[#This Row],[DATA DO CAIXA PREVISTA]]))</f>
        <v>2018</v>
      </c>
      <c r="O6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7" spans="2:15" x14ac:dyDescent="0.25">
      <c r="B67" s="14">
        <v>43180.080222393961</v>
      </c>
      <c r="C67" s="14">
        <v>43127</v>
      </c>
      <c r="D67" s="14">
        <v>43180.080222393961</v>
      </c>
      <c r="E67" t="s">
        <v>47</v>
      </c>
      <c r="F67" t="s">
        <v>37</v>
      </c>
      <c r="G67" t="s">
        <v>348</v>
      </c>
      <c r="H67" s="17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COMPETENCIA]]="",0,MONTH(TbRegistroSaídas[[#This Row],[DATA DA COMPETENCIA]]))</f>
        <v>1</v>
      </c>
      <c r="L67">
        <f>IF(TbRegistroSaídas[[#This Row],[DATA DA COMPETENCIA]]="",0,YEAR(TbRegistroSaídas[[#This Row],[DATA DA COMPETENCIA]]))</f>
        <v>2018</v>
      </c>
      <c r="M67">
        <f>IF(TbRegistroSaídas[[#This Row],[DATA DO CAIXA PREVISTA]]="",0,MONTH(TbRegistroSaídas[[#This Row],[DATA DO CAIXA PREVISTA]]))</f>
        <v>3</v>
      </c>
      <c r="N67">
        <f>IF(TbRegistroSaídas[[#This Row],[DATA DO CAIXA PREVISTA]]="",0,YEAR(TbRegistroSaídas[[#This Row],[DATA DO CAIXA PREVISTA]]))</f>
        <v>2018</v>
      </c>
      <c r="O6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68" spans="2:15" x14ac:dyDescent="0.25">
      <c r="B68" s="14">
        <v>43153.557863903276</v>
      </c>
      <c r="C68" s="14">
        <v>43129</v>
      </c>
      <c r="D68" s="14">
        <v>43142.593518246249</v>
      </c>
      <c r="E68" t="s">
        <v>47</v>
      </c>
      <c r="F68" t="s">
        <v>52</v>
      </c>
      <c r="G68" t="s">
        <v>349</v>
      </c>
      <c r="H68" s="17">
        <v>3801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COMPETENCIA]]="",0,MONTH(TbRegistroSaídas[[#This Row],[DATA DA COMPETENCIA]]))</f>
        <v>1</v>
      </c>
      <c r="L68">
        <f>IF(TbRegistroSaídas[[#This Row],[DATA DA COMPETENCIA]]="",0,YEAR(TbRegistroSaídas[[#This Row],[DATA DA COMPETENCIA]]))</f>
        <v>2018</v>
      </c>
      <c r="M68">
        <f>IF(TbRegistroSaídas[[#This Row],[DATA DO CAIXA PREVISTA]]="",0,MONTH(TbRegistroSaídas[[#This Row],[DATA DO CAIXA PREVISTA]]))</f>
        <v>2</v>
      </c>
      <c r="N68">
        <f>IF(TbRegistroSaídas[[#This Row],[DATA DO CAIXA PREVISTA]]="",0,YEAR(TbRegistroSaídas[[#This Row],[DATA DO CAIXA PREVISTA]]))</f>
        <v>2018</v>
      </c>
      <c r="O6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10.96434565702657</v>
      </c>
    </row>
    <row r="69" spans="2:15" x14ac:dyDescent="0.25">
      <c r="B69" s="14">
        <v>43144.375909015784</v>
      </c>
      <c r="C69" s="14">
        <v>43131</v>
      </c>
      <c r="D69" s="14">
        <v>43144.375909015784</v>
      </c>
      <c r="E69" t="s">
        <v>47</v>
      </c>
      <c r="F69" t="s">
        <v>23</v>
      </c>
      <c r="G69" t="s">
        <v>350</v>
      </c>
      <c r="H69" s="17">
        <v>3049</v>
      </c>
      <c r="I69">
        <f>IF(TbRegistroSaídas[[#This Row],[DATA DO CAIXA REALIZADO]]="",0,MONTH(TbRegistroSaídas[[#This Row],[DATA DO CAIXA REALIZADO]]))</f>
        <v>2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COMPETENCIA]]="",0,MONTH(TbRegistroSaídas[[#This Row],[DATA DA COMPETENCIA]]))</f>
        <v>1</v>
      </c>
      <c r="L69">
        <f>IF(TbRegistroSaídas[[#This Row],[DATA DA COMPETENCIA]]="",0,YEAR(TbRegistroSaídas[[#This Row],[DATA DA COMPETENCIA]]))</f>
        <v>2018</v>
      </c>
      <c r="M69">
        <f>IF(TbRegistroSaídas[[#This Row],[DATA DO CAIXA PREVISTA]]="",0,MONTH(TbRegistroSaídas[[#This Row],[DATA DO CAIXA PREVISTA]]))</f>
        <v>2</v>
      </c>
      <c r="N69">
        <f>IF(TbRegistroSaídas[[#This Row],[DATA DO CAIXA PREVISTA]]="",0,YEAR(TbRegistroSaídas[[#This Row],[DATA DO CAIXA PREVISTA]]))</f>
        <v>2018</v>
      </c>
      <c r="O6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0" spans="2:15" x14ac:dyDescent="0.25">
      <c r="B70" s="14">
        <v>43188.99516604135</v>
      </c>
      <c r="C70" s="14">
        <v>43135</v>
      </c>
      <c r="D70" s="14">
        <v>43170.130869357701</v>
      </c>
      <c r="E70" t="s">
        <v>47</v>
      </c>
      <c r="F70" t="s">
        <v>46</v>
      </c>
      <c r="G70" t="s">
        <v>351</v>
      </c>
      <c r="H70" s="17">
        <v>3255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COMPETENCIA]]="",0,MONTH(TbRegistroSaídas[[#This Row],[DATA DA COMPETENCIA]]))</f>
        <v>2</v>
      </c>
      <c r="L70">
        <f>IF(TbRegistroSaídas[[#This Row],[DATA DA COMPETENCIA]]="",0,YEAR(TbRegistroSaídas[[#This Row],[DATA DA COMPETENCIA]]))</f>
        <v>2018</v>
      </c>
      <c r="M70">
        <f>IF(TbRegistroSaídas[[#This Row],[DATA DO CAIXA PREVISTA]]="",0,MONTH(TbRegistroSaídas[[#This Row],[DATA DO CAIXA PREVISTA]]))</f>
        <v>3</v>
      </c>
      <c r="N70">
        <f>IF(TbRegistroSaídas[[#This Row],[DATA DO CAIXA PREVISTA]]="",0,YEAR(TbRegistroSaídas[[#This Row],[DATA DO CAIXA PREVISTA]]))</f>
        <v>2018</v>
      </c>
      <c r="O7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18.864296683648718</v>
      </c>
    </row>
    <row r="71" spans="2:15" x14ac:dyDescent="0.25">
      <c r="B71" s="14">
        <v>43179.613666487414</v>
      </c>
      <c r="C71" s="14">
        <v>43136</v>
      </c>
      <c r="D71" s="14">
        <v>43176.20769813798</v>
      </c>
      <c r="E71" t="s">
        <v>47</v>
      </c>
      <c r="F71" t="s">
        <v>52</v>
      </c>
      <c r="G71" t="s">
        <v>352</v>
      </c>
      <c r="H71" s="17">
        <v>2074</v>
      </c>
      <c r="I71">
        <f>IF(TbRegistroSaídas[[#This Row],[DATA DO CAIXA REALIZADO]]="",0,MONTH(TbRegistroSaídas[[#This Row],[DATA DO CAIXA REALIZADO]]))</f>
        <v>3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COMPETENCIA]]="",0,MONTH(TbRegistroSaídas[[#This Row],[DATA DA COMPETENCIA]]))</f>
        <v>2</v>
      </c>
      <c r="L71">
        <f>IF(TbRegistroSaídas[[#This Row],[DATA DA COMPETENCIA]]="",0,YEAR(TbRegistroSaídas[[#This Row],[DATA DA COMPETENCIA]]))</f>
        <v>2018</v>
      </c>
      <c r="M71">
        <f>IF(TbRegistroSaídas[[#This Row],[DATA DO CAIXA PREVISTA]]="",0,MONTH(TbRegistroSaídas[[#This Row],[DATA DO CAIXA PREVISTA]]))</f>
        <v>3</v>
      </c>
      <c r="N71">
        <f>IF(TbRegistroSaídas[[#This Row],[DATA DO CAIXA PREVISTA]]="",0,YEAR(TbRegistroSaídas[[#This Row],[DATA DO CAIXA PREVISTA]]))</f>
        <v>2018</v>
      </c>
      <c r="O7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3.4059683494342607</v>
      </c>
    </row>
    <row r="72" spans="2:15" x14ac:dyDescent="0.25">
      <c r="B72" s="14">
        <v>43175.293624405407</v>
      </c>
      <c r="C72" s="14">
        <v>43137</v>
      </c>
      <c r="D72" s="14">
        <v>43175.293624405407</v>
      </c>
      <c r="E72" t="s">
        <v>47</v>
      </c>
      <c r="F72" t="s">
        <v>52</v>
      </c>
      <c r="G72" t="s">
        <v>353</v>
      </c>
      <c r="H72" s="17">
        <v>3606</v>
      </c>
      <c r="I72">
        <f>IF(TbRegistroSaídas[[#This Row],[DATA DO CAIXA REALIZADO]]="",0,MONTH(TbRegistroSaídas[[#This Row],[DATA DO CAIXA REALIZADO]]))</f>
        <v>3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COMPETENCIA]]="",0,MONTH(TbRegistroSaídas[[#This Row],[DATA DA COMPETENCIA]]))</f>
        <v>2</v>
      </c>
      <c r="L72">
        <f>IF(TbRegistroSaídas[[#This Row],[DATA DA COMPETENCIA]]="",0,YEAR(TbRegistroSaídas[[#This Row],[DATA DA COMPETENCIA]]))</f>
        <v>2018</v>
      </c>
      <c r="M72">
        <f>IF(TbRegistroSaídas[[#This Row],[DATA DO CAIXA PREVISTA]]="",0,MONTH(TbRegistroSaídas[[#This Row],[DATA DO CAIXA PREVISTA]]))</f>
        <v>3</v>
      </c>
      <c r="N72">
        <f>IF(TbRegistroSaídas[[#This Row],[DATA DO CAIXA PREVISTA]]="",0,YEAR(TbRegistroSaídas[[#This Row],[DATA DO CAIXA PREVISTA]]))</f>
        <v>2018</v>
      </c>
      <c r="O7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3" spans="2:15" x14ac:dyDescent="0.25">
      <c r="B73" s="14">
        <v>43177.329774401594</v>
      </c>
      <c r="C73" s="14">
        <v>43138</v>
      </c>
      <c r="D73" s="14">
        <v>43177.329774401594</v>
      </c>
      <c r="E73" t="s">
        <v>47</v>
      </c>
      <c r="F73" t="s">
        <v>37</v>
      </c>
      <c r="G73" t="s">
        <v>354</v>
      </c>
      <c r="H73" s="17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COMPETENCIA]]="",0,MONTH(TbRegistroSaídas[[#This Row],[DATA DA COMPETENCIA]]))</f>
        <v>2</v>
      </c>
      <c r="L73">
        <f>IF(TbRegistroSaídas[[#This Row],[DATA DA COMPETENCIA]]="",0,YEAR(TbRegistroSaídas[[#This Row],[DATA DA COMPETENCIA]]))</f>
        <v>2018</v>
      </c>
      <c r="M73">
        <f>IF(TbRegistroSaídas[[#This Row],[DATA DO CAIXA PREVISTA]]="",0,MONTH(TbRegistroSaídas[[#This Row],[DATA DO CAIXA PREVISTA]]))</f>
        <v>3</v>
      </c>
      <c r="N73">
        <f>IF(TbRegistroSaídas[[#This Row],[DATA DO CAIXA PREVISTA]]="",0,YEAR(TbRegistroSaídas[[#This Row],[DATA DO CAIXA PREVISTA]]))</f>
        <v>2018</v>
      </c>
      <c r="O7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4" spans="2:15" x14ac:dyDescent="0.25">
      <c r="B74" s="14">
        <v>43175.004800342591</v>
      </c>
      <c r="C74" s="14">
        <v>43140</v>
      </c>
      <c r="D74" s="14">
        <v>43175.004800342591</v>
      </c>
      <c r="E74" t="s">
        <v>47</v>
      </c>
      <c r="F74" t="s">
        <v>38</v>
      </c>
      <c r="G74" t="s">
        <v>355</v>
      </c>
      <c r="H74" s="17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COMPETENCIA]]="",0,MONTH(TbRegistroSaídas[[#This Row],[DATA DA COMPETENCIA]]))</f>
        <v>2</v>
      </c>
      <c r="L74">
        <f>IF(TbRegistroSaídas[[#This Row],[DATA DA COMPETENCIA]]="",0,YEAR(TbRegistroSaídas[[#This Row],[DATA DA COMPETENCIA]]))</f>
        <v>2018</v>
      </c>
      <c r="M74">
        <f>IF(TbRegistroSaídas[[#This Row],[DATA DO CAIXA PREVISTA]]="",0,MONTH(TbRegistroSaídas[[#This Row],[DATA DO CAIXA PREVISTA]]))</f>
        <v>3</v>
      </c>
      <c r="N74">
        <f>IF(TbRegistroSaídas[[#This Row],[DATA DO CAIXA PREVISTA]]="",0,YEAR(TbRegistroSaídas[[#This Row],[DATA DO CAIXA PREVISTA]]))</f>
        <v>2018</v>
      </c>
      <c r="O7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5" spans="2:15" x14ac:dyDescent="0.25">
      <c r="B75" s="14">
        <v>43238.007350836197</v>
      </c>
      <c r="C75" s="14">
        <v>43145</v>
      </c>
      <c r="D75" s="14">
        <v>43150.456480487795</v>
      </c>
      <c r="E75" t="s">
        <v>47</v>
      </c>
      <c r="F75" t="s">
        <v>38</v>
      </c>
      <c r="G75" t="s">
        <v>356</v>
      </c>
      <c r="H75" s="17">
        <v>2801</v>
      </c>
      <c r="I75">
        <f>IF(TbRegistroSaídas[[#This Row],[DATA DO CAIXA REALIZADO]]="",0,MONTH(TbRegistroSaídas[[#This Row],[DATA DO CAIXA REALIZADO]]))</f>
        <v>5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COMPETENCIA]]="",0,MONTH(TbRegistroSaídas[[#This Row],[DATA DA COMPETENCIA]]))</f>
        <v>2</v>
      </c>
      <c r="L75">
        <f>IF(TbRegistroSaídas[[#This Row],[DATA DA COMPETENCIA]]="",0,YEAR(TbRegistroSaídas[[#This Row],[DATA DA COMPETENCIA]]))</f>
        <v>2018</v>
      </c>
      <c r="M75">
        <f>IF(TbRegistroSaídas[[#This Row],[DATA DO CAIXA PREVISTA]]="",0,MONTH(TbRegistroSaídas[[#This Row],[DATA DO CAIXA PREVISTA]]))</f>
        <v>2</v>
      </c>
      <c r="N75">
        <f>IF(TbRegistroSaídas[[#This Row],[DATA DO CAIXA PREVISTA]]="",0,YEAR(TbRegistroSaídas[[#This Row],[DATA DO CAIXA PREVISTA]]))</f>
        <v>2018</v>
      </c>
      <c r="O7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87.550870348401077</v>
      </c>
    </row>
    <row r="76" spans="2:15" x14ac:dyDescent="0.25">
      <c r="B76" s="14" t="s">
        <v>68</v>
      </c>
      <c r="C76" s="14">
        <v>43146</v>
      </c>
      <c r="D76" s="14">
        <v>43169.778347522966</v>
      </c>
      <c r="E76" t="s">
        <v>47</v>
      </c>
      <c r="F76" t="s">
        <v>52</v>
      </c>
      <c r="G76" t="s">
        <v>357</v>
      </c>
      <c r="H76" s="17">
        <v>4438</v>
      </c>
      <c r="I76">
        <f>IF(TbRegistroSaídas[[#This Row],[DATA DO CAIXA REALIZADO]]="",0,MONTH(TbRegistroSaídas[[#This Row],[DATA DO CAIXA REALIZADO]]))</f>
        <v>0</v>
      </c>
      <c r="J76">
        <f>IF(TbRegistroSaídas[[#This Row],[DATA DO CAIXA REALIZADO]]="",0,YEAR(TbRegistroSaídas[[#This Row],[DATA DO CAIXA REALIZADO]]))</f>
        <v>0</v>
      </c>
      <c r="K76">
        <f>IF(TbRegistroSaídas[[#This Row],[DATA DA COMPETENCIA]]="",0,MONTH(TbRegistroSaídas[[#This Row],[DATA DA COMPETENCIA]]))</f>
        <v>2</v>
      </c>
      <c r="L76">
        <f>IF(TbRegistroSaídas[[#This Row],[DATA DA COMPETENCIA]]="",0,YEAR(TbRegistroSaídas[[#This Row],[DATA DA COMPETENCIA]]))</f>
        <v>2018</v>
      </c>
      <c r="M76">
        <f>IF(TbRegistroSaídas[[#This Row],[DATA DO CAIXA PREVISTA]]="",0,MONTH(TbRegistroSaídas[[#This Row],[DATA DO CAIXA PREVISTA]]))</f>
        <v>3</v>
      </c>
      <c r="N76">
        <f>IF(TbRegistroSaídas[[#This Row],[DATA DO CAIXA PREVISTA]]="",0,YEAR(TbRegistroSaídas[[#This Row],[DATA DO CAIXA PREVISTA]]))</f>
        <v>2018</v>
      </c>
      <c r="O76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77" spans="2:15" x14ac:dyDescent="0.25">
      <c r="B77" s="14">
        <v>43198.215136039675</v>
      </c>
      <c r="C77" s="14">
        <v>43151</v>
      </c>
      <c r="D77" s="14">
        <v>43198.215136039675</v>
      </c>
      <c r="E77" t="s">
        <v>47</v>
      </c>
      <c r="F77" t="s">
        <v>37</v>
      </c>
      <c r="G77" t="s">
        <v>358</v>
      </c>
      <c r="H77" s="17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COMPETENCIA]]="",0,MONTH(TbRegistroSaídas[[#This Row],[DATA DA COMPETENCIA]]))</f>
        <v>2</v>
      </c>
      <c r="L77">
        <f>IF(TbRegistroSaídas[[#This Row],[DATA DA COMPETENCIA]]="",0,YEAR(TbRegistroSaídas[[#This Row],[DATA DA COMPETENCIA]]))</f>
        <v>2018</v>
      </c>
      <c r="M77">
        <f>IF(TbRegistroSaídas[[#This Row],[DATA DO CAIXA PREVISTA]]="",0,MONTH(TbRegistroSaídas[[#This Row],[DATA DO CAIXA PREVISTA]]))</f>
        <v>4</v>
      </c>
      <c r="N77">
        <f>IF(TbRegistroSaídas[[#This Row],[DATA DO CAIXA PREVISTA]]="",0,YEAR(TbRegistroSaídas[[#This Row],[DATA DO CAIXA PREVISTA]]))</f>
        <v>2018</v>
      </c>
      <c r="O7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8" spans="2:15" x14ac:dyDescent="0.25">
      <c r="B78" s="14">
        <v>43199.384372741159</v>
      </c>
      <c r="C78" s="14">
        <v>43160</v>
      </c>
      <c r="D78" s="14">
        <v>43199.384372741159</v>
      </c>
      <c r="E78" t="s">
        <v>47</v>
      </c>
      <c r="F78" t="s">
        <v>52</v>
      </c>
      <c r="G78" t="s">
        <v>359</v>
      </c>
      <c r="H78" s="17">
        <v>3893</v>
      </c>
      <c r="I78">
        <f>IF(TbRegistroSaídas[[#This Row],[DATA DO CAIXA REALIZADO]]="",0,MONTH(TbRegistroSaídas[[#This Row],[DATA DO CAIXA REALIZADO]]))</f>
        <v>4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COMPETENCIA]]="",0,MONTH(TbRegistroSaídas[[#This Row],[DATA DA COMPETENCIA]]))</f>
        <v>3</v>
      </c>
      <c r="L78">
        <f>IF(TbRegistroSaídas[[#This Row],[DATA DA COMPETENCIA]]="",0,YEAR(TbRegistroSaídas[[#This Row],[DATA DA COMPETENCIA]]))</f>
        <v>2018</v>
      </c>
      <c r="M78">
        <f>IF(TbRegistroSaídas[[#This Row],[DATA DO CAIXA PREVISTA]]="",0,MONTH(TbRegistroSaídas[[#This Row],[DATA DO CAIXA PREVISTA]]))</f>
        <v>4</v>
      </c>
      <c r="N78">
        <f>IF(TbRegistroSaídas[[#This Row],[DATA DO CAIXA PREVISTA]]="",0,YEAR(TbRegistroSaídas[[#This Row],[DATA DO CAIXA PREVISTA]]))</f>
        <v>2018</v>
      </c>
      <c r="O7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79" spans="2:15" x14ac:dyDescent="0.25">
      <c r="B79" s="14">
        <v>43184.353160705636</v>
      </c>
      <c r="C79" s="14">
        <v>43163</v>
      </c>
      <c r="D79" s="14">
        <v>43184.353160705636</v>
      </c>
      <c r="E79" t="s">
        <v>47</v>
      </c>
      <c r="F79" t="s">
        <v>52</v>
      </c>
      <c r="G79" t="s">
        <v>223</v>
      </c>
      <c r="H79" s="17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COMPETENCIA]]="",0,MONTH(TbRegistroSaídas[[#This Row],[DATA DA COMPETENCIA]]))</f>
        <v>3</v>
      </c>
      <c r="L79">
        <f>IF(TbRegistroSaídas[[#This Row],[DATA DA COMPETENCIA]]="",0,YEAR(TbRegistroSaídas[[#This Row],[DATA DA COMPETENCIA]]))</f>
        <v>2018</v>
      </c>
      <c r="M79">
        <f>IF(TbRegistroSaídas[[#This Row],[DATA DO CAIXA PREVISTA]]="",0,MONTH(TbRegistroSaídas[[#This Row],[DATA DO CAIXA PREVISTA]]))</f>
        <v>3</v>
      </c>
      <c r="N79">
        <f>IF(TbRegistroSaídas[[#This Row],[DATA DO CAIXA PREVISTA]]="",0,YEAR(TbRegistroSaídas[[#This Row],[DATA DO CAIXA PREVISTA]]))</f>
        <v>2018</v>
      </c>
      <c r="O7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0" spans="2:15" x14ac:dyDescent="0.25">
      <c r="B80" s="14">
        <v>43219.347145801272</v>
      </c>
      <c r="C80" s="14">
        <v>43164</v>
      </c>
      <c r="D80" s="14">
        <v>43219.347145801272</v>
      </c>
      <c r="E80" t="s">
        <v>47</v>
      </c>
      <c r="F80" t="s">
        <v>38</v>
      </c>
      <c r="G80" t="s">
        <v>360</v>
      </c>
      <c r="H80" s="17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COMPETENCIA]]="",0,MONTH(TbRegistroSaídas[[#This Row],[DATA DA COMPETENCIA]]))</f>
        <v>3</v>
      </c>
      <c r="L80">
        <f>IF(TbRegistroSaídas[[#This Row],[DATA DA COMPETENCIA]]="",0,YEAR(TbRegistroSaídas[[#This Row],[DATA DA COMPETENCIA]]))</f>
        <v>2018</v>
      </c>
      <c r="M80">
        <f>IF(TbRegistroSaídas[[#This Row],[DATA DO CAIXA PREVISTA]]="",0,MONTH(TbRegistroSaídas[[#This Row],[DATA DO CAIXA PREVISTA]]))</f>
        <v>4</v>
      </c>
      <c r="N80">
        <f>IF(TbRegistroSaídas[[#This Row],[DATA DO CAIXA PREVISTA]]="",0,YEAR(TbRegistroSaídas[[#This Row],[DATA DO CAIXA PREVISTA]]))</f>
        <v>2018</v>
      </c>
      <c r="O8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1" spans="2:15" x14ac:dyDescent="0.25">
      <c r="B81" s="14">
        <v>43188.959993905235</v>
      </c>
      <c r="C81" s="14">
        <v>43166</v>
      </c>
      <c r="D81" s="14">
        <v>43188.959993905235</v>
      </c>
      <c r="E81" t="s">
        <v>47</v>
      </c>
      <c r="F81" t="s">
        <v>37</v>
      </c>
      <c r="G81" t="s">
        <v>361</v>
      </c>
      <c r="H81" s="17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COMPETENCIA]]="",0,MONTH(TbRegistroSaídas[[#This Row],[DATA DA COMPETENCIA]]))</f>
        <v>3</v>
      </c>
      <c r="L81">
        <f>IF(TbRegistroSaídas[[#This Row],[DATA DA COMPETENCIA]]="",0,YEAR(TbRegistroSaídas[[#This Row],[DATA DA COMPETENCIA]]))</f>
        <v>2018</v>
      </c>
      <c r="M81">
        <f>IF(TbRegistroSaídas[[#This Row],[DATA DO CAIXA PREVISTA]]="",0,MONTH(TbRegistroSaídas[[#This Row],[DATA DO CAIXA PREVISTA]]))</f>
        <v>3</v>
      </c>
      <c r="N81">
        <f>IF(TbRegistroSaídas[[#This Row],[DATA DO CAIXA PREVISTA]]="",0,YEAR(TbRegistroSaídas[[#This Row],[DATA DO CAIXA PREVISTA]]))</f>
        <v>2018</v>
      </c>
      <c r="O8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2" spans="2:15" x14ac:dyDescent="0.25">
      <c r="B82" s="14">
        <v>43197.842717434411</v>
      </c>
      <c r="C82" s="14">
        <v>43168</v>
      </c>
      <c r="D82" s="14">
        <v>43197.842717434411</v>
      </c>
      <c r="E82" t="s">
        <v>47</v>
      </c>
      <c r="F82" t="s">
        <v>38</v>
      </c>
      <c r="G82" t="s">
        <v>362</v>
      </c>
      <c r="H82" s="17">
        <v>3164</v>
      </c>
      <c r="I82">
        <f>IF(TbRegistroSaídas[[#This Row],[DATA DO CAIXA REALIZADO]]="",0,MONTH(TbRegistroSaídas[[#This Row],[DATA DO CAIXA REALIZADO]]))</f>
        <v>4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COMPETENCIA]]="",0,MONTH(TbRegistroSaídas[[#This Row],[DATA DA COMPETENCIA]]))</f>
        <v>3</v>
      </c>
      <c r="L82">
        <f>IF(TbRegistroSaídas[[#This Row],[DATA DA COMPETENCIA]]="",0,YEAR(TbRegistroSaídas[[#This Row],[DATA DA COMPETENCIA]]))</f>
        <v>2018</v>
      </c>
      <c r="M82">
        <f>IF(TbRegistroSaídas[[#This Row],[DATA DO CAIXA PREVISTA]]="",0,MONTH(TbRegistroSaídas[[#This Row],[DATA DO CAIXA PREVISTA]]))</f>
        <v>4</v>
      </c>
      <c r="N82">
        <f>IF(TbRegistroSaídas[[#This Row],[DATA DO CAIXA PREVISTA]]="",0,YEAR(TbRegistroSaídas[[#This Row],[DATA DO CAIXA PREVISTA]]))</f>
        <v>2018</v>
      </c>
      <c r="O8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3" spans="2:15" x14ac:dyDescent="0.25">
      <c r="B83" s="14">
        <v>43228.717380772498</v>
      </c>
      <c r="C83" s="14">
        <v>43173</v>
      </c>
      <c r="D83" s="14">
        <v>43228.717380772498</v>
      </c>
      <c r="E83" t="s">
        <v>47</v>
      </c>
      <c r="F83" t="s">
        <v>52</v>
      </c>
      <c r="G83" t="s">
        <v>363</v>
      </c>
      <c r="H83" s="17">
        <v>3113</v>
      </c>
      <c r="I83">
        <f>IF(TbRegistroSaídas[[#This Row],[DATA DO CAIXA REALIZADO]]="",0,MONTH(TbRegistroSaídas[[#This Row],[DATA DO CAIXA REALIZADO]]))</f>
        <v>5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COMPETENCIA]]="",0,MONTH(TbRegistroSaídas[[#This Row],[DATA DA COMPETENCIA]]))</f>
        <v>3</v>
      </c>
      <c r="L83">
        <f>IF(TbRegistroSaídas[[#This Row],[DATA DA COMPETENCIA]]="",0,YEAR(TbRegistroSaídas[[#This Row],[DATA DA COMPETENCIA]]))</f>
        <v>2018</v>
      </c>
      <c r="M83">
        <f>IF(TbRegistroSaídas[[#This Row],[DATA DO CAIXA PREVISTA]]="",0,MONTH(TbRegistroSaídas[[#This Row],[DATA DO CAIXA PREVISTA]]))</f>
        <v>5</v>
      </c>
      <c r="N83">
        <f>IF(TbRegistroSaídas[[#This Row],[DATA DO CAIXA PREVISTA]]="",0,YEAR(TbRegistroSaídas[[#This Row],[DATA DO CAIXA PREVISTA]]))</f>
        <v>2018</v>
      </c>
      <c r="O8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4" spans="2:15" x14ac:dyDescent="0.25">
      <c r="B84" s="14">
        <v>43288.26904093464</v>
      </c>
      <c r="C84" s="14">
        <v>43176</v>
      </c>
      <c r="D84" s="14">
        <v>43201.571307437043</v>
      </c>
      <c r="E84" t="s">
        <v>47</v>
      </c>
      <c r="F84" t="s">
        <v>46</v>
      </c>
      <c r="G84" t="s">
        <v>364</v>
      </c>
      <c r="H84" s="17">
        <v>789</v>
      </c>
      <c r="I84">
        <f>IF(TbRegistroSaídas[[#This Row],[DATA DO CAIXA REALIZADO]]="",0,MONTH(TbRegistroSaídas[[#This Row],[DATA DO CAIXA REALIZADO]]))</f>
        <v>7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COMPETENCIA]]="",0,MONTH(TbRegistroSaídas[[#This Row],[DATA DA COMPETENCIA]]))</f>
        <v>3</v>
      </c>
      <c r="L84">
        <f>IF(TbRegistroSaídas[[#This Row],[DATA DA COMPETENCIA]]="",0,YEAR(TbRegistroSaídas[[#This Row],[DATA DA COMPETENCIA]]))</f>
        <v>2018</v>
      </c>
      <c r="M84">
        <f>IF(TbRegistroSaídas[[#This Row],[DATA DO CAIXA PREVISTA]]="",0,MONTH(TbRegistroSaídas[[#This Row],[DATA DO CAIXA PREVISTA]]))</f>
        <v>4</v>
      </c>
      <c r="N84">
        <f>IF(TbRegistroSaídas[[#This Row],[DATA DO CAIXA PREVISTA]]="",0,YEAR(TbRegistroSaídas[[#This Row],[DATA DO CAIXA PREVISTA]]))</f>
        <v>2018</v>
      </c>
      <c r="O8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86.697733497596346</v>
      </c>
    </row>
    <row r="85" spans="2:15" x14ac:dyDescent="0.25">
      <c r="B85" s="14">
        <v>43191.559855343337</v>
      </c>
      <c r="C85" s="14">
        <v>43180</v>
      </c>
      <c r="D85" s="14">
        <v>43191.559855343337</v>
      </c>
      <c r="E85" t="s">
        <v>47</v>
      </c>
      <c r="F85" t="s">
        <v>46</v>
      </c>
      <c r="G85" t="s">
        <v>365</v>
      </c>
      <c r="H85" s="17">
        <v>3521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COMPETENCIA]]="",0,MONTH(TbRegistroSaídas[[#This Row],[DATA DA COMPETENCIA]]))</f>
        <v>3</v>
      </c>
      <c r="L85">
        <f>IF(TbRegistroSaídas[[#This Row],[DATA DA COMPETENCIA]]="",0,YEAR(TbRegistroSaídas[[#This Row],[DATA DA COMPETENCIA]]))</f>
        <v>2018</v>
      </c>
      <c r="M85">
        <f>IF(TbRegistroSaídas[[#This Row],[DATA DO CAIXA PREVISTA]]="",0,MONTH(TbRegistroSaídas[[#This Row],[DATA DO CAIXA PREVISTA]]))</f>
        <v>4</v>
      </c>
      <c r="N85">
        <f>IF(TbRegistroSaídas[[#This Row],[DATA DO CAIXA PREVISTA]]="",0,YEAR(TbRegistroSaídas[[#This Row],[DATA DO CAIXA PREVISTA]]))</f>
        <v>2018</v>
      </c>
      <c r="O8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6" spans="2:15" x14ac:dyDescent="0.25">
      <c r="B86" s="14">
        <v>43187.734676954671</v>
      </c>
      <c r="C86" s="14">
        <v>43183</v>
      </c>
      <c r="D86" s="14">
        <v>43187.734676954671</v>
      </c>
      <c r="E86" t="s">
        <v>47</v>
      </c>
      <c r="F86" t="s">
        <v>52</v>
      </c>
      <c r="G86" t="s">
        <v>366</v>
      </c>
      <c r="H86" s="17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COMPETENCIA]]="",0,MONTH(TbRegistroSaídas[[#This Row],[DATA DA COMPETENCIA]]))</f>
        <v>3</v>
      </c>
      <c r="L86">
        <f>IF(TbRegistroSaídas[[#This Row],[DATA DA COMPETENCIA]]="",0,YEAR(TbRegistroSaídas[[#This Row],[DATA DA COMPETENCIA]]))</f>
        <v>2018</v>
      </c>
      <c r="M86">
        <f>IF(TbRegistroSaídas[[#This Row],[DATA DO CAIXA PREVISTA]]="",0,MONTH(TbRegistroSaídas[[#This Row],[DATA DO CAIXA PREVISTA]]))</f>
        <v>3</v>
      </c>
      <c r="N86">
        <f>IF(TbRegistroSaídas[[#This Row],[DATA DO CAIXA PREVISTA]]="",0,YEAR(TbRegistroSaídas[[#This Row],[DATA DO CAIXA PREVISTA]]))</f>
        <v>2018</v>
      </c>
      <c r="O8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7" spans="2:15" x14ac:dyDescent="0.25">
      <c r="B87" s="14">
        <v>43223.623035835837</v>
      </c>
      <c r="C87" s="14">
        <v>43184</v>
      </c>
      <c r="D87" s="14">
        <v>43223.623035835837</v>
      </c>
      <c r="E87" t="s">
        <v>47</v>
      </c>
      <c r="F87" t="s">
        <v>46</v>
      </c>
      <c r="G87" t="s">
        <v>367</v>
      </c>
      <c r="H87" s="17">
        <v>1527</v>
      </c>
      <c r="I87">
        <f>IF(TbRegistroSaídas[[#This Row],[DATA DO CAIXA REALIZADO]]="",0,MONTH(TbRegistroSaídas[[#This Row],[DATA DO CAIXA REALIZADO]]))</f>
        <v>5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COMPETENCIA]]="",0,MONTH(TbRegistroSaídas[[#This Row],[DATA DA COMPETENCIA]]))</f>
        <v>3</v>
      </c>
      <c r="L87">
        <f>IF(TbRegistroSaídas[[#This Row],[DATA DA COMPETENCIA]]="",0,YEAR(TbRegistroSaídas[[#This Row],[DATA DA COMPETENCIA]]))</f>
        <v>2018</v>
      </c>
      <c r="M87">
        <f>IF(TbRegistroSaídas[[#This Row],[DATA DO CAIXA PREVISTA]]="",0,MONTH(TbRegistroSaídas[[#This Row],[DATA DO CAIXA PREVISTA]]))</f>
        <v>5</v>
      </c>
      <c r="N87">
        <f>IF(TbRegistroSaídas[[#This Row],[DATA DO CAIXA PREVISTA]]="",0,YEAR(TbRegistroSaídas[[#This Row],[DATA DO CAIXA PREVISTA]]))</f>
        <v>2018</v>
      </c>
      <c r="O8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8" spans="2:15" x14ac:dyDescent="0.25">
      <c r="B88" s="14">
        <v>43234.522556233635</v>
      </c>
      <c r="C88" s="14">
        <v>43191</v>
      </c>
      <c r="D88" s="14">
        <v>43234.522556233635</v>
      </c>
      <c r="E88" t="s">
        <v>47</v>
      </c>
      <c r="F88" t="s">
        <v>46</v>
      </c>
      <c r="G88" t="s">
        <v>368</v>
      </c>
      <c r="H88" s="17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COMPETENCIA]]="",0,MONTH(TbRegistroSaídas[[#This Row],[DATA DA COMPETENCIA]]))</f>
        <v>4</v>
      </c>
      <c r="L88">
        <f>IF(TbRegistroSaídas[[#This Row],[DATA DA COMPETENCIA]]="",0,YEAR(TbRegistroSaídas[[#This Row],[DATA DA COMPETENCIA]]))</f>
        <v>2018</v>
      </c>
      <c r="M88">
        <f>IF(TbRegistroSaídas[[#This Row],[DATA DO CAIXA PREVISTA]]="",0,MONTH(TbRegistroSaídas[[#This Row],[DATA DO CAIXA PREVISTA]]))</f>
        <v>5</v>
      </c>
      <c r="N88">
        <f>IF(TbRegistroSaídas[[#This Row],[DATA DO CAIXA PREVISTA]]="",0,YEAR(TbRegistroSaídas[[#This Row],[DATA DO CAIXA PREVISTA]]))</f>
        <v>2018</v>
      </c>
      <c r="O8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89" spans="2:15" x14ac:dyDescent="0.25">
      <c r="B89" s="14">
        <v>43202.116934975762</v>
      </c>
      <c r="C89" s="14">
        <v>43193</v>
      </c>
      <c r="D89" s="14">
        <v>43202.116934975762</v>
      </c>
      <c r="E89" t="s">
        <v>47</v>
      </c>
      <c r="F89" t="s">
        <v>37</v>
      </c>
      <c r="G89" t="s">
        <v>369</v>
      </c>
      <c r="H89" s="17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COMPETENCIA]]="",0,MONTH(TbRegistroSaídas[[#This Row],[DATA DA COMPETENCIA]]))</f>
        <v>4</v>
      </c>
      <c r="L89">
        <f>IF(TbRegistroSaídas[[#This Row],[DATA DA COMPETENCIA]]="",0,YEAR(TbRegistroSaídas[[#This Row],[DATA DA COMPETENCIA]]))</f>
        <v>2018</v>
      </c>
      <c r="M89">
        <f>IF(TbRegistroSaídas[[#This Row],[DATA DO CAIXA PREVISTA]]="",0,MONTH(TbRegistroSaídas[[#This Row],[DATA DO CAIXA PREVISTA]]))</f>
        <v>4</v>
      </c>
      <c r="N89">
        <f>IF(TbRegistroSaídas[[#This Row],[DATA DO CAIXA PREVISTA]]="",0,YEAR(TbRegistroSaídas[[#This Row],[DATA DO CAIXA PREVISTA]]))</f>
        <v>2018</v>
      </c>
      <c r="O8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0" spans="2:15" x14ac:dyDescent="0.25">
      <c r="B90" s="14">
        <v>43220.080853168562</v>
      </c>
      <c r="C90" s="14">
        <v>43195</v>
      </c>
      <c r="D90" s="14">
        <v>43215.697364070438</v>
      </c>
      <c r="E90" t="s">
        <v>47</v>
      </c>
      <c r="F90" t="s">
        <v>38</v>
      </c>
      <c r="G90" t="s">
        <v>370</v>
      </c>
      <c r="H90" s="17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COMPETENCIA]]="",0,MONTH(TbRegistroSaídas[[#This Row],[DATA DA COMPETENCIA]]))</f>
        <v>4</v>
      </c>
      <c r="L90">
        <f>IF(TbRegistroSaídas[[#This Row],[DATA DA COMPETENCIA]]="",0,YEAR(TbRegistroSaídas[[#This Row],[DATA DA COMPETENCIA]]))</f>
        <v>2018</v>
      </c>
      <c r="M90">
        <f>IF(TbRegistroSaídas[[#This Row],[DATA DO CAIXA PREVISTA]]="",0,MONTH(TbRegistroSaídas[[#This Row],[DATA DO CAIXA PREVISTA]]))</f>
        <v>4</v>
      </c>
      <c r="N90">
        <f>IF(TbRegistroSaídas[[#This Row],[DATA DO CAIXA PREVISTA]]="",0,YEAR(TbRegistroSaídas[[#This Row],[DATA DO CAIXA PREVISTA]]))</f>
        <v>2018</v>
      </c>
      <c r="O9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4.3834890981233912</v>
      </c>
    </row>
    <row r="91" spans="2:15" x14ac:dyDescent="0.25">
      <c r="B91" s="14">
        <v>43221.571171062293</v>
      </c>
      <c r="C91" s="14">
        <v>43196</v>
      </c>
      <c r="D91" s="14">
        <v>43221.571171062293</v>
      </c>
      <c r="E91" t="s">
        <v>47</v>
      </c>
      <c r="F91" t="s">
        <v>52</v>
      </c>
      <c r="G91" t="s">
        <v>371</v>
      </c>
      <c r="H91" s="17">
        <v>1144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COMPETENCIA]]="",0,MONTH(TbRegistroSaídas[[#This Row],[DATA DA COMPETENCIA]]))</f>
        <v>4</v>
      </c>
      <c r="L91">
        <f>IF(TbRegistroSaídas[[#This Row],[DATA DA COMPETENCIA]]="",0,YEAR(TbRegistroSaídas[[#This Row],[DATA DA COMPETENCIA]]))</f>
        <v>2018</v>
      </c>
      <c r="M91">
        <f>IF(TbRegistroSaídas[[#This Row],[DATA DO CAIXA PREVISTA]]="",0,MONTH(TbRegistroSaídas[[#This Row],[DATA DO CAIXA PREVISTA]]))</f>
        <v>5</v>
      </c>
      <c r="N91">
        <f>IF(TbRegistroSaídas[[#This Row],[DATA DO CAIXA PREVISTA]]="",0,YEAR(TbRegistroSaídas[[#This Row],[DATA DO CAIXA PREVISTA]]))</f>
        <v>2018</v>
      </c>
      <c r="O9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2" spans="2:15" x14ac:dyDescent="0.25">
      <c r="B92" s="14">
        <v>43240.686796046153</v>
      </c>
      <c r="C92" s="14">
        <v>43200</v>
      </c>
      <c r="D92" s="14">
        <v>43240.686796046153</v>
      </c>
      <c r="E92" t="s">
        <v>47</v>
      </c>
      <c r="F92" t="s">
        <v>38</v>
      </c>
      <c r="G92" t="s">
        <v>372</v>
      </c>
      <c r="H92" s="17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COMPETENCIA]]="",0,MONTH(TbRegistroSaídas[[#This Row],[DATA DA COMPETENCIA]]))</f>
        <v>4</v>
      </c>
      <c r="L92">
        <f>IF(TbRegistroSaídas[[#This Row],[DATA DA COMPETENCIA]]="",0,YEAR(TbRegistroSaídas[[#This Row],[DATA DA COMPETENCIA]]))</f>
        <v>2018</v>
      </c>
      <c r="M92">
        <f>IF(TbRegistroSaídas[[#This Row],[DATA DO CAIXA PREVISTA]]="",0,MONTH(TbRegistroSaídas[[#This Row],[DATA DO CAIXA PREVISTA]]))</f>
        <v>5</v>
      </c>
      <c r="N92">
        <f>IF(TbRegistroSaídas[[#This Row],[DATA DO CAIXA PREVISTA]]="",0,YEAR(TbRegistroSaídas[[#This Row],[DATA DO CAIXA PREVISTA]]))</f>
        <v>2018</v>
      </c>
      <c r="O9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3" spans="2:15" x14ac:dyDescent="0.25">
      <c r="B93" s="14">
        <v>43290.30848134488</v>
      </c>
      <c r="C93" s="14">
        <v>43206</v>
      </c>
      <c r="D93" s="14">
        <v>43209.120587233294</v>
      </c>
      <c r="E93" t="s">
        <v>47</v>
      </c>
      <c r="F93" t="s">
        <v>52</v>
      </c>
      <c r="G93" t="s">
        <v>373</v>
      </c>
      <c r="H93" s="17">
        <v>3445</v>
      </c>
      <c r="I93">
        <f>IF(TbRegistroSaídas[[#This Row],[DATA DO CAIXA REALIZADO]]="",0,MONTH(TbRegistroSaídas[[#This Row],[DATA DO CAIXA REALIZADO]]))</f>
        <v>7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COMPETENCIA]]="",0,MONTH(TbRegistroSaídas[[#This Row],[DATA DA COMPETENCIA]]))</f>
        <v>4</v>
      </c>
      <c r="L93">
        <f>IF(TbRegistroSaídas[[#This Row],[DATA DA COMPETENCIA]]="",0,YEAR(TbRegistroSaídas[[#This Row],[DATA DA COMPETENCIA]]))</f>
        <v>2018</v>
      </c>
      <c r="M93">
        <f>IF(TbRegistroSaídas[[#This Row],[DATA DO CAIXA PREVISTA]]="",0,MONTH(TbRegistroSaídas[[#This Row],[DATA DO CAIXA PREVISTA]]))</f>
        <v>4</v>
      </c>
      <c r="N93">
        <f>IF(TbRegistroSaídas[[#This Row],[DATA DO CAIXA PREVISTA]]="",0,YEAR(TbRegistroSaídas[[#This Row],[DATA DO CAIXA PREVISTA]]))</f>
        <v>2018</v>
      </c>
      <c r="O9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81.187894111586502</v>
      </c>
    </row>
    <row r="94" spans="2:15" x14ac:dyDescent="0.25">
      <c r="B94" s="14">
        <v>43222.305289041076</v>
      </c>
      <c r="C94" s="14">
        <v>43212</v>
      </c>
      <c r="D94" s="14">
        <v>43222.305289041076</v>
      </c>
      <c r="E94" t="s">
        <v>47</v>
      </c>
      <c r="F94" t="s">
        <v>46</v>
      </c>
      <c r="G94" t="s">
        <v>374</v>
      </c>
      <c r="H94" s="17">
        <v>1996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COMPETENCIA]]="",0,MONTH(TbRegistroSaídas[[#This Row],[DATA DA COMPETENCIA]]))</f>
        <v>4</v>
      </c>
      <c r="L94">
        <f>IF(TbRegistroSaídas[[#This Row],[DATA DA COMPETENCIA]]="",0,YEAR(TbRegistroSaídas[[#This Row],[DATA DA COMPETENCIA]]))</f>
        <v>2018</v>
      </c>
      <c r="M94">
        <f>IF(TbRegistroSaídas[[#This Row],[DATA DO CAIXA PREVISTA]]="",0,MONTH(TbRegistroSaídas[[#This Row],[DATA DO CAIXA PREVISTA]]))</f>
        <v>5</v>
      </c>
      <c r="N94">
        <f>IF(TbRegistroSaídas[[#This Row],[DATA DO CAIXA PREVISTA]]="",0,YEAR(TbRegistroSaídas[[#This Row],[DATA DO CAIXA PREVISTA]]))</f>
        <v>2018</v>
      </c>
      <c r="O9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5" spans="2:15" x14ac:dyDescent="0.25">
      <c r="B95" s="14">
        <v>43232.768700738379</v>
      </c>
      <c r="C95" s="14">
        <v>43218</v>
      </c>
      <c r="D95" s="14">
        <v>43232.768700738379</v>
      </c>
      <c r="E95" t="s">
        <v>47</v>
      </c>
      <c r="F95" t="s">
        <v>38</v>
      </c>
      <c r="G95" t="s">
        <v>375</v>
      </c>
      <c r="H95" s="17">
        <v>1254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COMPETENCIA]]="",0,MONTH(TbRegistroSaídas[[#This Row],[DATA DA COMPETENCIA]]))</f>
        <v>4</v>
      </c>
      <c r="L95">
        <f>IF(TbRegistroSaídas[[#This Row],[DATA DA COMPETENCIA]]="",0,YEAR(TbRegistroSaídas[[#This Row],[DATA DA COMPETENCIA]]))</f>
        <v>2018</v>
      </c>
      <c r="M95">
        <f>IF(TbRegistroSaídas[[#This Row],[DATA DO CAIXA PREVISTA]]="",0,MONTH(TbRegistroSaídas[[#This Row],[DATA DO CAIXA PREVISTA]]))</f>
        <v>5</v>
      </c>
      <c r="N95">
        <f>IF(TbRegistroSaídas[[#This Row],[DATA DO CAIXA PREVISTA]]="",0,YEAR(TbRegistroSaídas[[#This Row],[DATA DO CAIXA PREVISTA]]))</f>
        <v>2018</v>
      </c>
      <c r="O9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6" spans="2:15" x14ac:dyDescent="0.25">
      <c r="B96" s="14">
        <v>43241.145893950612</v>
      </c>
      <c r="C96" s="14">
        <v>43219</v>
      </c>
      <c r="D96" s="14">
        <v>43223.806256091018</v>
      </c>
      <c r="E96" t="s">
        <v>47</v>
      </c>
      <c r="F96" t="s">
        <v>38</v>
      </c>
      <c r="G96" t="s">
        <v>376</v>
      </c>
      <c r="H96" s="17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COMPETENCIA]]="",0,MONTH(TbRegistroSaídas[[#This Row],[DATA DA COMPETENCIA]]))</f>
        <v>4</v>
      </c>
      <c r="L96">
        <f>IF(TbRegistroSaídas[[#This Row],[DATA DA COMPETENCIA]]="",0,YEAR(TbRegistroSaídas[[#This Row],[DATA DA COMPETENCIA]]))</f>
        <v>2018</v>
      </c>
      <c r="M96">
        <f>IF(TbRegistroSaídas[[#This Row],[DATA DO CAIXA PREVISTA]]="",0,MONTH(TbRegistroSaídas[[#This Row],[DATA DO CAIXA PREVISTA]]))</f>
        <v>5</v>
      </c>
      <c r="N96">
        <f>IF(TbRegistroSaídas[[#This Row],[DATA DO CAIXA PREVISTA]]="",0,YEAR(TbRegistroSaídas[[#This Row],[DATA DO CAIXA PREVISTA]]))</f>
        <v>2018</v>
      </c>
      <c r="O9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17.339637859593495</v>
      </c>
    </row>
    <row r="97" spans="2:15" x14ac:dyDescent="0.25">
      <c r="B97" s="14">
        <v>43251.616600040084</v>
      </c>
      <c r="C97" s="14">
        <v>43222</v>
      </c>
      <c r="D97" s="14">
        <v>43251.616600040084</v>
      </c>
      <c r="E97" t="s">
        <v>47</v>
      </c>
      <c r="F97" t="s">
        <v>37</v>
      </c>
      <c r="G97" t="s">
        <v>377</v>
      </c>
      <c r="H97" s="17">
        <v>2975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COMPETENCIA]]="",0,MONTH(TbRegistroSaídas[[#This Row],[DATA DA COMPETENCIA]]))</f>
        <v>5</v>
      </c>
      <c r="L97">
        <f>IF(TbRegistroSaídas[[#This Row],[DATA DA COMPETENCIA]]="",0,YEAR(TbRegistroSaídas[[#This Row],[DATA DA COMPETENCIA]]))</f>
        <v>2018</v>
      </c>
      <c r="M97">
        <f>IF(TbRegistroSaídas[[#This Row],[DATA DO CAIXA PREVISTA]]="",0,MONTH(TbRegistroSaídas[[#This Row],[DATA DO CAIXA PREVISTA]]))</f>
        <v>5</v>
      </c>
      <c r="N97">
        <f>IF(TbRegistroSaídas[[#This Row],[DATA DO CAIXA PREVISTA]]="",0,YEAR(TbRegistroSaídas[[#This Row],[DATA DO CAIXA PREVISTA]]))</f>
        <v>2018</v>
      </c>
      <c r="O9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8" spans="2:15" x14ac:dyDescent="0.25">
      <c r="B98" s="14">
        <v>43228.679133753983</v>
      </c>
      <c r="C98" s="14">
        <v>43223</v>
      </c>
      <c r="D98" s="14">
        <v>43228.679133753983</v>
      </c>
      <c r="E98" t="s">
        <v>47</v>
      </c>
      <c r="F98" t="s">
        <v>52</v>
      </c>
      <c r="G98" t="s">
        <v>378</v>
      </c>
      <c r="H98" s="17">
        <v>4807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COMPETENCIA]]="",0,MONTH(TbRegistroSaídas[[#This Row],[DATA DA COMPETENCIA]]))</f>
        <v>5</v>
      </c>
      <c r="L98">
        <f>IF(TbRegistroSaídas[[#This Row],[DATA DA COMPETENCIA]]="",0,YEAR(TbRegistroSaídas[[#This Row],[DATA DA COMPETENCIA]]))</f>
        <v>2018</v>
      </c>
      <c r="M98">
        <f>IF(TbRegistroSaídas[[#This Row],[DATA DO CAIXA PREVISTA]]="",0,MONTH(TbRegistroSaídas[[#This Row],[DATA DO CAIXA PREVISTA]]))</f>
        <v>5</v>
      </c>
      <c r="N98">
        <f>IF(TbRegistroSaídas[[#This Row],[DATA DO CAIXA PREVISTA]]="",0,YEAR(TbRegistroSaídas[[#This Row],[DATA DO CAIXA PREVISTA]]))</f>
        <v>2018</v>
      </c>
      <c r="O9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99" spans="2:15" x14ac:dyDescent="0.25">
      <c r="B99" s="14">
        <v>43264.296949259209</v>
      </c>
      <c r="C99" s="14">
        <v>43230</v>
      </c>
      <c r="D99" s="14">
        <v>43264.296949259209</v>
      </c>
      <c r="E99" t="s">
        <v>47</v>
      </c>
      <c r="F99" t="s">
        <v>46</v>
      </c>
      <c r="G99" t="s">
        <v>379</v>
      </c>
      <c r="H99" s="17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COMPETENCIA]]="",0,MONTH(TbRegistroSaídas[[#This Row],[DATA DA COMPETENCIA]]))</f>
        <v>5</v>
      </c>
      <c r="L99">
        <f>IF(TbRegistroSaídas[[#This Row],[DATA DA COMPETENCIA]]="",0,YEAR(TbRegistroSaídas[[#This Row],[DATA DA COMPETENCIA]]))</f>
        <v>2018</v>
      </c>
      <c r="M99">
        <f>IF(TbRegistroSaídas[[#This Row],[DATA DO CAIXA PREVISTA]]="",0,MONTH(TbRegistroSaídas[[#This Row],[DATA DO CAIXA PREVISTA]]))</f>
        <v>6</v>
      </c>
      <c r="N99">
        <f>IF(TbRegistroSaídas[[#This Row],[DATA DO CAIXA PREVISTA]]="",0,YEAR(TbRegistroSaídas[[#This Row],[DATA DO CAIXA PREVISTA]]))</f>
        <v>2018</v>
      </c>
      <c r="O9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0" spans="2:15" x14ac:dyDescent="0.25">
      <c r="B100" s="14">
        <v>43278.791757178202</v>
      </c>
      <c r="C100" s="14">
        <v>43235</v>
      </c>
      <c r="D100" s="14">
        <v>43278.791757178202</v>
      </c>
      <c r="E100" t="s">
        <v>47</v>
      </c>
      <c r="F100" t="s">
        <v>23</v>
      </c>
      <c r="G100" t="s">
        <v>380</v>
      </c>
      <c r="H100" s="17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COMPETENCIA]]="",0,MONTH(TbRegistroSaídas[[#This Row],[DATA DA COMPETENCIA]]))</f>
        <v>5</v>
      </c>
      <c r="L100">
        <f>IF(TbRegistroSaídas[[#This Row],[DATA DA COMPETENCIA]]="",0,YEAR(TbRegistroSaídas[[#This Row],[DATA DA COMPETENCIA]]))</f>
        <v>2018</v>
      </c>
      <c r="M100">
        <f>IF(TbRegistroSaídas[[#This Row],[DATA DO CAIXA PREVISTA]]="",0,MONTH(TbRegistroSaídas[[#This Row],[DATA DO CAIXA PREVISTA]]))</f>
        <v>6</v>
      </c>
      <c r="N100">
        <f>IF(TbRegistroSaídas[[#This Row],[DATA DO CAIXA PREVISTA]]="",0,YEAR(TbRegistroSaídas[[#This Row],[DATA DO CAIXA PREVISTA]]))</f>
        <v>2018</v>
      </c>
      <c r="O10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1" spans="2:15" x14ac:dyDescent="0.25">
      <c r="B101" s="14" t="s">
        <v>68</v>
      </c>
      <c r="C101" s="14">
        <v>43238</v>
      </c>
      <c r="D101" s="14">
        <v>43253.101312636762</v>
      </c>
      <c r="E101" t="s">
        <v>47</v>
      </c>
      <c r="F101" t="s">
        <v>52</v>
      </c>
      <c r="G101" t="s">
        <v>381</v>
      </c>
      <c r="H101" s="17">
        <v>701</v>
      </c>
      <c r="I101">
        <f>IF(TbRegistroSaídas[[#This Row],[DATA DO CAIXA REALIZADO]]="",0,MONTH(TbRegistroSaídas[[#This Row],[DATA DO CAIXA REALIZADO]]))</f>
        <v>0</v>
      </c>
      <c r="J101">
        <f>IF(TbRegistroSaídas[[#This Row],[DATA DO CAIXA REALIZADO]]="",0,YEAR(TbRegistroSaídas[[#This Row],[DATA DO CAIXA REALIZADO]]))</f>
        <v>0</v>
      </c>
      <c r="K101">
        <f>IF(TbRegistroSaídas[[#This Row],[DATA DA COMPETENCIA]]="",0,MONTH(TbRegistroSaídas[[#This Row],[DATA DA COMPETENCIA]]))</f>
        <v>5</v>
      </c>
      <c r="L101">
        <f>IF(TbRegistroSaídas[[#This Row],[DATA DA COMPETENCIA]]="",0,YEAR(TbRegistroSaídas[[#This Row],[DATA DA COMPETENCIA]]))</f>
        <v>2018</v>
      </c>
      <c r="M101">
        <f>IF(TbRegistroSaídas[[#This Row],[DATA DO CAIXA PREVISTA]]="",0,MONTH(TbRegistroSaídas[[#This Row],[DATA DO CAIXA PREVISTA]]))</f>
        <v>6</v>
      </c>
      <c r="N101">
        <f>IF(TbRegistroSaídas[[#This Row],[DATA DO CAIXA PREVISTA]]="",0,YEAR(TbRegistroSaídas[[#This Row],[DATA DO CAIXA PREVISTA]]))</f>
        <v>2018</v>
      </c>
      <c r="O101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02" spans="2:15" x14ac:dyDescent="0.25">
      <c r="B102" s="14">
        <v>43278.250305144895</v>
      </c>
      <c r="C102" s="14">
        <v>43239</v>
      </c>
      <c r="D102" s="14">
        <v>43278.250305144895</v>
      </c>
      <c r="E102" t="s">
        <v>47</v>
      </c>
      <c r="F102" t="s">
        <v>52</v>
      </c>
      <c r="G102" t="s">
        <v>382</v>
      </c>
      <c r="H102" s="17">
        <v>2651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COMPETENCIA]]="",0,MONTH(TbRegistroSaídas[[#This Row],[DATA DA COMPETENCIA]]))</f>
        <v>5</v>
      </c>
      <c r="L102">
        <f>IF(TbRegistroSaídas[[#This Row],[DATA DA COMPETENCIA]]="",0,YEAR(TbRegistroSaídas[[#This Row],[DATA DA COMPETENCIA]]))</f>
        <v>2018</v>
      </c>
      <c r="M102">
        <f>IF(TbRegistroSaídas[[#This Row],[DATA DO CAIXA PREVISTA]]="",0,MONTH(TbRegistroSaídas[[#This Row],[DATA DO CAIXA PREVISTA]]))</f>
        <v>6</v>
      </c>
      <c r="N102">
        <f>IF(TbRegistroSaídas[[#This Row],[DATA DO CAIXA PREVISTA]]="",0,YEAR(TbRegistroSaídas[[#This Row],[DATA DO CAIXA PREVISTA]]))</f>
        <v>2018</v>
      </c>
      <c r="O10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3" spans="2:15" x14ac:dyDescent="0.25">
      <c r="B103" s="14">
        <v>43350.331612666698</v>
      </c>
      <c r="C103" s="14">
        <v>43246</v>
      </c>
      <c r="D103" s="14">
        <v>43282.817543595353</v>
      </c>
      <c r="E103" t="s">
        <v>47</v>
      </c>
      <c r="F103" t="s">
        <v>52</v>
      </c>
      <c r="G103" t="s">
        <v>383</v>
      </c>
      <c r="H103" s="17">
        <v>3792</v>
      </c>
      <c r="I103">
        <f>IF(TbRegistroSaídas[[#This Row],[DATA DO CAIXA REALIZADO]]="",0,MONTH(TbRegistroSaídas[[#This Row],[DATA DO CAIXA REALIZADO]]))</f>
        <v>9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COMPETENCIA]]="",0,MONTH(TbRegistroSaídas[[#This Row],[DATA DA COMPETENCIA]]))</f>
        <v>5</v>
      </c>
      <c r="L103">
        <f>IF(TbRegistroSaídas[[#This Row],[DATA DA COMPETENCIA]]="",0,YEAR(TbRegistroSaídas[[#This Row],[DATA DA COMPETENCIA]]))</f>
        <v>2018</v>
      </c>
      <c r="M103">
        <f>IF(TbRegistroSaídas[[#This Row],[DATA DO CAIXA PREVISTA]]="",0,MONTH(TbRegistroSaídas[[#This Row],[DATA DO CAIXA PREVISTA]]))</f>
        <v>7</v>
      </c>
      <c r="N103">
        <f>IF(TbRegistroSaídas[[#This Row],[DATA DO CAIXA PREVISTA]]="",0,YEAR(TbRegistroSaídas[[#This Row],[DATA DO CAIXA PREVISTA]]))</f>
        <v>2018</v>
      </c>
      <c r="O10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67.514069071345148</v>
      </c>
    </row>
    <row r="104" spans="2:15" x14ac:dyDescent="0.25">
      <c r="B104" s="14">
        <v>43334.039973021354</v>
      </c>
      <c r="C104" s="14">
        <v>43248</v>
      </c>
      <c r="D104" s="14">
        <v>43306.553383849692</v>
      </c>
      <c r="E104" t="s">
        <v>47</v>
      </c>
      <c r="F104" t="s">
        <v>23</v>
      </c>
      <c r="G104" t="s">
        <v>384</v>
      </c>
      <c r="H104" s="17">
        <v>611</v>
      </c>
      <c r="I104">
        <f>IF(TbRegistroSaídas[[#This Row],[DATA DO CAIXA REALIZADO]]="",0,MONTH(TbRegistroSaídas[[#This Row],[DATA DO CAIXA REALIZADO]]))</f>
        <v>8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COMPETENCIA]]="",0,MONTH(TbRegistroSaídas[[#This Row],[DATA DA COMPETENCIA]]))</f>
        <v>5</v>
      </c>
      <c r="L104">
        <f>IF(TbRegistroSaídas[[#This Row],[DATA DA COMPETENCIA]]="",0,YEAR(TbRegistroSaídas[[#This Row],[DATA DA COMPETENCIA]]))</f>
        <v>2018</v>
      </c>
      <c r="M104">
        <f>IF(TbRegistroSaídas[[#This Row],[DATA DO CAIXA PREVISTA]]="",0,MONTH(TbRegistroSaídas[[#This Row],[DATA DO CAIXA PREVISTA]]))</f>
        <v>7</v>
      </c>
      <c r="N104">
        <f>IF(TbRegistroSaídas[[#This Row],[DATA DO CAIXA PREVISTA]]="",0,YEAR(TbRegistroSaídas[[#This Row],[DATA DO CAIXA PREVISTA]]))</f>
        <v>2018</v>
      </c>
      <c r="O10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27.486589171661763</v>
      </c>
    </row>
    <row r="105" spans="2:15" x14ac:dyDescent="0.25">
      <c r="B105" s="14">
        <v>43292.621992013512</v>
      </c>
      <c r="C105" s="14">
        <v>43251</v>
      </c>
      <c r="D105" s="14">
        <v>43292.621992013512</v>
      </c>
      <c r="E105" t="s">
        <v>47</v>
      </c>
      <c r="F105" t="s">
        <v>37</v>
      </c>
      <c r="G105" t="s">
        <v>385</v>
      </c>
      <c r="H105" s="17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COMPETENCIA]]="",0,MONTH(TbRegistroSaídas[[#This Row],[DATA DA COMPETENCIA]]))</f>
        <v>5</v>
      </c>
      <c r="L105">
        <f>IF(TbRegistroSaídas[[#This Row],[DATA DA COMPETENCIA]]="",0,YEAR(TbRegistroSaídas[[#This Row],[DATA DA COMPETENCIA]]))</f>
        <v>2018</v>
      </c>
      <c r="M105">
        <f>IF(TbRegistroSaídas[[#This Row],[DATA DO CAIXA PREVISTA]]="",0,MONTH(TbRegistroSaídas[[#This Row],[DATA DO CAIXA PREVISTA]]))</f>
        <v>7</v>
      </c>
      <c r="N105">
        <f>IF(TbRegistroSaídas[[#This Row],[DATA DO CAIXA PREVISTA]]="",0,YEAR(TbRegistroSaídas[[#This Row],[DATA DO CAIXA PREVISTA]]))</f>
        <v>2018</v>
      </c>
      <c r="O10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6" spans="2:15" x14ac:dyDescent="0.25">
      <c r="B106" s="14">
        <v>43279.068040624879</v>
      </c>
      <c r="C106" s="14">
        <v>43253</v>
      </c>
      <c r="D106" s="14">
        <v>43279.068040624879</v>
      </c>
      <c r="E106" t="s">
        <v>47</v>
      </c>
      <c r="F106" t="s">
        <v>52</v>
      </c>
      <c r="G106" t="s">
        <v>386</v>
      </c>
      <c r="H106" s="17">
        <v>3670</v>
      </c>
      <c r="I106">
        <f>IF(TbRegistroSaídas[[#This Row],[DATA DO CAIXA REALIZADO]]="",0,MONTH(TbRegistroSaídas[[#This Row],[DATA DO CAIXA REALIZADO]]))</f>
        <v>6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COMPETENCIA]]="",0,MONTH(TbRegistroSaídas[[#This Row],[DATA DA COMPETENCIA]]))</f>
        <v>6</v>
      </c>
      <c r="L106">
        <f>IF(TbRegistroSaídas[[#This Row],[DATA DA COMPETENCIA]]="",0,YEAR(TbRegistroSaídas[[#This Row],[DATA DA COMPETENCIA]]))</f>
        <v>2018</v>
      </c>
      <c r="M106">
        <f>IF(TbRegistroSaídas[[#This Row],[DATA DO CAIXA PREVISTA]]="",0,MONTH(TbRegistroSaídas[[#This Row],[DATA DO CAIXA PREVISTA]]))</f>
        <v>6</v>
      </c>
      <c r="N106">
        <f>IF(TbRegistroSaídas[[#This Row],[DATA DO CAIXA PREVISTA]]="",0,YEAR(TbRegistroSaídas[[#This Row],[DATA DO CAIXA PREVISTA]]))</f>
        <v>2018</v>
      </c>
      <c r="O10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7" spans="2:15" x14ac:dyDescent="0.25">
      <c r="B107" s="14">
        <v>43259.6666754662</v>
      </c>
      <c r="C107" s="14">
        <v>43255</v>
      </c>
      <c r="D107" s="14">
        <v>43259.6666754662</v>
      </c>
      <c r="E107" t="s">
        <v>47</v>
      </c>
      <c r="F107" t="s">
        <v>52</v>
      </c>
      <c r="G107" t="s">
        <v>387</v>
      </c>
      <c r="H107" s="17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COMPETENCIA]]="",0,MONTH(TbRegistroSaídas[[#This Row],[DATA DA COMPETENCIA]]))</f>
        <v>6</v>
      </c>
      <c r="L107">
        <f>IF(TbRegistroSaídas[[#This Row],[DATA DA COMPETENCIA]]="",0,YEAR(TbRegistroSaídas[[#This Row],[DATA DA COMPETENCIA]]))</f>
        <v>2018</v>
      </c>
      <c r="M107">
        <f>IF(TbRegistroSaídas[[#This Row],[DATA DO CAIXA PREVISTA]]="",0,MONTH(TbRegistroSaídas[[#This Row],[DATA DO CAIXA PREVISTA]]))</f>
        <v>6</v>
      </c>
      <c r="N107">
        <f>IF(TbRegistroSaídas[[#This Row],[DATA DO CAIXA PREVISTA]]="",0,YEAR(TbRegistroSaídas[[#This Row],[DATA DO CAIXA PREVISTA]]))</f>
        <v>2018</v>
      </c>
      <c r="O10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8" spans="2:15" x14ac:dyDescent="0.25">
      <c r="B108" s="14">
        <v>43282.67946727157</v>
      </c>
      <c r="C108" s="14">
        <v>43256</v>
      </c>
      <c r="D108" s="14">
        <v>43282.67946727157</v>
      </c>
      <c r="E108" t="s">
        <v>47</v>
      </c>
      <c r="F108" t="s">
        <v>37</v>
      </c>
      <c r="G108" t="s">
        <v>388</v>
      </c>
      <c r="H108" s="17">
        <v>1809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COMPETENCIA]]="",0,MONTH(TbRegistroSaídas[[#This Row],[DATA DA COMPETENCIA]]))</f>
        <v>6</v>
      </c>
      <c r="L108">
        <f>IF(TbRegistroSaídas[[#This Row],[DATA DA COMPETENCIA]]="",0,YEAR(TbRegistroSaídas[[#This Row],[DATA DA COMPETENCIA]]))</f>
        <v>2018</v>
      </c>
      <c r="M108">
        <f>IF(TbRegistroSaídas[[#This Row],[DATA DO CAIXA PREVISTA]]="",0,MONTH(TbRegistroSaídas[[#This Row],[DATA DO CAIXA PREVISTA]]))</f>
        <v>7</v>
      </c>
      <c r="N108">
        <f>IF(TbRegistroSaídas[[#This Row],[DATA DO CAIXA PREVISTA]]="",0,YEAR(TbRegistroSaídas[[#This Row],[DATA DO CAIXA PREVISTA]]))</f>
        <v>2018</v>
      </c>
      <c r="O10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09" spans="2:15" x14ac:dyDescent="0.25">
      <c r="B109" s="14">
        <v>43306.811336210056</v>
      </c>
      <c r="C109" s="14">
        <v>43258</v>
      </c>
      <c r="D109" s="14">
        <v>43306.811336210056</v>
      </c>
      <c r="E109" t="s">
        <v>47</v>
      </c>
      <c r="F109" t="s">
        <v>52</v>
      </c>
      <c r="G109" t="s">
        <v>389</v>
      </c>
      <c r="H109" s="17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COMPETENCIA]]="",0,MONTH(TbRegistroSaídas[[#This Row],[DATA DA COMPETENCIA]]))</f>
        <v>6</v>
      </c>
      <c r="L109">
        <f>IF(TbRegistroSaídas[[#This Row],[DATA DA COMPETENCIA]]="",0,YEAR(TbRegistroSaídas[[#This Row],[DATA DA COMPETENCIA]]))</f>
        <v>2018</v>
      </c>
      <c r="M109">
        <f>IF(TbRegistroSaídas[[#This Row],[DATA DO CAIXA PREVISTA]]="",0,MONTH(TbRegistroSaídas[[#This Row],[DATA DO CAIXA PREVISTA]]))</f>
        <v>7</v>
      </c>
      <c r="N109">
        <f>IF(TbRegistroSaídas[[#This Row],[DATA DO CAIXA PREVISTA]]="",0,YEAR(TbRegistroSaídas[[#This Row],[DATA DO CAIXA PREVISTA]]))</f>
        <v>2018</v>
      </c>
      <c r="O10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0" spans="2:15" x14ac:dyDescent="0.25">
      <c r="B110" s="14">
        <v>43269.791763204586</v>
      </c>
      <c r="C110" s="14">
        <v>43262</v>
      </c>
      <c r="D110" s="14">
        <v>43269.791763204586</v>
      </c>
      <c r="E110" t="s">
        <v>47</v>
      </c>
      <c r="F110" t="s">
        <v>46</v>
      </c>
      <c r="G110" t="s">
        <v>390</v>
      </c>
      <c r="H110" s="17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COMPETENCIA]]="",0,MONTH(TbRegistroSaídas[[#This Row],[DATA DA COMPETENCIA]]))</f>
        <v>6</v>
      </c>
      <c r="L110">
        <f>IF(TbRegistroSaídas[[#This Row],[DATA DA COMPETENCIA]]="",0,YEAR(TbRegistroSaídas[[#This Row],[DATA DA COMPETENCIA]]))</f>
        <v>2018</v>
      </c>
      <c r="M110">
        <f>IF(TbRegistroSaídas[[#This Row],[DATA DO CAIXA PREVISTA]]="",0,MONTH(TbRegistroSaídas[[#This Row],[DATA DO CAIXA PREVISTA]]))</f>
        <v>6</v>
      </c>
      <c r="N110">
        <f>IF(TbRegistroSaídas[[#This Row],[DATA DO CAIXA PREVISTA]]="",0,YEAR(TbRegistroSaídas[[#This Row],[DATA DO CAIXA PREVISTA]]))</f>
        <v>2018</v>
      </c>
      <c r="O11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1" spans="2:15" x14ac:dyDescent="0.25">
      <c r="B111" s="14">
        <v>43309.241793705783</v>
      </c>
      <c r="C111" s="14">
        <v>43268</v>
      </c>
      <c r="D111" s="14">
        <v>43309.241793705783</v>
      </c>
      <c r="E111" t="s">
        <v>47</v>
      </c>
      <c r="F111" t="s">
        <v>23</v>
      </c>
      <c r="G111" t="s">
        <v>391</v>
      </c>
      <c r="H111" s="17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COMPETENCIA]]="",0,MONTH(TbRegistroSaídas[[#This Row],[DATA DA COMPETENCIA]]))</f>
        <v>6</v>
      </c>
      <c r="L111">
        <f>IF(TbRegistroSaídas[[#This Row],[DATA DA COMPETENCIA]]="",0,YEAR(TbRegistroSaídas[[#This Row],[DATA DA COMPETENCIA]]))</f>
        <v>2018</v>
      </c>
      <c r="M111">
        <f>IF(TbRegistroSaídas[[#This Row],[DATA DO CAIXA PREVISTA]]="",0,MONTH(TbRegistroSaídas[[#This Row],[DATA DO CAIXA PREVISTA]]))</f>
        <v>7</v>
      </c>
      <c r="N111">
        <f>IF(TbRegistroSaídas[[#This Row],[DATA DO CAIXA PREVISTA]]="",0,YEAR(TbRegistroSaídas[[#This Row],[DATA DO CAIXA PREVISTA]]))</f>
        <v>2018</v>
      </c>
      <c r="O11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2" spans="2:15" x14ac:dyDescent="0.25">
      <c r="B112" s="14">
        <v>43328.010321588059</v>
      </c>
      <c r="C112" s="14">
        <v>43271</v>
      </c>
      <c r="D112" s="14">
        <v>43328.010321588059</v>
      </c>
      <c r="E112" t="s">
        <v>47</v>
      </c>
      <c r="F112" t="s">
        <v>37</v>
      </c>
      <c r="G112" t="s">
        <v>392</v>
      </c>
      <c r="H112" s="17">
        <v>3672</v>
      </c>
      <c r="I112">
        <f>IF(TbRegistroSaídas[[#This Row],[DATA DO CAIXA REALIZADO]]="",0,MONTH(TbRegistroSaídas[[#This Row],[DATA DO CAIXA REALIZADO]]))</f>
        <v>8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COMPETENCIA]]="",0,MONTH(TbRegistroSaídas[[#This Row],[DATA DA COMPETENCIA]]))</f>
        <v>6</v>
      </c>
      <c r="L112">
        <f>IF(TbRegistroSaídas[[#This Row],[DATA DA COMPETENCIA]]="",0,YEAR(TbRegistroSaídas[[#This Row],[DATA DA COMPETENCIA]]))</f>
        <v>2018</v>
      </c>
      <c r="M112">
        <f>IF(TbRegistroSaídas[[#This Row],[DATA DO CAIXA PREVISTA]]="",0,MONTH(TbRegistroSaídas[[#This Row],[DATA DO CAIXA PREVISTA]]))</f>
        <v>8</v>
      </c>
      <c r="N112">
        <f>IF(TbRegistroSaídas[[#This Row],[DATA DO CAIXA PREVISTA]]="",0,YEAR(TbRegistroSaídas[[#This Row],[DATA DO CAIXA PREVISTA]]))</f>
        <v>2018</v>
      </c>
      <c r="O11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3" spans="2:15" x14ac:dyDescent="0.25">
      <c r="B113" s="14">
        <v>43329.109711177305</v>
      </c>
      <c r="C113" s="14">
        <v>43277</v>
      </c>
      <c r="D113" s="14">
        <v>43288.040879967026</v>
      </c>
      <c r="E113" t="s">
        <v>47</v>
      </c>
      <c r="F113" t="s">
        <v>52</v>
      </c>
      <c r="G113" t="s">
        <v>393</v>
      </c>
      <c r="H113" s="17">
        <v>658</v>
      </c>
      <c r="I113">
        <f>IF(TbRegistroSaídas[[#This Row],[DATA DO CAIXA REALIZADO]]="",0,MONTH(TbRegistroSaídas[[#This Row],[DATA DO CAIXA REALIZADO]]))</f>
        <v>8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COMPETENCIA]]="",0,MONTH(TbRegistroSaídas[[#This Row],[DATA DA COMPETENCIA]]))</f>
        <v>6</v>
      </c>
      <c r="L113">
        <f>IF(TbRegistroSaídas[[#This Row],[DATA DA COMPETENCIA]]="",0,YEAR(TbRegistroSaídas[[#This Row],[DATA DA COMPETENCIA]]))</f>
        <v>2018</v>
      </c>
      <c r="M113">
        <f>IF(TbRegistroSaídas[[#This Row],[DATA DO CAIXA PREVISTA]]="",0,MONTH(TbRegistroSaídas[[#This Row],[DATA DO CAIXA PREVISTA]]))</f>
        <v>7</v>
      </c>
      <c r="N113">
        <f>IF(TbRegistroSaídas[[#This Row],[DATA DO CAIXA PREVISTA]]="",0,YEAR(TbRegistroSaídas[[#This Row],[DATA DO CAIXA PREVISTA]]))</f>
        <v>2018</v>
      </c>
      <c r="O11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41.068831210279313</v>
      </c>
    </row>
    <row r="114" spans="2:15" x14ac:dyDescent="0.25">
      <c r="B114" s="14">
        <v>43336.432893175937</v>
      </c>
      <c r="C114" s="14">
        <v>43280</v>
      </c>
      <c r="D114" s="14">
        <v>43336.432893175937</v>
      </c>
      <c r="E114" t="s">
        <v>47</v>
      </c>
      <c r="F114" t="s">
        <v>37</v>
      </c>
      <c r="G114" t="s">
        <v>394</v>
      </c>
      <c r="H114" s="17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COMPETENCIA]]="",0,MONTH(TbRegistroSaídas[[#This Row],[DATA DA COMPETENCIA]]))</f>
        <v>6</v>
      </c>
      <c r="L114">
        <f>IF(TbRegistroSaídas[[#This Row],[DATA DA COMPETENCIA]]="",0,YEAR(TbRegistroSaídas[[#This Row],[DATA DA COMPETENCIA]]))</f>
        <v>2018</v>
      </c>
      <c r="M114">
        <f>IF(TbRegistroSaídas[[#This Row],[DATA DO CAIXA PREVISTA]]="",0,MONTH(TbRegistroSaídas[[#This Row],[DATA DO CAIXA PREVISTA]]))</f>
        <v>8</v>
      </c>
      <c r="N114">
        <f>IF(TbRegistroSaídas[[#This Row],[DATA DO CAIXA PREVISTA]]="",0,YEAR(TbRegistroSaídas[[#This Row],[DATA DO CAIXA PREVISTA]]))</f>
        <v>2018</v>
      </c>
      <c r="O11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5" spans="2:15" x14ac:dyDescent="0.25">
      <c r="B115" s="14">
        <v>43290.700268540626</v>
      </c>
      <c r="C115" s="14">
        <v>43283</v>
      </c>
      <c r="D115" s="14">
        <v>43290.700268540626</v>
      </c>
      <c r="E115" t="s">
        <v>47</v>
      </c>
      <c r="F115" t="s">
        <v>23</v>
      </c>
      <c r="G115" t="s">
        <v>395</v>
      </c>
      <c r="H115" s="17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COMPETENCIA]]="",0,MONTH(TbRegistroSaídas[[#This Row],[DATA DA COMPETENCIA]]))</f>
        <v>7</v>
      </c>
      <c r="L115">
        <f>IF(TbRegistroSaídas[[#This Row],[DATA DA COMPETENCIA]]="",0,YEAR(TbRegistroSaídas[[#This Row],[DATA DA COMPETENCIA]]))</f>
        <v>2018</v>
      </c>
      <c r="M115">
        <f>IF(TbRegistroSaídas[[#This Row],[DATA DO CAIXA PREVISTA]]="",0,MONTH(TbRegistroSaídas[[#This Row],[DATA DO CAIXA PREVISTA]]))</f>
        <v>7</v>
      </c>
      <c r="N115">
        <f>IF(TbRegistroSaídas[[#This Row],[DATA DO CAIXA PREVISTA]]="",0,YEAR(TbRegistroSaídas[[#This Row],[DATA DO CAIXA PREVISTA]]))</f>
        <v>2018</v>
      </c>
      <c r="O11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6" spans="2:15" x14ac:dyDescent="0.25">
      <c r="B116" s="14">
        <v>43305.188654160578</v>
      </c>
      <c r="C116" s="14">
        <v>43284</v>
      </c>
      <c r="D116" s="14">
        <v>43305.188654160578</v>
      </c>
      <c r="E116" t="s">
        <v>47</v>
      </c>
      <c r="F116" t="s">
        <v>37</v>
      </c>
      <c r="G116" t="s">
        <v>396</v>
      </c>
      <c r="H116" s="17">
        <v>3411</v>
      </c>
      <c r="I116">
        <f>IF(TbRegistroSaídas[[#This Row],[DATA DO CAIXA REALIZADO]]="",0,MONTH(TbRegistroSaídas[[#This Row],[DATA DO CAIXA REALIZADO]]))</f>
        <v>7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COMPETENCIA]]="",0,MONTH(TbRegistroSaídas[[#This Row],[DATA DA COMPETENCIA]]))</f>
        <v>7</v>
      </c>
      <c r="L116">
        <f>IF(TbRegistroSaídas[[#This Row],[DATA DA COMPETENCIA]]="",0,YEAR(TbRegistroSaídas[[#This Row],[DATA DA COMPETENCIA]]))</f>
        <v>2018</v>
      </c>
      <c r="M116">
        <f>IF(TbRegistroSaídas[[#This Row],[DATA DO CAIXA PREVISTA]]="",0,MONTH(TbRegistroSaídas[[#This Row],[DATA DO CAIXA PREVISTA]]))</f>
        <v>7</v>
      </c>
      <c r="N116">
        <f>IF(TbRegistroSaídas[[#This Row],[DATA DO CAIXA PREVISTA]]="",0,YEAR(TbRegistroSaídas[[#This Row],[DATA DO CAIXA PREVISTA]]))</f>
        <v>2018</v>
      </c>
      <c r="O11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7" spans="2:15" x14ac:dyDescent="0.25">
      <c r="B117" s="14">
        <v>43305.434626119764</v>
      </c>
      <c r="C117" s="14">
        <v>43289</v>
      </c>
      <c r="D117" s="14">
        <v>43305.434626119764</v>
      </c>
      <c r="E117" t="s">
        <v>47</v>
      </c>
      <c r="F117" t="s">
        <v>37</v>
      </c>
      <c r="G117" t="s">
        <v>397</v>
      </c>
      <c r="H117" s="17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COMPETENCIA]]="",0,MONTH(TbRegistroSaídas[[#This Row],[DATA DA COMPETENCIA]]))</f>
        <v>7</v>
      </c>
      <c r="L117">
        <f>IF(TbRegistroSaídas[[#This Row],[DATA DA COMPETENCIA]]="",0,YEAR(TbRegistroSaídas[[#This Row],[DATA DA COMPETENCIA]]))</f>
        <v>2018</v>
      </c>
      <c r="M117">
        <f>IF(TbRegistroSaídas[[#This Row],[DATA DO CAIXA PREVISTA]]="",0,MONTH(TbRegistroSaídas[[#This Row],[DATA DO CAIXA PREVISTA]]))</f>
        <v>7</v>
      </c>
      <c r="N117">
        <f>IF(TbRegistroSaídas[[#This Row],[DATA DO CAIXA PREVISTA]]="",0,YEAR(TbRegistroSaídas[[#This Row],[DATA DO CAIXA PREVISTA]]))</f>
        <v>2018</v>
      </c>
      <c r="O11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8" spans="2:15" x14ac:dyDescent="0.25">
      <c r="B118" s="14">
        <v>43313.176696691356</v>
      </c>
      <c r="C118" s="14">
        <v>43291</v>
      </c>
      <c r="D118" s="14">
        <v>43313.176696691356</v>
      </c>
      <c r="E118" t="s">
        <v>47</v>
      </c>
      <c r="F118" t="s">
        <v>23</v>
      </c>
      <c r="G118" t="s">
        <v>398</v>
      </c>
      <c r="H118" s="17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COMPETENCIA]]="",0,MONTH(TbRegistroSaídas[[#This Row],[DATA DA COMPETENCIA]]))</f>
        <v>7</v>
      </c>
      <c r="L118">
        <f>IF(TbRegistroSaídas[[#This Row],[DATA DA COMPETENCIA]]="",0,YEAR(TbRegistroSaídas[[#This Row],[DATA DA COMPETENCIA]]))</f>
        <v>2018</v>
      </c>
      <c r="M118">
        <f>IF(TbRegistroSaídas[[#This Row],[DATA DO CAIXA PREVISTA]]="",0,MONTH(TbRegistroSaídas[[#This Row],[DATA DO CAIXA PREVISTA]]))</f>
        <v>8</v>
      </c>
      <c r="N118">
        <f>IF(TbRegistroSaídas[[#This Row],[DATA DO CAIXA PREVISTA]]="",0,YEAR(TbRegistroSaídas[[#This Row],[DATA DO CAIXA PREVISTA]]))</f>
        <v>2018</v>
      </c>
      <c r="O11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19" spans="2:15" x14ac:dyDescent="0.25">
      <c r="B119" s="14">
        <v>43340.349295717155</v>
      </c>
      <c r="C119" s="14">
        <v>43296</v>
      </c>
      <c r="D119" s="14">
        <v>43340.349295717155</v>
      </c>
      <c r="E119" t="s">
        <v>47</v>
      </c>
      <c r="F119" t="s">
        <v>52</v>
      </c>
      <c r="G119" t="s">
        <v>399</v>
      </c>
      <c r="H119" s="17">
        <v>3181</v>
      </c>
      <c r="I119">
        <f>IF(TbRegistroSaídas[[#This Row],[DATA DO CAIXA REALIZADO]]="",0,MONTH(TbRegistroSaídas[[#This Row],[DATA DO CAIXA REALIZADO]]))</f>
        <v>8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COMPETENCIA]]="",0,MONTH(TbRegistroSaídas[[#This Row],[DATA DA COMPETENCIA]]))</f>
        <v>7</v>
      </c>
      <c r="L119">
        <f>IF(TbRegistroSaídas[[#This Row],[DATA DA COMPETENCIA]]="",0,YEAR(TbRegistroSaídas[[#This Row],[DATA DA COMPETENCIA]]))</f>
        <v>2018</v>
      </c>
      <c r="M119">
        <f>IF(TbRegistroSaídas[[#This Row],[DATA DO CAIXA PREVISTA]]="",0,MONTH(TbRegistroSaídas[[#This Row],[DATA DO CAIXA PREVISTA]]))</f>
        <v>8</v>
      </c>
      <c r="N119">
        <f>IF(TbRegistroSaídas[[#This Row],[DATA DO CAIXA PREVISTA]]="",0,YEAR(TbRegistroSaídas[[#This Row],[DATA DO CAIXA PREVISTA]]))</f>
        <v>2018</v>
      </c>
      <c r="O11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0" spans="2:15" x14ac:dyDescent="0.25">
      <c r="B120" s="14">
        <v>43321.703958375911</v>
      </c>
      <c r="C120" s="14">
        <v>43297</v>
      </c>
      <c r="D120" s="14">
        <v>43321.703958375911</v>
      </c>
      <c r="E120" t="s">
        <v>47</v>
      </c>
      <c r="F120" t="s">
        <v>38</v>
      </c>
      <c r="G120" t="s">
        <v>400</v>
      </c>
      <c r="H120" s="17">
        <v>1108</v>
      </c>
      <c r="I120">
        <f>IF(TbRegistroSaídas[[#This Row],[DATA DO CAIXA REALIZADO]]="",0,MONTH(TbRegistroSaídas[[#This Row],[DATA DO CAIXA REALIZADO]]))</f>
        <v>8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COMPETENCIA]]="",0,MONTH(TbRegistroSaídas[[#This Row],[DATA DA COMPETENCIA]]))</f>
        <v>7</v>
      </c>
      <c r="L120">
        <f>IF(TbRegistroSaídas[[#This Row],[DATA DA COMPETENCIA]]="",0,YEAR(TbRegistroSaídas[[#This Row],[DATA DA COMPETENCIA]]))</f>
        <v>2018</v>
      </c>
      <c r="M120">
        <f>IF(TbRegistroSaídas[[#This Row],[DATA DO CAIXA PREVISTA]]="",0,MONTH(TbRegistroSaídas[[#This Row],[DATA DO CAIXA PREVISTA]]))</f>
        <v>8</v>
      </c>
      <c r="N120">
        <f>IF(TbRegistroSaídas[[#This Row],[DATA DO CAIXA PREVISTA]]="",0,YEAR(TbRegistroSaídas[[#This Row],[DATA DO CAIXA PREVISTA]]))</f>
        <v>2018</v>
      </c>
      <c r="O12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1" spans="2:15" x14ac:dyDescent="0.25">
      <c r="B121" s="14">
        <v>43330.010675622812</v>
      </c>
      <c r="C121" s="14">
        <v>43298</v>
      </c>
      <c r="D121" s="14">
        <v>43330.010675622812</v>
      </c>
      <c r="E121" t="s">
        <v>47</v>
      </c>
      <c r="F121" t="s">
        <v>52</v>
      </c>
      <c r="G121" t="s">
        <v>401</v>
      </c>
      <c r="H121" s="17">
        <v>2777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COMPETENCIA]]="",0,MONTH(TbRegistroSaídas[[#This Row],[DATA DA COMPETENCIA]]))</f>
        <v>7</v>
      </c>
      <c r="L121">
        <f>IF(TbRegistroSaídas[[#This Row],[DATA DA COMPETENCIA]]="",0,YEAR(TbRegistroSaídas[[#This Row],[DATA DA COMPETENCIA]]))</f>
        <v>2018</v>
      </c>
      <c r="M121">
        <f>IF(TbRegistroSaídas[[#This Row],[DATA DO CAIXA PREVISTA]]="",0,MONTH(TbRegistroSaídas[[#This Row],[DATA DO CAIXA PREVISTA]]))</f>
        <v>8</v>
      </c>
      <c r="N121">
        <f>IF(TbRegistroSaídas[[#This Row],[DATA DO CAIXA PREVISTA]]="",0,YEAR(TbRegistroSaídas[[#This Row],[DATA DO CAIXA PREVISTA]]))</f>
        <v>2018</v>
      </c>
      <c r="O12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2" spans="2:15" x14ac:dyDescent="0.25">
      <c r="B122" s="14">
        <v>43357.040894197533</v>
      </c>
      <c r="C122" s="14">
        <v>43300</v>
      </c>
      <c r="D122" s="14">
        <v>43357.040894197533</v>
      </c>
      <c r="E122" t="s">
        <v>47</v>
      </c>
      <c r="F122" t="s">
        <v>23</v>
      </c>
      <c r="G122" t="s">
        <v>402</v>
      </c>
      <c r="H122" s="17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COMPETENCIA]]="",0,MONTH(TbRegistroSaídas[[#This Row],[DATA DA COMPETENCIA]]))</f>
        <v>7</v>
      </c>
      <c r="L122">
        <f>IF(TbRegistroSaídas[[#This Row],[DATA DA COMPETENCIA]]="",0,YEAR(TbRegistroSaídas[[#This Row],[DATA DA COMPETENCIA]]))</f>
        <v>2018</v>
      </c>
      <c r="M122">
        <f>IF(TbRegistroSaídas[[#This Row],[DATA DO CAIXA PREVISTA]]="",0,MONTH(TbRegistroSaídas[[#This Row],[DATA DO CAIXA PREVISTA]]))</f>
        <v>9</v>
      </c>
      <c r="N122">
        <f>IF(TbRegistroSaídas[[#This Row],[DATA DO CAIXA PREVISTA]]="",0,YEAR(TbRegistroSaídas[[#This Row],[DATA DO CAIXA PREVISTA]]))</f>
        <v>2018</v>
      </c>
      <c r="O12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3" spans="2:15" x14ac:dyDescent="0.25">
      <c r="B123" s="14" t="s">
        <v>68</v>
      </c>
      <c r="C123" s="14">
        <v>43302</v>
      </c>
      <c r="D123" s="14">
        <v>43324.888843781351</v>
      </c>
      <c r="E123" t="s">
        <v>47</v>
      </c>
      <c r="F123" t="s">
        <v>37</v>
      </c>
      <c r="G123" t="s">
        <v>403</v>
      </c>
      <c r="H123" s="17">
        <v>4217</v>
      </c>
      <c r="I123">
        <f>IF(TbRegistroSaídas[[#This Row],[DATA DO CAIXA REALIZADO]]="",0,MONTH(TbRegistroSaídas[[#This Row],[DATA DO CAIXA REALIZADO]]))</f>
        <v>0</v>
      </c>
      <c r="J123">
        <f>IF(TbRegistroSaídas[[#This Row],[DATA DO CAIXA REALIZADO]]="",0,YEAR(TbRegistroSaídas[[#This Row],[DATA DO CAIXA REALIZADO]]))</f>
        <v>0</v>
      </c>
      <c r="K123">
        <f>IF(TbRegistroSaídas[[#This Row],[DATA DA COMPETENCIA]]="",0,MONTH(TbRegistroSaídas[[#This Row],[DATA DA COMPETENCIA]]))</f>
        <v>7</v>
      </c>
      <c r="L123">
        <f>IF(TbRegistroSaídas[[#This Row],[DATA DA COMPETENCIA]]="",0,YEAR(TbRegistroSaídas[[#This Row],[DATA DA COMPETENCIA]]))</f>
        <v>2018</v>
      </c>
      <c r="M123">
        <f>IF(TbRegistroSaídas[[#This Row],[DATA DO CAIXA PREVISTA]]="",0,MONTH(TbRegistroSaídas[[#This Row],[DATA DO CAIXA PREVISTA]]))</f>
        <v>8</v>
      </c>
      <c r="N123">
        <f>IF(TbRegistroSaídas[[#This Row],[DATA DO CAIXA PREVISTA]]="",0,YEAR(TbRegistroSaídas[[#This Row],[DATA DO CAIXA PREVISTA]]))</f>
        <v>2018</v>
      </c>
      <c r="O123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24" spans="2:15" x14ac:dyDescent="0.25">
      <c r="B124" s="14">
        <v>43342.623492549312</v>
      </c>
      <c r="C124" s="14">
        <v>43309</v>
      </c>
      <c r="D124" s="14">
        <v>43342.623492549312</v>
      </c>
      <c r="E124" t="s">
        <v>47</v>
      </c>
      <c r="F124" t="s">
        <v>52</v>
      </c>
      <c r="G124" t="s">
        <v>404</v>
      </c>
      <c r="H124" s="17">
        <v>4850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COMPETENCIA]]="",0,MONTH(TbRegistroSaídas[[#This Row],[DATA DA COMPETENCIA]]))</f>
        <v>7</v>
      </c>
      <c r="L124">
        <f>IF(TbRegistroSaídas[[#This Row],[DATA DA COMPETENCIA]]="",0,YEAR(TbRegistroSaídas[[#This Row],[DATA DA COMPETENCIA]]))</f>
        <v>2018</v>
      </c>
      <c r="M124">
        <f>IF(TbRegistroSaídas[[#This Row],[DATA DO CAIXA PREVISTA]]="",0,MONTH(TbRegistroSaídas[[#This Row],[DATA DO CAIXA PREVISTA]]))</f>
        <v>8</v>
      </c>
      <c r="N124">
        <f>IF(TbRegistroSaídas[[#This Row],[DATA DO CAIXA PREVISTA]]="",0,YEAR(TbRegistroSaídas[[#This Row],[DATA DO CAIXA PREVISTA]]))</f>
        <v>2018</v>
      </c>
      <c r="O12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5" spans="2:15" x14ac:dyDescent="0.25">
      <c r="B125" s="14">
        <v>43354.968085716326</v>
      </c>
      <c r="C125" s="14">
        <v>43311</v>
      </c>
      <c r="D125" s="14">
        <v>43331.330507155544</v>
      </c>
      <c r="E125" t="s">
        <v>47</v>
      </c>
      <c r="F125" t="s">
        <v>37</v>
      </c>
      <c r="G125" t="s">
        <v>405</v>
      </c>
      <c r="H125" s="17">
        <v>4309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COMPETENCIA]]="",0,MONTH(TbRegistroSaídas[[#This Row],[DATA DA COMPETENCIA]]))</f>
        <v>7</v>
      </c>
      <c r="L125">
        <f>IF(TbRegistroSaídas[[#This Row],[DATA DA COMPETENCIA]]="",0,YEAR(TbRegistroSaídas[[#This Row],[DATA DA COMPETENCIA]]))</f>
        <v>2018</v>
      </c>
      <c r="M125">
        <f>IF(TbRegistroSaídas[[#This Row],[DATA DO CAIXA PREVISTA]]="",0,MONTH(TbRegistroSaídas[[#This Row],[DATA DO CAIXA PREVISTA]]))</f>
        <v>8</v>
      </c>
      <c r="N125">
        <f>IF(TbRegistroSaídas[[#This Row],[DATA DO CAIXA PREVISTA]]="",0,YEAR(TbRegistroSaídas[[#This Row],[DATA DO CAIXA PREVISTA]]))</f>
        <v>2018</v>
      </c>
      <c r="O12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23.637578560781549</v>
      </c>
    </row>
    <row r="126" spans="2:15" x14ac:dyDescent="0.25">
      <c r="B126" s="14">
        <v>43374.615784892369</v>
      </c>
      <c r="C126" s="14">
        <v>43313</v>
      </c>
      <c r="D126" s="14">
        <v>43314.576092684139</v>
      </c>
      <c r="E126" t="s">
        <v>47</v>
      </c>
      <c r="F126" t="s">
        <v>38</v>
      </c>
      <c r="G126" t="s">
        <v>406</v>
      </c>
      <c r="H126" s="17">
        <v>4462</v>
      </c>
      <c r="I126">
        <f>IF(TbRegistroSaídas[[#This Row],[DATA DO CAIXA REALIZADO]]="",0,MONTH(TbRegistroSaídas[[#This Row],[DATA DO CAIXA REALIZADO]]))</f>
        <v>10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COMPETENCIA]]="",0,MONTH(TbRegistroSaídas[[#This Row],[DATA DA COMPETENCIA]]))</f>
        <v>8</v>
      </c>
      <c r="L126">
        <f>IF(TbRegistroSaídas[[#This Row],[DATA DA COMPETENCIA]]="",0,YEAR(TbRegistroSaídas[[#This Row],[DATA DA COMPETENCIA]]))</f>
        <v>2018</v>
      </c>
      <c r="M126">
        <f>IF(TbRegistroSaídas[[#This Row],[DATA DO CAIXA PREVISTA]]="",0,MONTH(TbRegistroSaídas[[#This Row],[DATA DO CAIXA PREVISTA]]))</f>
        <v>8</v>
      </c>
      <c r="N126">
        <f>IF(TbRegistroSaídas[[#This Row],[DATA DO CAIXA PREVISTA]]="",0,YEAR(TbRegistroSaídas[[#This Row],[DATA DO CAIXA PREVISTA]]))</f>
        <v>2018</v>
      </c>
      <c r="O12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60.039692208229098</v>
      </c>
    </row>
    <row r="127" spans="2:15" x14ac:dyDescent="0.25">
      <c r="B127" s="14">
        <v>43375.491443107414</v>
      </c>
      <c r="C127" s="14">
        <v>43319</v>
      </c>
      <c r="D127" s="14">
        <v>43375.491443107414</v>
      </c>
      <c r="E127" t="s">
        <v>47</v>
      </c>
      <c r="F127" t="s">
        <v>46</v>
      </c>
      <c r="G127" t="s">
        <v>407</v>
      </c>
      <c r="H127" s="17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COMPETENCIA]]="",0,MONTH(TbRegistroSaídas[[#This Row],[DATA DA COMPETENCIA]]))</f>
        <v>8</v>
      </c>
      <c r="L127">
        <f>IF(TbRegistroSaídas[[#This Row],[DATA DA COMPETENCIA]]="",0,YEAR(TbRegistroSaídas[[#This Row],[DATA DA COMPETENCIA]]))</f>
        <v>2018</v>
      </c>
      <c r="M127">
        <f>IF(TbRegistroSaídas[[#This Row],[DATA DO CAIXA PREVISTA]]="",0,MONTH(TbRegistroSaídas[[#This Row],[DATA DO CAIXA PREVISTA]]))</f>
        <v>10</v>
      </c>
      <c r="N127">
        <f>IF(TbRegistroSaídas[[#This Row],[DATA DO CAIXA PREVISTA]]="",0,YEAR(TbRegistroSaídas[[#This Row],[DATA DO CAIXA PREVISTA]]))</f>
        <v>2018</v>
      </c>
      <c r="O12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8" spans="2:15" x14ac:dyDescent="0.25">
      <c r="B128" s="14">
        <v>43368.704862392784</v>
      </c>
      <c r="C128" s="14">
        <v>43322</v>
      </c>
      <c r="D128" s="14">
        <v>43368.704862392784</v>
      </c>
      <c r="E128" t="s">
        <v>47</v>
      </c>
      <c r="F128" t="s">
        <v>23</v>
      </c>
      <c r="G128" t="s">
        <v>408</v>
      </c>
      <c r="H128" s="17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COMPETENCIA]]="",0,MONTH(TbRegistroSaídas[[#This Row],[DATA DA COMPETENCIA]]))</f>
        <v>8</v>
      </c>
      <c r="L128">
        <f>IF(TbRegistroSaídas[[#This Row],[DATA DA COMPETENCIA]]="",0,YEAR(TbRegistroSaídas[[#This Row],[DATA DA COMPETENCIA]]))</f>
        <v>2018</v>
      </c>
      <c r="M128">
        <f>IF(TbRegistroSaídas[[#This Row],[DATA DO CAIXA PREVISTA]]="",0,MONTH(TbRegistroSaídas[[#This Row],[DATA DO CAIXA PREVISTA]]))</f>
        <v>9</v>
      </c>
      <c r="N128">
        <f>IF(TbRegistroSaídas[[#This Row],[DATA DO CAIXA PREVISTA]]="",0,YEAR(TbRegistroSaídas[[#This Row],[DATA DO CAIXA PREVISTA]]))</f>
        <v>2018</v>
      </c>
      <c r="O12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29" spans="2:15" x14ac:dyDescent="0.25">
      <c r="B129" s="14">
        <v>43366.872016051886</v>
      </c>
      <c r="C129" s="14">
        <v>43324</v>
      </c>
      <c r="D129" s="14">
        <v>43366.872016051886</v>
      </c>
      <c r="E129" t="s">
        <v>47</v>
      </c>
      <c r="F129" t="s">
        <v>46</v>
      </c>
      <c r="G129" t="s">
        <v>409</v>
      </c>
      <c r="H129" s="17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COMPETENCIA]]="",0,MONTH(TbRegistroSaídas[[#This Row],[DATA DA COMPETENCIA]]))</f>
        <v>8</v>
      </c>
      <c r="L129">
        <f>IF(TbRegistroSaídas[[#This Row],[DATA DA COMPETENCIA]]="",0,YEAR(TbRegistroSaídas[[#This Row],[DATA DA COMPETENCIA]]))</f>
        <v>2018</v>
      </c>
      <c r="M129">
        <f>IF(TbRegistroSaídas[[#This Row],[DATA DO CAIXA PREVISTA]]="",0,MONTH(TbRegistroSaídas[[#This Row],[DATA DO CAIXA PREVISTA]]))</f>
        <v>9</v>
      </c>
      <c r="N129">
        <f>IF(TbRegistroSaídas[[#This Row],[DATA DO CAIXA PREVISTA]]="",0,YEAR(TbRegistroSaídas[[#This Row],[DATA DO CAIXA PREVISTA]]))</f>
        <v>2018</v>
      </c>
      <c r="O12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0" spans="2:15" x14ac:dyDescent="0.25">
      <c r="B130" s="14">
        <v>43356.956112414089</v>
      </c>
      <c r="C130" s="14">
        <v>43327</v>
      </c>
      <c r="D130" s="14">
        <v>43356.956112414089</v>
      </c>
      <c r="E130" t="s">
        <v>47</v>
      </c>
      <c r="F130" t="s">
        <v>37</v>
      </c>
      <c r="G130" t="s">
        <v>410</v>
      </c>
      <c r="H130" s="17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COMPETENCIA]]="",0,MONTH(TbRegistroSaídas[[#This Row],[DATA DA COMPETENCIA]]))</f>
        <v>8</v>
      </c>
      <c r="L130">
        <f>IF(TbRegistroSaídas[[#This Row],[DATA DA COMPETENCIA]]="",0,YEAR(TbRegistroSaídas[[#This Row],[DATA DA COMPETENCIA]]))</f>
        <v>2018</v>
      </c>
      <c r="M130">
        <f>IF(TbRegistroSaídas[[#This Row],[DATA DO CAIXA PREVISTA]]="",0,MONTH(TbRegistroSaídas[[#This Row],[DATA DO CAIXA PREVISTA]]))</f>
        <v>9</v>
      </c>
      <c r="N130">
        <f>IF(TbRegistroSaídas[[#This Row],[DATA DO CAIXA PREVISTA]]="",0,YEAR(TbRegistroSaídas[[#This Row],[DATA DO CAIXA PREVISTA]]))</f>
        <v>2018</v>
      </c>
      <c r="O13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1" spans="2:15" x14ac:dyDescent="0.25">
      <c r="B131" s="14">
        <v>43433.012235706425</v>
      </c>
      <c r="C131" s="14">
        <v>43334</v>
      </c>
      <c r="D131" s="14">
        <v>43359.016635810432</v>
      </c>
      <c r="E131" t="s">
        <v>47</v>
      </c>
      <c r="F131" t="s">
        <v>52</v>
      </c>
      <c r="G131" t="s">
        <v>411</v>
      </c>
      <c r="H131" s="17">
        <v>1054</v>
      </c>
      <c r="I131">
        <f>IF(TbRegistroSaídas[[#This Row],[DATA DO CAIXA REALIZADO]]="",0,MONTH(TbRegistroSaídas[[#This Row],[DATA DO CAIXA REALIZADO]]))</f>
        <v>11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COMPETENCIA]]="",0,MONTH(TbRegistroSaídas[[#This Row],[DATA DA COMPETENCIA]]))</f>
        <v>8</v>
      </c>
      <c r="L131">
        <f>IF(TbRegistroSaídas[[#This Row],[DATA DA COMPETENCIA]]="",0,YEAR(TbRegistroSaídas[[#This Row],[DATA DA COMPETENCIA]]))</f>
        <v>2018</v>
      </c>
      <c r="M131">
        <f>IF(TbRegistroSaídas[[#This Row],[DATA DO CAIXA PREVISTA]]="",0,MONTH(TbRegistroSaídas[[#This Row],[DATA DO CAIXA PREVISTA]]))</f>
        <v>9</v>
      </c>
      <c r="N131">
        <f>IF(TbRegistroSaídas[[#This Row],[DATA DO CAIXA PREVISTA]]="",0,YEAR(TbRegistroSaídas[[#This Row],[DATA DO CAIXA PREVISTA]]))</f>
        <v>2018</v>
      </c>
      <c r="O13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73.9955998959922</v>
      </c>
    </row>
    <row r="132" spans="2:15" x14ac:dyDescent="0.25">
      <c r="B132" s="14">
        <v>43352.077398814596</v>
      </c>
      <c r="C132" s="14">
        <v>43335</v>
      </c>
      <c r="D132" s="14">
        <v>43352.077398814596</v>
      </c>
      <c r="E132" t="s">
        <v>47</v>
      </c>
      <c r="F132" t="s">
        <v>46</v>
      </c>
      <c r="G132" t="s">
        <v>412</v>
      </c>
      <c r="H132" s="17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COMPETENCIA]]="",0,MONTH(TbRegistroSaídas[[#This Row],[DATA DA COMPETENCIA]]))</f>
        <v>8</v>
      </c>
      <c r="L132">
        <f>IF(TbRegistroSaídas[[#This Row],[DATA DA COMPETENCIA]]="",0,YEAR(TbRegistroSaídas[[#This Row],[DATA DA COMPETENCIA]]))</f>
        <v>2018</v>
      </c>
      <c r="M132">
        <f>IF(TbRegistroSaídas[[#This Row],[DATA DO CAIXA PREVISTA]]="",0,MONTH(TbRegistroSaídas[[#This Row],[DATA DO CAIXA PREVISTA]]))</f>
        <v>9</v>
      </c>
      <c r="N132">
        <f>IF(TbRegistroSaídas[[#This Row],[DATA DO CAIXA PREVISTA]]="",0,YEAR(TbRegistroSaídas[[#This Row],[DATA DO CAIXA PREVISTA]]))</f>
        <v>2018</v>
      </c>
      <c r="O13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3" spans="2:15" x14ac:dyDescent="0.25">
      <c r="B133" s="14">
        <v>43363.149663367352</v>
      </c>
      <c r="C133" s="14">
        <v>43340</v>
      </c>
      <c r="D133" s="14">
        <v>43363.149663367352</v>
      </c>
      <c r="E133" t="s">
        <v>47</v>
      </c>
      <c r="F133" t="s">
        <v>23</v>
      </c>
      <c r="G133" t="s">
        <v>413</v>
      </c>
      <c r="H133" s="17">
        <v>1238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COMPETENCIA]]="",0,MONTH(TbRegistroSaídas[[#This Row],[DATA DA COMPETENCIA]]))</f>
        <v>8</v>
      </c>
      <c r="L133">
        <f>IF(TbRegistroSaídas[[#This Row],[DATA DA COMPETENCIA]]="",0,YEAR(TbRegistroSaídas[[#This Row],[DATA DA COMPETENCIA]]))</f>
        <v>2018</v>
      </c>
      <c r="M133">
        <f>IF(TbRegistroSaídas[[#This Row],[DATA DO CAIXA PREVISTA]]="",0,MONTH(TbRegistroSaídas[[#This Row],[DATA DO CAIXA PREVISTA]]))</f>
        <v>9</v>
      </c>
      <c r="N133">
        <f>IF(TbRegistroSaídas[[#This Row],[DATA DO CAIXA PREVISTA]]="",0,YEAR(TbRegistroSaídas[[#This Row],[DATA DO CAIXA PREVISTA]]))</f>
        <v>2018</v>
      </c>
      <c r="O13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4" spans="2:15" x14ac:dyDescent="0.25">
      <c r="B134" s="14">
        <v>43370.729955212279</v>
      </c>
      <c r="C134" s="14">
        <v>43346</v>
      </c>
      <c r="D134" s="14">
        <v>43370.729955212279</v>
      </c>
      <c r="E134" t="s">
        <v>47</v>
      </c>
      <c r="F134" t="s">
        <v>52</v>
      </c>
      <c r="G134" t="s">
        <v>414</v>
      </c>
      <c r="H134" s="17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COMPETENCIA]]="",0,MONTH(TbRegistroSaídas[[#This Row],[DATA DA COMPETENCIA]]))</f>
        <v>9</v>
      </c>
      <c r="L134">
        <f>IF(TbRegistroSaídas[[#This Row],[DATA DA COMPETENCIA]]="",0,YEAR(TbRegistroSaídas[[#This Row],[DATA DA COMPETENCIA]]))</f>
        <v>2018</v>
      </c>
      <c r="M134">
        <f>IF(TbRegistroSaídas[[#This Row],[DATA DO CAIXA PREVISTA]]="",0,MONTH(TbRegistroSaídas[[#This Row],[DATA DO CAIXA PREVISTA]]))</f>
        <v>9</v>
      </c>
      <c r="N134">
        <f>IF(TbRegistroSaídas[[#This Row],[DATA DO CAIXA PREVISTA]]="",0,YEAR(TbRegistroSaídas[[#This Row],[DATA DO CAIXA PREVISTA]]))</f>
        <v>2018</v>
      </c>
      <c r="O13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5" spans="2:15" x14ac:dyDescent="0.25">
      <c r="B135" s="14">
        <v>43438.840632706146</v>
      </c>
      <c r="C135" s="14">
        <v>43350</v>
      </c>
      <c r="D135" s="14">
        <v>43402.779511524925</v>
      </c>
      <c r="E135" t="s">
        <v>47</v>
      </c>
      <c r="F135" t="s">
        <v>46</v>
      </c>
      <c r="G135" t="s">
        <v>415</v>
      </c>
      <c r="H135" s="17">
        <v>2936</v>
      </c>
      <c r="I135">
        <f>IF(TbRegistroSaídas[[#This Row],[DATA DO CAIXA REALIZADO]]="",0,MONTH(TbRegistroSaídas[[#This Row],[DATA DO CAIXA REALIZADO]]))</f>
        <v>12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COMPETENCIA]]="",0,MONTH(TbRegistroSaídas[[#This Row],[DATA DA COMPETENCIA]]))</f>
        <v>9</v>
      </c>
      <c r="L135">
        <f>IF(TbRegistroSaídas[[#This Row],[DATA DA COMPETENCIA]]="",0,YEAR(TbRegistroSaídas[[#This Row],[DATA DA COMPETENCIA]]))</f>
        <v>2018</v>
      </c>
      <c r="M135">
        <f>IF(TbRegistroSaídas[[#This Row],[DATA DO CAIXA PREVISTA]]="",0,MONTH(TbRegistroSaídas[[#This Row],[DATA DO CAIXA PREVISTA]]))</f>
        <v>10</v>
      </c>
      <c r="N135">
        <f>IF(TbRegistroSaídas[[#This Row],[DATA DO CAIXA PREVISTA]]="",0,YEAR(TbRegistroSaídas[[#This Row],[DATA DO CAIXA PREVISTA]]))</f>
        <v>2018</v>
      </c>
      <c r="O13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36.061121181221097</v>
      </c>
    </row>
    <row r="136" spans="2:15" x14ac:dyDescent="0.25">
      <c r="B136" s="14">
        <v>43381.142100455778</v>
      </c>
      <c r="C136" s="14">
        <v>43351</v>
      </c>
      <c r="D136" s="14">
        <v>43381.142100455778</v>
      </c>
      <c r="E136" t="s">
        <v>47</v>
      </c>
      <c r="F136" t="s">
        <v>52</v>
      </c>
      <c r="G136" t="s">
        <v>416</v>
      </c>
      <c r="H136" s="17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COMPETENCIA]]="",0,MONTH(TbRegistroSaídas[[#This Row],[DATA DA COMPETENCIA]]))</f>
        <v>9</v>
      </c>
      <c r="L136">
        <f>IF(TbRegistroSaídas[[#This Row],[DATA DA COMPETENCIA]]="",0,YEAR(TbRegistroSaídas[[#This Row],[DATA DA COMPETENCIA]]))</f>
        <v>2018</v>
      </c>
      <c r="M136">
        <f>IF(TbRegistroSaídas[[#This Row],[DATA DO CAIXA PREVISTA]]="",0,MONTH(TbRegistroSaídas[[#This Row],[DATA DO CAIXA PREVISTA]]))</f>
        <v>10</v>
      </c>
      <c r="N136">
        <f>IF(TbRegistroSaídas[[#This Row],[DATA DO CAIXA PREVISTA]]="",0,YEAR(TbRegistroSaídas[[#This Row],[DATA DO CAIXA PREVISTA]]))</f>
        <v>2018</v>
      </c>
      <c r="O13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7" spans="2:15" x14ac:dyDescent="0.25">
      <c r="B137" s="14">
        <v>43355.021702138809</v>
      </c>
      <c r="C137" s="14">
        <v>43353</v>
      </c>
      <c r="D137" s="14">
        <v>43355.021702138809</v>
      </c>
      <c r="E137" t="s">
        <v>47</v>
      </c>
      <c r="F137" t="s">
        <v>38</v>
      </c>
      <c r="G137" t="s">
        <v>417</v>
      </c>
      <c r="H137" s="17">
        <v>159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COMPETENCIA]]="",0,MONTH(TbRegistroSaídas[[#This Row],[DATA DA COMPETENCIA]]))</f>
        <v>9</v>
      </c>
      <c r="L137">
        <f>IF(TbRegistroSaídas[[#This Row],[DATA DA COMPETENCIA]]="",0,YEAR(TbRegistroSaídas[[#This Row],[DATA DA COMPETENCIA]]))</f>
        <v>2018</v>
      </c>
      <c r="M137">
        <f>IF(TbRegistroSaídas[[#This Row],[DATA DO CAIXA PREVISTA]]="",0,MONTH(TbRegistroSaídas[[#This Row],[DATA DO CAIXA PREVISTA]]))</f>
        <v>9</v>
      </c>
      <c r="N137">
        <f>IF(TbRegistroSaídas[[#This Row],[DATA DO CAIXA PREVISTA]]="",0,YEAR(TbRegistroSaídas[[#This Row],[DATA DO CAIXA PREVISTA]]))</f>
        <v>2018</v>
      </c>
      <c r="O13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8" spans="2:15" x14ac:dyDescent="0.25">
      <c r="B138" s="14">
        <v>43382.641285204452</v>
      </c>
      <c r="C138" s="14">
        <v>43358</v>
      </c>
      <c r="D138" s="14">
        <v>43382.641285204452</v>
      </c>
      <c r="E138" t="s">
        <v>47</v>
      </c>
      <c r="F138" t="s">
        <v>52</v>
      </c>
      <c r="G138" t="s">
        <v>418</v>
      </c>
      <c r="H138" s="17">
        <v>2933</v>
      </c>
      <c r="I138">
        <f>IF(TbRegistroSaídas[[#This Row],[DATA DO CAIXA REALIZADO]]="",0,MONTH(TbRegistroSaídas[[#This Row],[DATA DO CAIXA REALIZADO]]))</f>
        <v>10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COMPETENCIA]]="",0,MONTH(TbRegistroSaídas[[#This Row],[DATA DA COMPETENCIA]]))</f>
        <v>9</v>
      </c>
      <c r="L138">
        <f>IF(TbRegistroSaídas[[#This Row],[DATA DA COMPETENCIA]]="",0,YEAR(TbRegistroSaídas[[#This Row],[DATA DA COMPETENCIA]]))</f>
        <v>2018</v>
      </c>
      <c r="M138">
        <f>IF(TbRegistroSaídas[[#This Row],[DATA DO CAIXA PREVISTA]]="",0,MONTH(TbRegistroSaídas[[#This Row],[DATA DO CAIXA PREVISTA]]))</f>
        <v>10</v>
      </c>
      <c r="N138">
        <f>IF(TbRegistroSaídas[[#This Row],[DATA DO CAIXA PREVISTA]]="",0,YEAR(TbRegistroSaídas[[#This Row],[DATA DO CAIXA PREVISTA]]))</f>
        <v>2018</v>
      </c>
      <c r="O13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39" spans="2:15" x14ac:dyDescent="0.25">
      <c r="B139" s="14">
        <v>43405.129639238316</v>
      </c>
      <c r="C139" s="14">
        <v>43358</v>
      </c>
      <c r="D139" s="14">
        <v>43405.129639238316</v>
      </c>
      <c r="E139" t="s">
        <v>47</v>
      </c>
      <c r="F139" t="s">
        <v>52</v>
      </c>
      <c r="G139" t="s">
        <v>419</v>
      </c>
      <c r="H139" s="17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COMPETENCIA]]="",0,MONTH(TbRegistroSaídas[[#This Row],[DATA DA COMPETENCIA]]))</f>
        <v>9</v>
      </c>
      <c r="L139">
        <f>IF(TbRegistroSaídas[[#This Row],[DATA DA COMPETENCIA]]="",0,YEAR(TbRegistroSaídas[[#This Row],[DATA DA COMPETENCIA]]))</f>
        <v>2018</v>
      </c>
      <c r="M139">
        <f>IF(TbRegistroSaídas[[#This Row],[DATA DO CAIXA PREVISTA]]="",0,MONTH(TbRegistroSaídas[[#This Row],[DATA DO CAIXA PREVISTA]]))</f>
        <v>11</v>
      </c>
      <c r="N139">
        <f>IF(TbRegistroSaídas[[#This Row],[DATA DO CAIXA PREVISTA]]="",0,YEAR(TbRegistroSaídas[[#This Row],[DATA DO CAIXA PREVISTA]]))</f>
        <v>2018</v>
      </c>
      <c r="O13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0" spans="2:15" x14ac:dyDescent="0.25">
      <c r="B140" s="14">
        <v>43377.659993656314</v>
      </c>
      <c r="C140" s="14">
        <v>43362</v>
      </c>
      <c r="D140" s="14">
        <v>43377.659993656314</v>
      </c>
      <c r="E140" t="s">
        <v>47</v>
      </c>
      <c r="F140" t="s">
        <v>23</v>
      </c>
      <c r="G140" t="s">
        <v>420</v>
      </c>
      <c r="H140" s="17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COMPETENCIA]]="",0,MONTH(TbRegistroSaídas[[#This Row],[DATA DA COMPETENCIA]]))</f>
        <v>9</v>
      </c>
      <c r="L140">
        <f>IF(TbRegistroSaídas[[#This Row],[DATA DA COMPETENCIA]]="",0,YEAR(TbRegistroSaídas[[#This Row],[DATA DA COMPETENCIA]]))</f>
        <v>2018</v>
      </c>
      <c r="M140">
        <f>IF(TbRegistroSaídas[[#This Row],[DATA DO CAIXA PREVISTA]]="",0,MONTH(TbRegistroSaídas[[#This Row],[DATA DO CAIXA PREVISTA]]))</f>
        <v>10</v>
      </c>
      <c r="N140">
        <f>IF(TbRegistroSaídas[[#This Row],[DATA DO CAIXA PREVISTA]]="",0,YEAR(TbRegistroSaídas[[#This Row],[DATA DO CAIXA PREVISTA]]))</f>
        <v>2018</v>
      </c>
      <c r="O14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1" spans="2:15" x14ac:dyDescent="0.25">
      <c r="B141" s="14">
        <v>43375.186046774324</v>
      </c>
      <c r="C141" s="14">
        <v>43367</v>
      </c>
      <c r="D141" s="14">
        <v>43375.186046774324</v>
      </c>
      <c r="E141" t="s">
        <v>47</v>
      </c>
      <c r="F141" t="s">
        <v>46</v>
      </c>
      <c r="G141" t="s">
        <v>421</v>
      </c>
      <c r="H141" s="17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COMPETENCIA]]="",0,MONTH(TbRegistroSaídas[[#This Row],[DATA DA COMPETENCIA]]))</f>
        <v>9</v>
      </c>
      <c r="L141">
        <f>IF(TbRegistroSaídas[[#This Row],[DATA DA COMPETENCIA]]="",0,YEAR(TbRegistroSaídas[[#This Row],[DATA DA COMPETENCIA]]))</f>
        <v>2018</v>
      </c>
      <c r="M141">
        <f>IF(TbRegistroSaídas[[#This Row],[DATA DO CAIXA PREVISTA]]="",0,MONTH(TbRegistroSaídas[[#This Row],[DATA DO CAIXA PREVISTA]]))</f>
        <v>10</v>
      </c>
      <c r="N141">
        <f>IF(TbRegistroSaídas[[#This Row],[DATA DO CAIXA PREVISTA]]="",0,YEAR(TbRegistroSaídas[[#This Row],[DATA DO CAIXA PREVISTA]]))</f>
        <v>2018</v>
      </c>
      <c r="O14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2" spans="2:15" x14ac:dyDescent="0.25">
      <c r="B142" s="14">
        <v>43422.470077078746</v>
      </c>
      <c r="C142" s="14">
        <v>43371</v>
      </c>
      <c r="D142" s="14">
        <v>43422.470077078746</v>
      </c>
      <c r="E142" t="s">
        <v>47</v>
      </c>
      <c r="F142" t="s">
        <v>37</v>
      </c>
      <c r="G142" t="s">
        <v>422</v>
      </c>
      <c r="H142" s="17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COMPETENCIA]]="",0,MONTH(TbRegistroSaídas[[#This Row],[DATA DA COMPETENCIA]]))</f>
        <v>9</v>
      </c>
      <c r="L142">
        <f>IF(TbRegistroSaídas[[#This Row],[DATA DA COMPETENCIA]]="",0,YEAR(TbRegistroSaídas[[#This Row],[DATA DA COMPETENCIA]]))</f>
        <v>2018</v>
      </c>
      <c r="M142">
        <f>IF(TbRegistroSaídas[[#This Row],[DATA DO CAIXA PREVISTA]]="",0,MONTH(TbRegistroSaídas[[#This Row],[DATA DO CAIXA PREVISTA]]))</f>
        <v>11</v>
      </c>
      <c r="N142">
        <f>IF(TbRegistroSaídas[[#This Row],[DATA DO CAIXA PREVISTA]]="",0,YEAR(TbRegistroSaídas[[#This Row],[DATA DO CAIXA PREVISTA]]))</f>
        <v>2018</v>
      </c>
      <c r="O14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3" spans="2:15" x14ac:dyDescent="0.25">
      <c r="B143" s="14">
        <v>43417.82681558784</v>
      </c>
      <c r="C143" s="14">
        <v>43374</v>
      </c>
      <c r="D143" s="14">
        <v>43417.82681558784</v>
      </c>
      <c r="E143" t="s">
        <v>47</v>
      </c>
      <c r="F143" t="s">
        <v>37</v>
      </c>
      <c r="G143" t="s">
        <v>423</v>
      </c>
      <c r="H143" s="17">
        <v>819</v>
      </c>
      <c r="I143">
        <f>IF(TbRegistroSaídas[[#This Row],[DATA DO CAIXA REALIZADO]]="",0,MONTH(TbRegistroSaídas[[#This Row],[DATA DO CAIXA REALIZADO]]))</f>
        <v>11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COMPETENCIA]]="",0,MONTH(TbRegistroSaídas[[#This Row],[DATA DA COMPETENCIA]]))</f>
        <v>10</v>
      </c>
      <c r="L143">
        <f>IF(TbRegistroSaídas[[#This Row],[DATA DA COMPETENCIA]]="",0,YEAR(TbRegistroSaídas[[#This Row],[DATA DA COMPETENCIA]]))</f>
        <v>2018</v>
      </c>
      <c r="M143">
        <f>IF(TbRegistroSaídas[[#This Row],[DATA DO CAIXA PREVISTA]]="",0,MONTH(TbRegistroSaídas[[#This Row],[DATA DO CAIXA PREVISTA]]))</f>
        <v>11</v>
      </c>
      <c r="N143">
        <f>IF(TbRegistroSaídas[[#This Row],[DATA DO CAIXA PREVISTA]]="",0,YEAR(TbRegistroSaídas[[#This Row],[DATA DO CAIXA PREVISTA]]))</f>
        <v>2018</v>
      </c>
      <c r="O14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4" spans="2:15" x14ac:dyDescent="0.25">
      <c r="B144" s="14">
        <v>43433.158712252123</v>
      </c>
      <c r="C144" s="14">
        <v>43377</v>
      </c>
      <c r="D144" s="14">
        <v>43433.158712252123</v>
      </c>
      <c r="E144" t="s">
        <v>47</v>
      </c>
      <c r="F144" t="s">
        <v>23</v>
      </c>
      <c r="G144" t="s">
        <v>424</v>
      </c>
      <c r="H144" s="17">
        <v>1260</v>
      </c>
      <c r="I144">
        <f>IF(TbRegistroSaídas[[#This Row],[DATA DO CAIXA REALIZADO]]="",0,MONTH(TbRegistroSaídas[[#This Row],[DATA DO CAIXA REALIZADO]]))</f>
        <v>11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COMPETENCIA]]="",0,MONTH(TbRegistroSaídas[[#This Row],[DATA DA COMPETENCIA]]))</f>
        <v>10</v>
      </c>
      <c r="L144">
        <f>IF(TbRegistroSaídas[[#This Row],[DATA DA COMPETENCIA]]="",0,YEAR(TbRegistroSaídas[[#This Row],[DATA DA COMPETENCIA]]))</f>
        <v>2018</v>
      </c>
      <c r="M144">
        <f>IF(TbRegistroSaídas[[#This Row],[DATA DO CAIXA PREVISTA]]="",0,MONTH(TbRegistroSaídas[[#This Row],[DATA DO CAIXA PREVISTA]]))</f>
        <v>11</v>
      </c>
      <c r="N144">
        <f>IF(TbRegistroSaídas[[#This Row],[DATA DO CAIXA PREVISTA]]="",0,YEAR(TbRegistroSaídas[[#This Row],[DATA DO CAIXA PREVISTA]]))</f>
        <v>2018</v>
      </c>
      <c r="O14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5" spans="2:15" x14ac:dyDescent="0.25">
      <c r="B145" s="14">
        <v>43389.890057350683</v>
      </c>
      <c r="C145" s="14">
        <v>43383</v>
      </c>
      <c r="D145" s="14">
        <v>43389.890057350683</v>
      </c>
      <c r="E145" t="s">
        <v>47</v>
      </c>
      <c r="F145" t="s">
        <v>46</v>
      </c>
      <c r="G145" t="s">
        <v>425</v>
      </c>
      <c r="H145" s="17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COMPETENCIA]]="",0,MONTH(TbRegistroSaídas[[#This Row],[DATA DA COMPETENCIA]]))</f>
        <v>10</v>
      </c>
      <c r="L145">
        <f>IF(TbRegistroSaídas[[#This Row],[DATA DA COMPETENCIA]]="",0,YEAR(TbRegistroSaídas[[#This Row],[DATA DA COMPETENCIA]]))</f>
        <v>2018</v>
      </c>
      <c r="M145">
        <f>IF(TbRegistroSaídas[[#This Row],[DATA DO CAIXA PREVISTA]]="",0,MONTH(TbRegistroSaídas[[#This Row],[DATA DO CAIXA PREVISTA]]))</f>
        <v>10</v>
      </c>
      <c r="N145">
        <f>IF(TbRegistroSaídas[[#This Row],[DATA DO CAIXA PREVISTA]]="",0,YEAR(TbRegistroSaídas[[#This Row],[DATA DO CAIXA PREVISTA]]))</f>
        <v>2018</v>
      </c>
      <c r="O14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6" spans="2:15" x14ac:dyDescent="0.25">
      <c r="B146" s="14">
        <v>43404.046693214259</v>
      </c>
      <c r="C146" s="14">
        <v>43385</v>
      </c>
      <c r="D146" s="14">
        <v>43404.046693214259</v>
      </c>
      <c r="E146" t="s">
        <v>47</v>
      </c>
      <c r="F146" t="s">
        <v>46</v>
      </c>
      <c r="G146" t="s">
        <v>426</v>
      </c>
      <c r="H146" s="17">
        <v>4287</v>
      </c>
      <c r="I146">
        <f>IF(TbRegistroSaídas[[#This Row],[DATA DO CAIXA REALIZADO]]="",0,MONTH(TbRegistroSaídas[[#This Row],[DATA DO CAIXA REALIZADO]]))</f>
        <v>10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COMPETENCIA]]="",0,MONTH(TbRegistroSaídas[[#This Row],[DATA DA COMPETENCIA]]))</f>
        <v>10</v>
      </c>
      <c r="L146">
        <f>IF(TbRegistroSaídas[[#This Row],[DATA DA COMPETENCIA]]="",0,YEAR(TbRegistroSaídas[[#This Row],[DATA DA COMPETENCIA]]))</f>
        <v>2018</v>
      </c>
      <c r="M146">
        <f>IF(TbRegistroSaídas[[#This Row],[DATA DO CAIXA PREVISTA]]="",0,MONTH(TbRegistroSaídas[[#This Row],[DATA DO CAIXA PREVISTA]]))</f>
        <v>10</v>
      </c>
      <c r="N146">
        <f>IF(TbRegistroSaídas[[#This Row],[DATA DO CAIXA PREVISTA]]="",0,YEAR(TbRegistroSaídas[[#This Row],[DATA DO CAIXA PREVISTA]]))</f>
        <v>2018</v>
      </c>
      <c r="O14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7" spans="2:15" x14ac:dyDescent="0.25">
      <c r="B147" s="14">
        <v>43507.755970956488</v>
      </c>
      <c r="C147" s="14">
        <v>43387</v>
      </c>
      <c r="D147" s="14">
        <v>43428.148562697053</v>
      </c>
      <c r="E147" t="s">
        <v>47</v>
      </c>
      <c r="F147" t="s">
        <v>38</v>
      </c>
      <c r="G147" t="s">
        <v>427</v>
      </c>
      <c r="H147" s="17">
        <v>2015</v>
      </c>
      <c r="I147">
        <f>IF(TbRegistroSaídas[[#This Row],[DATA DO CAIXA REALIZADO]]="",0,MONTH(TbRegistroSaídas[[#This Row],[DATA DO CAIXA REALIZADO]]))</f>
        <v>2</v>
      </c>
      <c r="J147">
        <f>IF(TbRegistroSaídas[[#This Row],[DATA DO CAIXA REALIZADO]]="",0,YEAR(TbRegistroSaídas[[#This Row],[DATA DO CAIXA REALIZADO]]))</f>
        <v>2019</v>
      </c>
      <c r="K147">
        <f>IF(TbRegistroSaídas[[#This Row],[DATA DA COMPETENCIA]]="",0,MONTH(TbRegistroSaídas[[#This Row],[DATA DA COMPETENCIA]]))</f>
        <v>10</v>
      </c>
      <c r="L147">
        <f>IF(TbRegistroSaídas[[#This Row],[DATA DA COMPETENCIA]]="",0,YEAR(TbRegistroSaídas[[#This Row],[DATA DA COMPETENCIA]]))</f>
        <v>2018</v>
      </c>
      <c r="M147">
        <f>IF(TbRegistroSaídas[[#This Row],[DATA DO CAIXA PREVISTA]]="",0,MONTH(TbRegistroSaídas[[#This Row],[DATA DO CAIXA PREVISTA]]))</f>
        <v>11</v>
      </c>
      <c r="N147">
        <f>IF(TbRegistroSaídas[[#This Row],[DATA DO CAIXA PREVISTA]]="",0,YEAR(TbRegistroSaídas[[#This Row],[DATA DO CAIXA PREVISTA]]))</f>
        <v>2018</v>
      </c>
      <c r="O14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79.607408259435033</v>
      </c>
    </row>
    <row r="148" spans="2:15" x14ac:dyDescent="0.25">
      <c r="B148" s="14">
        <v>43449.211879770926</v>
      </c>
      <c r="C148" s="14">
        <v>43393</v>
      </c>
      <c r="D148" s="14">
        <v>43449.211879770926</v>
      </c>
      <c r="E148" t="s">
        <v>47</v>
      </c>
      <c r="F148" t="s">
        <v>38</v>
      </c>
      <c r="G148" t="s">
        <v>428</v>
      </c>
      <c r="H148" s="17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COMPETENCIA]]="",0,MONTH(TbRegistroSaídas[[#This Row],[DATA DA COMPETENCIA]]))</f>
        <v>10</v>
      </c>
      <c r="L148">
        <f>IF(TbRegistroSaídas[[#This Row],[DATA DA COMPETENCIA]]="",0,YEAR(TbRegistroSaídas[[#This Row],[DATA DA COMPETENCIA]]))</f>
        <v>2018</v>
      </c>
      <c r="M148">
        <f>IF(TbRegistroSaídas[[#This Row],[DATA DO CAIXA PREVISTA]]="",0,MONTH(TbRegistroSaídas[[#This Row],[DATA DO CAIXA PREVISTA]]))</f>
        <v>12</v>
      </c>
      <c r="N148">
        <f>IF(TbRegistroSaídas[[#This Row],[DATA DO CAIXA PREVISTA]]="",0,YEAR(TbRegistroSaídas[[#This Row],[DATA DO CAIXA PREVISTA]]))</f>
        <v>2018</v>
      </c>
      <c r="O14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49" spans="2:15" x14ac:dyDescent="0.25">
      <c r="B149" s="14">
        <v>43404.811332468627</v>
      </c>
      <c r="C149" s="14">
        <v>43394</v>
      </c>
      <c r="D149" s="14">
        <v>43404.811332468627</v>
      </c>
      <c r="E149" t="s">
        <v>47</v>
      </c>
      <c r="F149" t="s">
        <v>52</v>
      </c>
      <c r="G149" t="s">
        <v>429</v>
      </c>
      <c r="H149" s="17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COMPETENCIA]]="",0,MONTH(TbRegistroSaídas[[#This Row],[DATA DA COMPETENCIA]]))</f>
        <v>10</v>
      </c>
      <c r="L149">
        <f>IF(TbRegistroSaídas[[#This Row],[DATA DA COMPETENCIA]]="",0,YEAR(TbRegistroSaídas[[#This Row],[DATA DA COMPETENCIA]]))</f>
        <v>2018</v>
      </c>
      <c r="M149">
        <f>IF(TbRegistroSaídas[[#This Row],[DATA DO CAIXA PREVISTA]]="",0,MONTH(TbRegistroSaídas[[#This Row],[DATA DO CAIXA PREVISTA]]))</f>
        <v>10</v>
      </c>
      <c r="N149">
        <f>IF(TbRegistroSaídas[[#This Row],[DATA DO CAIXA PREVISTA]]="",0,YEAR(TbRegistroSaídas[[#This Row],[DATA DO CAIXA PREVISTA]]))</f>
        <v>2018</v>
      </c>
      <c r="O14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0" spans="2:15" x14ac:dyDescent="0.25">
      <c r="B150" s="14">
        <v>43456.031618147535</v>
      </c>
      <c r="C150" s="14">
        <v>43398</v>
      </c>
      <c r="D150" s="14">
        <v>43449.013472196442</v>
      </c>
      <c r="E150" t="s">
        <v>47</v>
      </c>
      <c r="F150" t="s">
        <v>52</v>
      </c>
      <c r="G150" t="s">
        <v>430</v>
      </c>
      <c r="H150" s="17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COMPETENCIA]]="",0,MONTH(TbRegistroSaídas[[#This Row],[DATA DA COMPETENCIA]]))</f>
        <v>10</v>
      </c>
      <c r="L150">
        <f>IF(TbRegistroSaídas[[#This Row],[DATA DA COMPETENCIA]]="",0,YEAR(TbRegistroSaídas[[#This Row],[DATA DA COMPETENCIA]]))</f>
        <v>2018</v>
      </c>
      <c r="M150">
        <f>IF(TbRegistroSaídas[[#This Row],[DATA DO CAIXA PREVISTA]]="",0,MONTH(TbRegistroSaídas[[#This Row],[DATA DO CAIXA PREVISTA]]))</f>
        <v>12</v>
      </c>
      <c r="N150">
        <f>IF(TbRegistroSaídas[[#This Row],[DATA DO CAIXA PREVISTA]]="",0,YEAR(TbRegistroSaídas[[#This Row],[DATA DO CAIXA PREVISTA]]))</f>
        <v>2018</v>
      </c>
      <c r="O15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7.0181459510931745</v>
      </c>
    </row>
    <row r="151" spans="2:15" x14ac:dyDescent="0.25">
      <c r="B151" s="14">
        <v>43424.062053727328</v>
      </c>
      <c r="C151" s="14">
        <v>43400</v>
      </c>
      <c r="D151" s="14">
        <v>43424.062053727328</v>
      </c>
      <c r="E151" t="s">
        <v>47</v>
      </c>
      <c r="F151" t="s">
        <v>38</v>
      </c>
      <c r="G151" t="s">
        <v>431</v>
      </c>
      <c r="H151" s="17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COMPETENCIA]]="",0,MONTH(TbRegistroSaídas[[#This Row],[DATA DA COMPETENCIA]]))</f>
        <v>10</v>
      </c>
      <c r="L151">
        <f>IF(TbRegistroSaídas[[#This Row],[DATA DA COMPETENCIA]]="",0,YEAR(TbRegistroSaídas[[#This Row],[DATA DA COMPETENCIA]]))</f>
        <v>2018</v>
      </c>
      <c r="M151">
        <f>IF(TbRegistroSaídas[[#This Row],[DATA DO CAIXA PREVISTA]]="",0,MONTH(TbRegistroSaídas[[#This Row],[DATA DO CAIXA PREVISTA]]))</f>
        <v>11</v>
      </c>
      <c r="N151">
        <f>IF(TbRegistroSaídas[[#This Row],[DATA DO CAIXA PREVISTA]]="",0,YEAR(TbRegistroSaídas[[#This Row],[DATA DO CAIXA PREVISTA]]))</f>
        <v>2018</v>
      </c>
      <c r="O15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2" spans="2:15" x14ac:dyDescent="0.25">
      <c r="B152" s="14">
        <v>43420.587272347206</v>
      </c>
      <c r="C152" s="14">
        <v>43403</v>
      </c>
      <c r="D152" s="14">
        <v>43420.587272347206</v>
      </c>
      <c r="E152" t="s">
        <v>47</v>
      </c>
      <c r="F152" t="s">
        <v>46</v>
      </c>
      <c r="G152" t="s">
        <v>432</v>
      </c>
      <c r="H152" s="17">
        <v>2864</v>
      </c>
      <c r="I152">
        <f>IF(TbRegistroSaídas[[#This Row],[DATA DO CAIXA REALIZADO]]="",0,MONTH(TbRegistroSaídas[[#This Row],[DATA DO CAIXA REALIZADO]]))</f>
        <v>11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COMPETENCIA]]="",0,MONTH(TbRegistroSaídas[[#This Row],[DATA DA COMPETENCIA]]))</f>
        <v>10</v>
      </c>
      <c r="L152">
        <f>IF(TbRegistroSaídas[[#This Row],[DATA DA COMPETENCIA]]="",0,YEAR(TbRegistroSaídas[[#This Row],[DATA DA COMPETENCIA]]))</f>
        <v>2018</v>
      </c>
      <c r="M152">
        <f>IF(TbRegistroSaídas[[#This Row],[DATA DO CAIXA PREVISTA]]="",0,MONTH(TbRegistroSaídas[[#This Row],[DATA DO CAIXA PREVISTA]]))</f>
        <v>11</v>
      </c>
      <c r="N152">
        <f>IF(TbRegistroSaídas[[#This Row],[DATA DO CAIXA PREVISTA]]="",0,YEAR(TbRegistroSaídas[[#This Row],[DATA DO CAIXA PREVISTA]]))</f>
        <v>2018</v>
      </c>
      <c r="O15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3" spans="2:15" x14ac:dyDescent="0.25">
      <c r="B153" s="14">
        <v>43461.891878681301</v>
      </c>
      <c r="C153" s="14">
        <v>43405</v>
      </c>
      <c r="D153" s="14">
        <v>43461.891878681301</v>
      </c>
      <c r="E153" t="s">
        <v>47</v>
      </c>
      <c r="F153" t="s">
        <v>52</v>
      </c>
      <c r="G153" t="s">
        <v>433</v>
      </c>
      <c r="H153" s="17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COMPETENCIA]]="",0,MONTH(TbRegistroSaídas[[#This Row],[DATA DA COMPETENCIA]]))</f>
        <v>11</v>
      </c>
      <c r="L153">
        <f>IF(TbRegistroSaídas[[#This Row],[DATA DA COMPETENCIA]]="",0,YEAR(TbRegistroSaídas[[#This Row],[DATA DA COMPETENCIA]]))</f>
        <v>2018</v>
      </c>
      <c r="M153">
        <f>IF(TbRegistroSaídas[[#This Row],[DATA DO CAIXA PREVISTA]]="",0,MONTH(TbRegistroSaídas[[#This Row],[DATA DO CAIXA PREVISTA]]))</f>
        <v>12</v>
      </c>
      <c r="N153">
        <f>IF(TbRegistroSaídas[[#This Row],[DATA DO CAIXA PREVISTA]]="",0,YEAR(TbRegistroSaídas[[#This Row],[DATA DO CAIXA PREVISTA]]))</f>
        <v>2018</v>
      </c>
      <c r="O15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4" spans="2:15" x14ac:dyDescent="0.25">
      <c r="B154" s="14">
        <v>43491.131651867006</v>
      </c>
      <c r="C154" s="14">
        <v>43407</v>
      </c>
      <c r="D154" s="14">
        <v>43466.552162254069</v>
      </c>
      <c r="E154" t="s">
        <v>47</v>
      </c>
      <c r="F154" t="s">
        <v>46</v>
      </c>
      <c r="G154" t="s">
        <v>351</v>
      </c>
      <c r="H154" s="17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COMPETENCIA]]="",0,MONTH(TbRegistroSaídas[[#This Row],[DATA DA COMPETENCIA]]))</f>
        <v>11</v>
      </c>
      <c r="L154">
        <f>IF(TbRegistroSaídas[[#This Row],[DATA DA COMPETENCIA]]="",0,YEAR(TbRegistroSaídas[[#This Row],[DATA DA COMPETENCIA]]))</f>
        <v>2018</v>
      </c>
      <c r="M154">
        <f>IF(TbRegistroSaídas[[#This Row],[DATA DO CAIXA PREVISTA]]="",0,MONTH(TbRegistroSaídas[[#This Row],[DATA DO CAIXA PREVISTA]]))</f>
        <v>1</v>
      </c>
      <c r="N154">
        <f>IF(TbRegistroSaídas[[#This Row],[DATA DO CAIXA PREVISTA]]="",0,YEAR(TbRegistroSaídas[[#This Row],[DATA DO CAIXA PREVISTA]]))</f>
        <v>2019</v>
      </c>
      <c r="O15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24.579489612937323</v>
      </c>
    </row>
    <row r="155" spans="2:15" x14ac:dyDescent="0.25">
      <c r="B155" s="14">
        <v>43446.7351960983</v>
      </c>
      <c r="C155" s="14">
        <v>43412</v>
      </c>
      <c r="D155" s="14">
        <v>43446.7351960983</v>
      </c>
      <c r="E155" t="s">
        <v>47</v>
      </c>
      <c r="F155" t="s">
        <v>52</v>
      </c>
      <c r="G155" t="s">
        <v>434</v>
      </c>
      <c r="H155" s="17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COMPETENCIA]]="",0,MONTH(TbRegistroSaídas[[#This Row],[DATA DA COMPETENCIA]]))</f>
        <v>11</v>
      </c>
      <c r="L155">
        <f>IF(TbRegistroSaídas[[#This Row],[DATA DA COMPETENCIA]]="",0,YEAR(TbRegistroSaídas[[#This Row],[DATA DA COMPETENCIA]]))</f>
        <v>2018</v>
      </c>
      <c r="M155">
        <f>IF(TbRegistroSaídas[[#This Row],[DATA DO CAIXA PREVISTA]]="",0,MONTH(TbRegistroSaídas[[#This Row],[DATA DO CAIXA PREVISTA]]))</f>
        <v>12</v>
      </c>
      <c r="N155">
        <f>IF(TbRegistroSaídas[[#This Row],[DATA DO CAIXA PREVISTA]]="",0,YEAR(TbRegistroSaídas[[#This Row],[DATA DO CAIXA PREVISTA]]))</f>
        <v>2018</v>
      </c>
      <c r="O15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6" spans="2:15" x14ac:dyDescent="0.25">
      <c r="B156" s="14">
        <v>43474.679630611819</v>
      </c>
      <c r="C156" s="14">
        <v>43415</v>
      </c>
      <c r="D156" s="14">
        <v>43474.679630611819</v>
      </c>
      <c r="E156" t="s">
        <v>47</v>
      </c>
      <c r="F156" t="s">
        <v>37</v>
      </c>
      <c r="G156" t="s">
        <v>435</v>
      </c>
      <c r="H156" s="17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COMPETENCIA]]="",0,MONTH(TbRegistroSaídas[[#This Row],[DATA DA COMPETENCIA]]))</f>
        <v>11</v>
      </c>
      <c r="L156">
        <f>IF(TbRegistroSaídas[[#This Row],[DATA DA COMPETENCIA]]="",0,YEAR(TbRegistroSaídas[[#This Row],[DATA DA COMPETENCIA]]))</f>
        <v>2018</v>
      </c>
      <c r="M156">
        <f>IF(TbRegistroSaídas[[#This Row],[DATA DO CAIXA PREVISTA]]="",0,MONTH(TbRegistroSaídas[[#This Row],[DATA DO CAIXA PREVISTA]]))</f>
        <v>1</v>
      </c>
      <c r="N156">
        <f>IF(TbRegistroSaídas[[#This Row],[DATA DO CAIXA PREVISTA]]="",0,YEAR(TbRegistroSaídas[[#This Row],[DATA DO CAIXA PREVISTA]]))</f>
        <v>2019</v>
      </c>
      <c r="O15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7" spans="2:15" x14ac:dyDescent="0.25">
      <c r="B157" s="14">
        <v>43420.10775852378</v>
      </c>
      <c r="C157" s="14">
        <v>43417</v>
      </c>
      <c r="D157" s="14">
        <v>43420.10775852378</v>
      </c>
      <c r="E157" t="s">
        <v>47</v>
      </c>
      <c r="F157" t="s">
        <v>52</v>
      </c>
      <c r="G157" t="s">
        <v>436</v>
      </c>
      <c r="H157" s="17">
        <v>3853</v>
      </c>
      <c r="I157">
        <f>IF(TbRegistroSaídas[[#This Row],[DATA DO CAIXA REALIZADO]]="",0,MONTH(TbRegistroSaídas[[#This Row],[DATA DO CAIXA REALIZADO]]))</f>
        <v>11</v>
      </c>
      <c r="J157">
        <f>IF(TbRegistroSaídas[[#This Row],[DATA DO CAIXA REALIZADO]]="",0,YEAR(TbRegistroSaídas[[#This Row],[DATA DO CAIXA REALIZADO]]))</f>
        <v>2018</v>
      </c>
      <c r="K157">
        <f>IF(TbRegistroSaídas[[#This Row],[DATA DA COMPETENCIA]]="",0,MONTH(TbRegistroSaídas[[#This Row],[DATA DA COMPETENCIA]]))</f>
        <v>11</v>
      </c>
      <c r="L157">
        <f>IF(TbRegistroSaídas[[#This Row],[DATA DA COMPETENCIA]]="",0,YEAR(TbRegistroSaídas[[#This Row],[DATA DA COMPETENCIA]]))</f>
        <v>2018</v>
      </c>
      <c r="M157">
        <f>IF(TbRegistroSaídas[[#This Row],[DATA DO CAIXA PREVISTA]]="",0,MONTH(TbRegistroSaídas[[#This Row],[DATA DO CAIXA PREVISTA]]))</f>
        <v>11</v>
      </c>
      <c r="N157">
        <f>IF(TbRegistroSaídas[[#This Row],[DATA DO CAIXA PREVISTA]]="",0,YEAR(TbRegistroSaídas[[#This Row],[DATA DO CAIXA PREVISTA]]))</f>
        <v>2018</v>
      </c>
      <c r="O15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8" spans="2:15" x14ac:dyDescent="0.25">
      <c r="B158" s="14">
        <v>43451.20401159949</v>
      </c>
      <c r="C158" s="14">
        <v>43421</v>
      </c>
      <c r="D158" s="14">
        <v>43451.20401159949</v>
      </c>
      <c r="E158" t="s">
        <v>47</v>
      </c>
      <c r="F158" t="s">
        <v>37</v>
      </c>
      <c r="G158" t="s">
        <v>437</v>
      </c>
      <c r="H158" s="17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COMPETENCIA]]="",0,MONTH(TbRegistroSaídas[[#This Row],[DATA DA COMPETENCIA]]))</f>
        <v>11</v>
      </c>
      <c r="L158">
        <f>IF(TbRegistroSaídas[[#This Row],[DATA DA COMPETENCIA]]="",0,YEAR(TbRegistroSaídas[[#This Row],[DATA DA COMPETENCIA]]))</f>
        <v>2018</v>
      </c>
      <c r="M158">
        <f>IF(TbRegistroSaídas[[#This Row],[DATA DO CAIXA PREVISTA]]="",0,MONTH(TbRegistroSaídas[[#This Row],[DATA DO CAIXA PREVISTA]]))</f>
        <v>12</v>
      </c>
      <c r="N158">
        <f>IF(TbRegistroSaídas[[#This Row],[DATA DO CAIXA PREVISTA]]="",0,YEAR(TbRegistroSaídas[[#This Row],[DATA DO CAIXA PREVISTA]]))</f>
        <v>2018</v>
      </c>
      <c r="O15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59" spans="2:15" x14ac:dyDescent="0.25">
      <c r="B159" s="14">
        <v>43441.762171101494</v>
      </c>
      <c r="C159" s="14">
        <v>43421</v>
      </c>
      <c r="D159" s="14">
        <v>43441.762171101494</v>
      </c>
      <c r="E159" t="s">
        <v>47</v>
      </c>
      <c r="F159" t="s">
        <v>52</v>
      </c>
      <c r="G159" t="s">
        <v>438</v>
      </c>
      <c r="H159" s="17">
        <v>976</v>
      </c>
      <c r="I159">
        <f>IF(TbRegistroSaídas[[#This Row],[DATA DO CAIXA REALIZADO]]="",0,MONTH(TbRegistroSaídas[[#This Row],[DATA DO CAIXA REALIZADO]]))</f>
        <v>12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COMPETENCIA]]="",0,MONTH(TbRegistroSaídas[[#This Row],[DATA DA COMPETENCIA]]))</f>
        <v>11</v>
      </c>
      <c r="L159">
        <f>IF(TbRegistroSaídas[[#This Row],[DATA DA COMPETENCIA]]="",0,YEAR(TbRegistroSaídas[[#This Row],[DATA DA COMPETENCIA]]))</f>
        <v>2018</v>
      </c>
      <c r="M159">
        <f>IF(TbRegistroSaídas[[#This Row],[DATA DO CAIXA PREVISTA]]="",0,MONTH(TbRegistroSaídas[[#This Row],[DATA DO CAIXA PREVISTA]]))</f>
        <v>12</v>
      </c>
      <c r="N159">
        <f>IF(TbRegistroSaídas[[#This Row],[DATA DO CAIXA PREVISTA]]="",0,YEAR(TbRegistroSaídas[[#This Row],[DATA DO CAIXA PREVISTA]]))</f>
        <v>2018</v>
      </c>
      <c r="O15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60" spans="2:15" x14ac:dyDescent="0.25">
      <c r="B160" s="14">
        <v>43465.942395888327</v>
      </c>
      <c r="C160" s="14">
        <v>43424</v>
      </c>
      <c r="D160" s="14">
        <v>43465.942395888327</v>
      </c>
      <c r="E160" t="s">
        <v>47</v>
      </c>
      <c r="F160" t="s">
        <v>37</v>
      </c>
      <c r="G160" t="s">
        <v>439</v>
      </c>
      <c r="H160" s="17">
        <v>2663</v>
      </c>
      <c r="I160">
        <f>IF(TbRegistroSaídas[[#This Row],[DATA DO CAIXA REALIZADO]]="",0,MONTH(TbRegistroSaídas[[#This Row],[DATA DO CAIXA REALIZADO]]))</f>
        <v>12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COMPETENCIA]]="",0,MONTH(TbRegistroSaídas[[#This Row],[DATA DA COMPETENCIA]]))</f>
        <v>11</v>
      </c>
      <c r="L160">
        <f>IF(TbRegistroSaídas[[#This Row],[DATA DA COMPETENCIA]]="",0,YEAR(TbRegistroSaídas[[#This Row],[DATA DA COMPETENCIA]]))</f>
        <v>2018</v>
      </c>
      <c r="M160">
        <f>IF(TbRegistroSaídas[[#This Row],[DATA DO CAIXA PREVISTA]]="",0,MONTH(TbRegistroSaídas[[#This Row],[DATA DO CAIXA PREVISTA]]))</f>
        <v>12</v>
      </c>
      <c r="N160">
        <f>IF(TbRegistroSaídas[[#This Row],[DATA DO CAIXA PREVISTA]]="",0,YEAR(TbRegistroSaídas[[#This Row],[DATA DO CAIXA PREVISTA]]))</f>
        <v>2018</v>
      </c>
      <c r="O16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61" spans="2:15" x14ac:dyDescent="0.25">
      <c r="B161" s="14">
        <v>43430.953637786966</v>
      </c>
      <c r="C161" s="14">
        <v>43430</v>
      </c>
      <c r="D161" s="14">
        <v>43430.953637786966</v>
      </c>
      <c r="E161" t="s">
        <v>47</v>
      </c>
      <c r="F161" t="s">
        <v>52</v>
      </c>
      <c r="G161" t="s">
        <v>440</v>
      </c>
      <c r="H161" s="17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COMPETENCIA]]="",0,MONTH(TbRegistroSaídas[[#This Row],[DATA DA COMPETENCIA]]))</f>
        <v>11</v>
      </c>
      <c r="L161">
        <f>IF(TbRegistroSaídas[[#This Row],[DATA DA COMPETENCIA]]="",0,YEAR(TbRegistroSaídas[[#This Row],[DATA DA COMPETENCIA]]))</f>
        <v>2018</v>
      </c>
      <c r="M161">
        <f>IF(TbRegistroSaídas[[#This Row],[DATA DO CAIXA PREVISTA]]="",0,MONTH(TbRegistroSaídas[[#This Row],[DATA DO CAIXA PREVISTA]]))</f>
        <v>11</v>
      </c>
      <c r="N161">
        <f>IF(TbRegistroSaídas[[#This Row],[DATA DO CAIXA PREVISTA]]="",0,YEAR(TbRegistroSaídas[[#This Row],[DATA DO CAIXA PREVISTA]]))</f>
        <v>2018</v>
      </c>
      <c r="O16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62" spans="2:15" x14ac:dyDescent="0.25">
      <c r="B162" s="14">
        <v>43517.76387190332</v>
      </c>
      <c r="C162" s="14">
        <v>43433</v>
      </c>
      <c r="D162" s="14">
        <v>43478.804327652433</v>
      </c>
      <c r="E162" t="s">
        <v>47</v>
      </c>
      <c r="F162" t="s">
        <v>37</v>
      </c>
      <c r="G162" t="s">
        <v>441</v>
      </c>
      <c r="H162" s="17">
        <v>2030</v>
      </c>
      <c r="I162">
        <f>IF(TbRegistroSaídas[[#This Row],[DATA DO CAIXA REALIZADO]]="",0,MONTH(TbRegistroSaídas[[#This Row],[DATA DO CAIXA REALIZADO]]))</f>
        <v>2</v>
      </c>
      <c r="J162">
        <f>IF(TbRegistroSaídas[[#This Row],[DATA DO CAIXA REALIZADO]]="",0,YEAR(TbRegistroSaídas[[#This Row],[DATA DO CAIXA REALIZADO]]))</f>
        <v>2019</v>
      </c>
      <c r="K162">
        <f>IF(TbRegistroSaídas[[#This Row],[DATA DA COMPETENCIA]]="",0,MONTH(TbRegistroSaídas[[#This Row],[DATA DA COMPETENCIA]]))</f>
        <v>11</v>
      </c>
      <c r="L162">
        <f>IF(TbRegistroSaídas[[#This Row],[DATA DA COMPETENCIA]]="",0,YEAR(TbRegistroSaídas[[#This Row],[DATA DA COMPETENCIA]]))</f>
        <v>2018</v>
      </c>
      <c r="M162">
        <f>IF(TbRegistroSaídas[[#This Row],[DATA DO CAIXA PREVISTA]]="",0,MONTH(TbRegistroSaídas[[#This Row],[DATA DO CAIXA PREVISTA]]))</f>
        <v>1</v>
      </c>
      <c r="N162">
        <f>IF(TbRegistroSaídas[[#This Row],[DATA DO CAIXA PREVISTA]]="",0,YEAR(TbRegistroSaídas[[#This Row],[DATA DO CAIXA PREVISTA]]))</f>
        <v>2019</v>
      </c>
      <c r="O16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38.95954425088712</v>
      </c>
    </row>
    <row r="163" spans="2:15" x14ac:dyDescent="0.25">
      <c r="B163" s="14" t="s">
        <v>68</v>
      </c>
      <c r="C163" s="14">
        <v>43436</v>
      </c>
      <c r="D163" s="14">
        <v>43485.820929970221</v>
      </c>
      <c r="E163" t="s">
        <v>47</v>
      </c>
      <c r="F163" t="s">
        <v>52</v>
      </c>
      <c r="G163" t="s">
        <v>442</v>
      </c>
      <c r="H163" s="17">
        <v>2117</v>
      </c>
      <c r="I163">
        <f>IF(TbRegistroSaídas[[#This Row],[DATA DO CAIXA REALIZADO]]="",0,MONTH(TbRegistroSaídas[[#This Row],[DATA DO CAIXA REALIZADO]]))</f>
        <v>0</v>
      </c>
      <c r="J163">
        <f>IF(TbRegistroSaídas[[#This Row],[DATA DO CAIXA REALIZADO]]="",0,YEAR(TbRegistroSaídas[[#This Row],[DATA DO CAIXA REALIZADO]]))</f>
        <v>0</v>
      </c>
      <c r="K163">
        <f>IF(TbRegistroSaídas[[#This Row],[DATA DA COMPETENCIA]]="",0,MONTH(TbRegistroSaídas[[#This Row],[DATA DA COMPETENCIA]]))</f>
        <v>12</v>
      </c>
      <c r="L163">
        <f>IF(TbRegistroSaídas[[#This Row],[DATA DA COMPETENCIA]]="",0,YEAR(TbRegistroSaídas[[#This Row],[DATA DA COMPETENCIA]]))</f>
        <v>2018</v>
      </c>
      <c r="M163">
        <f>IF(TbRegistroSaídas[[#This Row],[DATA DO CAIXA PREVISTA]]="",0,MONTH(TbRegistroSaídas[[#This Row],[DATA DO CAIXA PREVISTA]]))</f>
        <v>1</v>
      </c>
      <c r="N163">
        <f>IF(TbRegistroSaídas[[#This Row],[DATA DO CAIXA PREVISTA]]="",0,YEAR(TbRegistroSaídas[[#This Row],[DATA DO CAIXA PREVISTA]]))</f>
        <v>2019</v>
      </c>
      <c r="O163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64" spans="2:15" x14ac:dyDescent="0.25">
      <c r="B164" s="14">
        <v>43576.35130395602</v>
      </c>
      <c r="C164" s="14">
        <v>43438</v>
      </c>
      <c r="D164" s="14">
        <v>43494.750065134205</v>
      </c>
      <c r="E164" t="s">
        <v>47</v>
      </c>
      <c r="F164" t="s">
        <v>52</v>
      </c>
      <c r="G164" t="s">
        <v>443</v>
      </c>
      <c r="H164" s="17">
        <v>1236</v>
      </c>
      <c r="I164">
        <f>IF(TbRegistroSaídas[[#This Row],[DATA DO CAIXA REALIZADO]]="",0,MONTH(TbRegistroSaídas[[#This Row],[DATA DO CAIXA REALIZADO]]))</f>
        <v>4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COMPETENCIA]]="",0,MONTH(TbRegistroSaídas[[#This Row],[DATA DA COMPETENCIA]]))</f>
        <v>12</v>
      </c>
      <c r="L164">
        <f>IF(TbRegistroSaídas[[#This Row],[DATA DA COMPETENCIA]]="",0,YEAR(TbRegistroSaídas[[#This Row],[DATA DA COMPETENCIA]]))</f>
        <v>2018</v>
      </c>
      <c r="M164">
        <f>IF(TbRegistroSaídas[[#This Row],[DATA DO CAIXA PREVISTA]]="",0,MONTH(TbRegistroSaídas[[#This Row],[DATA DO CAIXA PREVISTA]]))</f>
        <v>1</v>
      </c>
      <c r="N164">
        <f>IF(TbRegistroSaídas[[#This Row],[DATA DO CAIXA PREVISTA]]="",0,YEAR(TbRegistroSaídas[[#This Row],[DATA DO CAIXA PREVISTA]]))</f>
        <v>2019</v>
      </c>
      <c r="O16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81.601238821815059</v>
      </c>
    </row>
    <row r="165" spans="2:15" x14ac:dyDescent="0.25">
      <c r="B165" s="14">
        <v>43465.7468934922</v>
      </c>
      <c r="C165" s="14">
        <v>43443</v>
      </c>
      <c r="D165" s="14">
        <v>43465.7468934922</v>
      </c>
      <c r="E165" t="s">
        <v>47</v>
      </c>
      <c r="F165" t="s">
        <v>52</v>
      </c>
      <c r="G165" t="s">
        <v>444</v>
      </c>
      <c r="H165" s="17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COMPETENCIA]]="",0,MONTH(TbRegistroSaídas[[#This Row],[DATA DA COMPETENCIA]]))</f>
        <v>12</v>
      </c>
      <c r="L165">
        <f>IF(TbRegistroSaídas[[#This Row],[DATA DA COMPETENCIA]]="",0,YEAR(TbRegistroSaídas[[#This Row],[DATA DA COMPETENCIA]]))</f>
        <v>2018</v>
      </c>
      <c r="M165">
        <f>IF(TbRegistroSaídas[[#This Row],[DATA DO CAIXA PREVISTA]]="",0,MONTH(TbRegistroSaídas[[#This Row],[DATA DO CAIXA PREVISTA]]))</f>
        <v>12</v>
      </c>
      <c r="N165">
        <f>IF(TbRegistroSaídas[[#This Row],[DATA DO CAIXA PREVISTA]]="",0,YEAR(TbRegistroSaídas[[#This Row],[DATA DO CAIXA PREVISTA]]))</f>
        <v>2018</v>
      </c>
      <c r="O16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66" spans="2:15" x14ac:dyDescent="0.25">
      <c r="B166" s="14">
        <v>43465.107280855569</v>
      </c>
      <c r="C166" s="14">
        <v>43444</v>
      </c>
      <c r="D166" s="14">
        <v>43458.160574156776</v>
      </c>
      <c r="E166" t="s">
        <v>47</v>
      </c>
      <c r="F166" t="s">
        <v>46</v>
      </c>
      <c r="G166" t="s">
        <v>445</v>
      </c>
      <c r="H166" s="17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COMPETENCIA]]="",0,MONTH(TbRegistroSaídas[[#This Row],[DATA DA COMPETENCIA]]))</f>
        <v>12</v>
      </c>
      <c r="L166">
        <f>IF(TbRegistroSaídas[[#This Row],[DATA DA COMPETENCIA]]="",0,YEAR(TbRegistroSaídas[[#This Row],[DATA DA COMPETENCIA]]))</f>
        <v>2018</v>
      </c>
      <c r="M166">
        <f>IF(TbRegistroSaídas[[#This Row],[DATA DO CAIXA PREVISTA]]="",0,MONTH(TbRegistroSaídas[[#This Row],[DATA DO CAIXA PREVISTA]]))</f>
        <v>12</v>
      </c>
      <c r="N166">
        <f>IF(TbRegistroSaídas[[#This Row],[DATA DO CAIXA PREVISTA]]="",0,YEAR(TbRegistroSaídas[[#This Row],[DATA DO CAIXA PREVISTA]]))</f>
        <v>2018</v>
      </c>
      <c r="O16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6.9467066987926955</v>
      </c>
    </row>
    <row r="167" spans="2:15" x14ac:dyDescent="0.25">
      <c r="B167" s="14" t="s">
        <v>68</v>
      </c>
      <c r="C167" s="14">
        <v>43448</v>
      </c>
      <c r="D167" s="14">
        <v>43480.746977784853</v>
      </c>
      <c r="E167" t="s">
        <v>47</v>
      </c>
      <c r="F167" t="s">
        <v>52</v>
      </c>
      <c r="G167" t="s">
        <v>446</v>
      </c>
      <c r="H167" s="17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COMPETENCIA]]="",0,MONTH(TbRegistroSaídas[[#This Row],[DATA DA COMPETENCIA]]))</f>
        <v>12</v>
      </c>
      <c r="L167">
        <f>IF(TbRegistroSaídas[[#This Row],[DATA DA COMPETENCIA]]="",0,YEAR(TbRegistroSaídas[[#This Row],[DATA DA COMPETENCIA]]))</f>
        <v>2018</v>
      </c>
      <c r="M167">
        <f>IF(TbRegistroSaídas[[#This Row],[DATA DO CAIXA PREVISTA]]="",0,MONTH(TbRegistroSaídas[[#This Row],[DATA DO CAIXA PREVISTA]]))</f>
        <v>1</v>
      </c>
      <c r="N167">
        <f>IF(TbRegistroSaídas[[#This Row],[DATA DO CAIXA PREVISTA]]="",0,YEAR(TbRegistroSaídas[[#This Row],[DATA DO CAIXA PREVISTA]]))</f>
        <v>2019</v>
      </c>
      <c r="O167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68" spans="2:15" x14ac:dyDescent="0.25">
      <c r="B168" s="14">
        <v>43506.264597842761</v>
      </c>
      <c r="C168" s="14">
        <v>43449</v>
      </c>
      <c r="D168" s="14">
        <v>43489.335938548378</v>
      </c>
      <c r="E168" t="s">
        <v>47</v>
      </c>
      <c r="F168" t="s">
        <v>52</v>
      </c>
      <c r="G168" t="s">
        <v>447</v>
      </c>
      <c r="H168" s="17">
        <v>1434</v>
      </c>
      <c r="I168">
        <f>IF(TbRegistroSaídas[[#This Row],[DATA DO CAIXA REALIZADO]]="",0,MONTH(TbRegistroSaídas[[#This Row],[DATA DO CAIXA REALIZADO]]))</f>
        <v>2</v>
      </c>
      <c r="J168">
        <f>IF(TbRegistroSaídas[[#This Row],[DATA DO CAIXA REALIZADO]]="",0,YEAR(TbRegistroSaídas[[#This Row],[DATA DO CAIXA REALIZADO]]))</f>
        <v>2019</v>
      </c>
      <c r="K168">
        <f>IF(TbRegistroSaídas[[#This Row],[DATA DA COMPETENCIA]]="",0,MONTH(TbRegistroSaídas[[#This Row],[DATA DA COMPETENCIA]]))</f>
        <v>12</v>
      </c>
      <c r="L168">
        <f>IF(TbRegistroSaídas[[#This Row],[DATA DA COMPETENCIA]]="",0,YEAR(TbRegistroSaídas[[#This Row],[DATA DA COMPETENCIA]]))</f>
        <v>2018</v>
      </c>
      <c r="M168">
        <f>IF(TbRegistroSaídas[[#This Row],[DATA DO CAIXA PREVISTA]]="",0,MONTH(TbRegistroSaídas[[#This Row],[DATA DO CAIXA PREVISTA]]))</f>
        <v>1</v>
      </c>
      <c r="N168">
        <f>IF(TbRegistroSaídas[[#This Row],[DATA DO CAIXA PREVISTA]]="",0,YEAR(TbRegistroSaídas[[#This Row],[DATA DO CAIXA PREVISTA]]))</f>
        <v>2019</v>
      </c>
      <c r="O16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16.928659294382669</v>
      </c>
    </row>
    <row r="169" spans="2:15" x14ac:dyDescent="0.25">
      <c r="B169" s="14">
        <v>43487.188431641203</v>
      </c>
      <c r="C169" s="14">
        <v>43452</v>
      </c>
      <c r="D169" s="14">
        <v>43487.188431641203</v>
      </c>
      <c r="E169" t="s">
        <v>47</v>
      </c>
      <c r="F169" t="s">
        <v>23</v>
      </c>
      <c r="G169" t="s">
        <v>448</v>
      </c>
      <c r="H169" s="17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COMPETENCIA]]="",0,MONTH(TbRegistroSaídas[[#This Row],[DATA DA COMPETENCIA]]))</f>
        <v>12</v>
      </c>
      <c r="L169">
        <f>IF(TbRegistroSaídas[[#This Row],[DATA DA COMPETENCIA]]="",0,YEAR(TbRegistroSaídas[[#This Row],[DATA DA COMPETENCIA]]))</f>
        <v>2018</v>
      </c>
      <c r="M169">
        <f>IF(TbRegistroSaídas[[#This Row],[DATA DO CAIXA PREVISTA]]="",0,MONTH(TbRegistroSaídas[[#This Row],[DATA DO CAIXA PREVISTA]]))</f>
        <v>1</v>
      </c>
      <c r="N169">
        <f>IF(TbRegistroSaídas[[#This Row],[DATA DO CAIXA PREVISTA]]="",0,YEAR(TbRegistroSaídas[[#This Row],[DATA DO CAIXA PREVISTA]]))</f>
        <v>2019</v>
      </c>
      <c r="O16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0" spans="2:15" x14ac:dyDescent="0.25">
      <c r="B170" s="14">
        <v>43514.403187421965</v>
      </c>
      <c r="C170" s="14">
        <v>43459</v>
      </c>
      <c r="D170" s="14">
        <v>43514.403187421965</v>
      </c>
      <c r="E170" t="s">
        <v>47</v>
      </c>
      <c r="F170" t="s">
        <v>52</v>
      </c>
      <c r="G170" t="s">
        <v>449</v>
      </c>
      <c r="H170" s="17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COMPETENCIA]]="",0,MONTH(TbRegistroSaídas[[#This Row],[DATA DA COMPETENCIA]]))</f>
        <v>12</v>
      </c>
      <c r="L170">
        <f>IF(TbRegistroSaídas[[#This Row],[DATA DA COMPETENCIA]]="",0,YEAR(TbRegistroSaídas[[#This Row],[DATA DA COMPETENCIA]]))</f>
        <v>2018</v>
      </c>
      <c r="M170">
        <f>IF(TbRegistroSaídas[[#This Row],[DATA DO CAIXA PREVISTA]]="",0,MONTH(TbRegistroSaídas[[#This Row],[DATA DO CAIXA PREVISTA]]))</f>
        <v>2</v>
      </c>
      <c r="N170">
        <f>IF(TbRegistroSaídas[[#This Row],[DATA DO CAIXA PREVISTA]]="",0,YEAR(TbRegistroSaídas[[#This Row],[DATA DO CAIXA PREVISTA]]))</f>
        <v>2019</v>
      </c>
      <c r="O17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1" spans="2:15" x14ac:dyDescent="0.25">
      <c r="B171" s="14">
        <v>43491.679228472654</v>
      </c>
      <c r="C171" s="14">
        <v>43461</v>
      </c>
      <c r="D171" s="14">
        <v>43491.679228472654</v>
      </c>
      <c r="E171" t="s">
        <v>47</v>
      </c>
      <c r="F171" t="s">
        <v>52</v>
      </c>
      <c r="G171" t="s">
        <v>450</v>
      </c>
      <c r="H171" s="17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COMPETENCIA]]="",0,MONTH(TbRegistroSaídas[[#This Row],[DATA DA COMPETENCIA]]))</f>
        <v>12</v>
      </c>
      <c r="L171">
        <f>IF(TbRegistroSaídas[[#This Row],[DATA DA COMPETENCIA]]="",0,YEAR(TbRegistroSaídas[[#This Row],[DATA DA COMPETENCIA]]))</f>
        <v>2018</v>
      </c>
      <c r="M171">
        <f>IF(TbRegistroSaídas[[#This Row],[DATA DO CAIXA PREVISTA]]="",0,MONTH(TbRegistroSaídas[[#This Row],[DATA DO CAIXA PREVISTA]]))</f>
        <v>1</v>
      </c>
      <c r="N171">
        <f>IF(TbRegistroSaídas[[#This Row],[DATA DO CAIXA PREVISTA]]="",0,YEAR(TbRegistroSaídas[[#This Row],[DATA DO CAIXA PREVISTA]]))</f>
        <v>2019</v>
      </c>
      <c r="O17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2" spans="2:15" x14ac:dyDescent="0.25">
      <c r="B172" s="14">
        <v>43515.206907104708</v>
      </c>
      <c r="C172" s="14">
        <v>43464</v>
      </c>
      <c r="D172" s="14">
        <v>43515.206907104708</v>
      </c>
      <c r="E172" t="s">
        <v>47</v>
      </c>
      <c r="F172" t="s">
        <v>23</v>
      </c>
      <c r="G172" t="s">
        <v>451</v>
      </c>
      <c r="H172" s="17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COMPETENCIA]]="",0,MONTH(TbRegistroSaídas[[#This Row],[DATA DA COMPETENCIA]]))</f>
        <v>12</v>
      </c>
      <c r="L172">
        <f>IF(TbRegistroSaídas[[#This Row],[DATA DA COMPETENCIA]]="",0,YEAR(TbRegistroSaídas[[#This Row],[DATA DA COMPETENCIA]]))</f>
        <v>2018</v>
      </c>
      <c r="M172">
        <f>IF(TbRegistroSaídas[[#This Row],[DATA DO CAIXA PREVISTA]]="",0,MONTH(TbRegistroSaídas[[#This Row],[DATA DO CAIXA PREVISTA]]))</f>
        <v>2</v>
      </c>
      <c r="N172">
        <f>IF(TbRegistroSaídas[[#This Row],[DATA DO CAIXA PREVISTA]]="",0,YEAR(TbRegistroSaídas[[#This Row],[DATA DO CAIXA PREVISTA]]))</f>
        <v>2019</v>
      </c>
      <c r="O17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3" spans="2:15" x14ac:dyDescent="0.25">
      <c r="B173" s="14">
        <v>43573.207294267304</v>
      </c>
      <c r="C173" s="14">
        <v>43467</v>
      </c>
      <c r="D173" s="14">
        <v>43483.579939553441</v>
      </c>
      <c r="E173" t="s">
        <v>47</v>
      </c>
      <c r="F173" t="s">
        <v>23</v>
      </c>
      <c r="G173" t="s">
        <v>452</v>
      </c>
      <c r="H173" s="17">
        <v>2190</v>
      </c>
      <c r="I173">
        <f>IF(TbRegistroSaídas[[#This Row],[DATA DO CAIXA REALIZADO]]="",0,MONTH(TbRegistroSaídas[[#This Row],[DATA DO CAIXA REALIZADO]]))</f>
        <v>4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COMPETENCIA]]="",0,MONTH(TbRegistroSaídas[[#This Row],[DATA DA COMPETENCIA]]))</f>
        <v>1</v>
      </c>
      <c r="L173">
        <f>IF(TbRegistroSaídas[[#This Row],[DATA DA COMPETENCIA]]="",0,YEAR(TbRegistroSaídas[[#This Row],[DATA DA COMPETENCIA]]))</f>
        <v>2019</v>
      </c>
      <c r="M173">
        <f>IF(TbRegistroSaídas[[#This Row],[DATA DO CAIXA PREVISTA]]="",0,MONTH(TbRegistroSaídas[[#This Row],[DATA DO CAIXA PREVISTA]]))</f>
        <v>1</v>
      </c>
      <c r="N173">
        <f>IF(TbRegistroSaídas[[#This Row],[DATA DO CAIXA PREVISTA]]="",0,YEAR(TbRegistroSaídas[[#This Row],[DATA DO CAIXA PREVISTA]]))</f>
        <v>2019</v>
      </c>
      <c r="O17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89.627354713862587</v>
      </c>
    </row>
    <row r="174" spans="2:15" x14ac:dyDescent="0.25">
      <c r="B174" s="14">
        <v>43485.642328387614</v>
      </c>
      <c r="C174" s="14">
        <v>43469</v>
      </c>
      <c r="D174" s="14">
        <v>43485.642328387614</v>
      </c>
      <c r="E174" t="s">
        <v>47</v>
      </c>
      <c r="F174" t="s">
        <v>52</v>
      </c>
      <c r="G174" t="s">
        <v>453</v>
      </c>
      <c r="H174" s="17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COMPETENCIA]]="",0,MONTH(TbRegistroSaídas[[#This Row],[DATA DA COMPETENCIA]]))</f>
        <v>1</v>
      </c>
      <c r="L174">
        <f>IF(TbRegistroSaídas[[#This Row],[DATA DA COMPETENCIA]]="",0,YEAR(TbRegistroSaídas[[#This Row],[DATA DA COMPETENCIA]]))</f>
        <v>2019</v>
      </c>
      <c r="M174">
        <f>IF(TbRegistroSaídas[[#This Row],[DATA DO CAIXA PREVISTA]]="",0,MONTH(TbRegistroSaídas[[#This Row],[DATA DO CAIXA PREVISTA]]))</f>
        <v>1</v>
      </c>
      <c r="N174">
        <f>IF(TbRegistroSaídas[[#This Row],[DATA DO CAIXA PREVISTA]]="",0,YEAR(TbRegistroSaídas[[#This Row],[DATA DO CAIXA PREVISTA]]))</f>
        <v>2019</v>
      </c>
      <c r="O17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5" spans="2:15" x14ac:dyDescent="0.25">
      <c r="B175" s="14">
        <v>43501.032672097659</v>
      </c>
      <c r="C175" s="14">
        <v>43476</v>
      </c>
      <c r="D175" s="14">
        <v>43501.032672097659</v>
      </c>
      <c r="E175" t="s">
        <v>47</v>
      </c>
      <c r="F175" t="s">
        <v>52</v>
      </c>
      <c r="G175" t="s">
        <v>454</v>
      </c>
      <c r="H175" s="17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COMPETENCIA]]="",0,MONTH(TbRegistroSaídas[[#This Row],[DATA DA COMPETENCIA]]))</f>
        <v>1</v>
      </c>
      <c r="L175">
        <f>IF(TbRegistroSaídas[[#This Row],[DATA DA COMPETENCIA]]="",0,YEAR(TbRegistroSaídas[[#This Row],[DATA DA COMPETENCIA]]))</f>
        <v>2019</v>
      </c>
      <c r="M175">
        <f>IF(TbRegistroSaídas[[#This Row],[DATA DO CAIXA PREVISTA]]="",0,MONTH(TbRegistroSaídas[[#This Row],[DATA DO CAIXA PREVISTA]]))</f>
        <v>2</v>
      </c>
      <c r="N175">
        <f>IF(TbRegistroSaídas[[#This Row],[DATA DO CAIXA PREVISTA]]="",0,YEAR(TbRegistroSaídas[[#This Row],[DATA DO CAIXA PREVISTA]]))</f>
        <v>2019</v>
      </c>
      <c r="O17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6" spans="2:15" x14ac:dyDescent="0.25">
      <c r="B176" s="14">
        <v>43495.478907818499</v>
      </c>
      <c r="C176" s="14">
        <v>43479</v>
      </c>
      <c r="D176" s="14">
        <v>43495.478907818499</v>
      </c>
      <c r="E176" t="s">
        <v>47</v>
      </c>
      <c r="F176" t="s">
        <v>52</v>
      </c>
      <c r="G176" t="s">
        <v>455</v>
      </c>
      <c r="H176" s="17">
        <v>4928</v>
      </c>
      <c r="I176">
        <f>IF(TbRegistroSaídas[[#This Row],[DATA DO CAIXA REALIZADO]]="",0,MONTH(TbRegistroSaídas[[#This Row],[DATA DO CAIXA REALIZADO]]))</f>
        <v>1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COMPETENCIA]]="",0,MONTH(TbRegistroSaídas[[#This Row],[DATA DA COMPETENCIA]]))</f>
        <v>1</v>
      </c>
      <c r="L176">
        <f>IF(TbRegistroSaídas[[#This Row],[DATA DA COMPETENCIA]]="",0,YEAR(TbRegistroSaídas[[#This Row],[DATA DA COMPETENCIA]]))</f>
        <v>2019</v>
      </c>
      <c r="M176">
        <f>IF(TbRegistroSaídas[[#This Row],[DATA DO CAIXA PREVISTA]]="",0,MONTH(TbRegistroSaídas[[#This Row],[DATA DO CAIXA PREVISTA]]))</f>
        <v>1</v>
      </c>
      <c r="N176">
        <f>IF(TbRegistroSaídas[[#This Row],[DATA DO CAIXA PREVISTA]]="",0,YEAR(TbRegistroSaídas[[#This Row],[DATA DO CAIXA PREVISTA]]))</f>
        <v>2019</v>
      </c>
      <c r="O17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7" spans="2:15" x14ac:dyDescent="0.25">
      <c r="B177" s="14">
        <v>43536.025611727033</v>
      </c>
      <c r="C177" s="14">
        <v>43482</v>
      </c>
      <c r="D177" s="14">
        <v>43536.025611727033</v>
      </c>
      <c r="E177" t="s">
        <v>47</v>
      </c>
      <c r="F177" t="s">
        <v>23</v>
      </c>
      <c r="G177" t="s">
        <v>456</v>
      </c>
      <c r="H177" s="17">
        <v>4179</v>
      </c>
      <c r="I177">
        <f>IF(TbRegistroSaídas[[#This Row],[DATA DO CAIXA REALIZADO]]="",0,MONTH(TbRegistroSaídas[[#This Row],[DATA DO CAIXA REALIZADO]]))</f>
        <v>3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COMPETENCIA]]="",0,MONTH(TbRegistroSaídas[[#This Row],[DATA DA COMPETENCIA]]))</f>
        <v>1</v>
      </c>
      <c r="L177">
        <f>IF(TbRegistroSaídas[[#This Row],[DATA DA COMPETENCIA]]="",0,YEAR(TbRegistroSaídas[[#This Row],[DATA DA COMPETENCIA]]))</f>
        <v>2019</v>
      </c>
      <c r="M177">
        <f>IF(TbRegistroSaídas[[#This Row],[DATA DO CAIXA PREVISTA]]="",0,MONTH(TbRegistroSaídas[[#This Row],[DATA DO CAIXA PREVISTA]]))</f>
        <v>3</v>
      </c>
      <c r="N177">
        <f>IF(TbRegistroSaídas[[#This Row],[DATA DO CAIXA PREVISTA]]="",0,YEAR(TbRegistroSaídas[[#This Row],[DATA DO CAIXA PREVISTA]]))</f>
        <v>2019</v>
      </c>
      <c r="O17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8" spans="2:15" x14ac:dyDescent="0.25">
      <c r="B178" s="14">
        <v>43499.993512821027</v>
      </c>
      <c r="C178" s="14">
        <v>43484</v>
      </c>
      <c r="D178" s="14">
        <v>43499.993512821027</v>
      </c>
      <c r="E178" t="s">
        <v>47</v>
      </c>
      <c r="F178" t="s">
        <v>46</v>
      </c>
      <c r="G178" t="s">
        <v>457</v>
      </c>
      <c r="H178" s="17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COMPETENCIA]]="",0,MONTH(TbRegistroSaídas[[#This Row],[DATA DA COMPETENCIA]]))</f>
        <v>1</v>
      </c>
      <c r="L178">
        <f>IF(TbRegistroSaídas[[#This Row],[DATA DA COMPETENCIA]]="",0,YEAR(TbRegistroSaídas[[#This Row],[DATA DA COMPETENCIA]]))</f>
        <v>2019</v>
      </c>
      <c r="M178">
        <f>IF(TbRegistroSaídas[[#This Row],[DATA DO CAIXA PREVISTA]]="",0,MONTH(TbRegistroSaídas[[#This Row],[DATA DO CAIXA PREVISTA]]))</f>
        <v>2</v>
      </c>
      <c r="N178">
        <f>IF(TbRegistroSaídas[[#This Row],[DATA DO CAIXA PREVISTA]]="",0,YEAR(TbRegistroSaídas[[#This Row],[DATA DO CAIXA PREVISTA]]))</f>
        <v>2019</v>
      </c>
      <c r="O17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79" spans="2:15" x14ac:dyDescent="0.25">
      <c r="B179" s="14">
        <v>43498.131083059947</v>
      </c>
      <c r="C179" s="14">
        <v>43487</v>
      </c>
      <c r="D179" s="14">
        <v>43498.131083059947</v>
      </c>
      <c r="E179" t="s">
        <v>47</v>
      </c>
      <c r="F179" t="s">
        <v>23</v>
      </c>
      <c r="G179" t="s">
        <v>373</v>
      </c>
      <c r="H179" s="17">
        <v>4092</v>
      </c>
      <c r="I179">
        <f>IF(TbRegistroSaídas[[#This Row],[DATA DO CAIXA REALIZADO]]="",0,MONTH(TbRegistroSaídas[[#This Row],[DATA DO CAIXA REALIZADO]]))</f>
        <v>2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COMPETENCIA]]="",0,MONTH(TbRegistroSaídas[[#This Row],[DATA DA COMPETENCIA]]))</f>
        <v>1</v>
      </c>
      <c r="L179">
        <f>IF(TbRegistroSaídas[[#This Row],[DATA DA COMPETENCIA]]="",0,YEAR(TbRegistroSaídas[[#This Row],[DATA DA COMPETENCIA]]))</f>
        <v>2019</v>
      </c>
      <c r="M179">
        <f>IF(TbRegistroSaídas[[#This Row],[DATA DO CAIXA PREVISTA]]="",0,MONTH(TbRegistroSaídas[[#This Row],[DATA DO CAIXA PREVISTA]]))</f>
        <v>2</v>
      </c>
      <c r="N179">
        <f>IF(TbRegistroSaídas[[#This Row],[DATA DO CAIXA PREVISTA]]="",0,YEAR(TbRegistroSaídas[[#This Row],[DATA DO CAIXA PREVISTA]]))</f>
        <v>2019</v>
      </c>
      <c r="O17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0" spans="2:15" x14ac:dyDescent="0.25">
      <c r="B180" s="14">
        <v>43496.93367126838</v>
      </c>
      <c r="C180" s="14">
        <v>43492</v>
      </c>
      <c r="D180" s="14">
        <v>43496.93367126838</v>
      </c>
      <c r="E180" t="s">
        <v>47</v>
      </c>
      <c r="F180" t="s">
        <v>52</v>
      </c>
      <c r="G180" t="s">
        <v>458</v>
      </c>
      <c r="H180" s="17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COMPETENCIA]]="",0,MONTH(TbRegistroSaídas[[#This Row],[DATA DA COMPETENCIA]]))</f>
        <v>1</v>
      </c>
      <c r="L180">
        <f>IF(TbRegistroSaídas[[#This Row],[DATA DA COMPETENCIA]]="",0,YEAR(TbRegistroSaídas[[#This Row],[DATA DA COMPETENCIA]]))</f>
        <v>2019</v>
      </c>
      <c r="M180">
        <f>IF(TbRegistroSaídas[[#This Row],[DATA DO CAIXA PREVISTA]]="",0,MONTH(TbRegistroSaídas[[#This Row],[DATA DO CAIXA PREVISTA]]))</f>
        <v>1</v>
      </c>
      <c r="N180">
        <f>IF(TbRegistroSaídas[[#This Row],[DATA DO CAIXA PREVISTA]]="",0,YEAR(TbRegistroSaídas[[#This Row],[DATA DO CAIXA PREVISTA]]))</f>
        <v>2019</v>
      </c>
      <c r="O18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1" spans="2:15" x14ac:dyDescent="0.25">
      <c r="B181" s="14">
        <v>43509.777939985303</v>
      </c>
      <c r="C181" s="14">
        <v>43496</v>
      </c>
      <c r="D181" s="14">
        <v>43509.777939985303</v>
      </c>
      <c r="E181" t="s">
        <v>47</v>
      </c>
      <c r="F181" t="s">
        <v>23</v>
      </c>
      <c r="G181" t="s">
        <v>459</v>
      </c>
      <c r="H181" s="17">
        <v>533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COMPETENCIA]]="",0,MONTH(TbRegistroSaídas[[#This Row],[DATA DA COMPETENCIA]]))</f>
        <v>1</v>
      </c>
      <c r="L181">
        <f>IF(TbRegistroSaídas[[#This Row],[DATA DA COMPETENCIA]]="",0,YEAR(TbRegistroSaídas[[#This Row],[DATA DA COMPETENCIA]]))</f>
        <v>2019</v>
      </c>
      <c r="M181">
        <f>IF(TbRegistroSaídas[[#This Row],[DATA DO CAIXA PREVISTA]]="",0,MONTH(TbRegistroSaídas[[#This Row],[DATA DO CAIXA PREVISTA]]))</f>
        <v>2</v>
      </c>
      <c r="N181">
        <f>IF(TbRegistroSaídas[[#This Row],[DATA DO CAIXA PREVISTA]]="",0,YEAR(TbRegistroSaídas[[#This Row],[DATA DO CAIXA PREVISTA]]))</f>
        <v>2019</v>
      </c>
      <c r="O18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2" spans="2:15" x14ac:dyDescent="0.25">
      <c r="B182" s="14">
        <v>43520.73063092697</v>
      </c>
      <c r="C182" s="14">
        <v>43497</v>
      </c>
      <c r="D182" s="14">
        <v>43520.73063092697</v>
      </c>
      <c r="E182" t="s">
        <v>47</v>
      </c>
      <c r="F182" t="s">
        <v>37</v>
      </c>
      <c r="G182" t="s">
        <v>460</v>
      </c>
      <c r="H182" s="17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COMPETENCIA]]="",0,MONTH(TbRegistroSaídas[[#This Row],[DATA DA COMPETENCIA]]))</f>
        <v>2</v>
      </c>
      <c r="L182">
        <f>IF(TbRegistroSaídas[[#This Row],[DATA DA COMPETENCIA]]="",0,YEAR(TbRegistroSaídas[[#This Row],[DATA DA COMPETENCIA]]))</f>
        <v>2019</v>
      </c>
      <c r="M182">
        <f>IF(TbRegistroSaídas[[#This Row],[DATA DO CAIXA PREVISTA]]="",0,MONTH(TbRegistroSaídas[[#This Row],[DATA DO CAIXA PREVISTA]]))</f>
        <v>2</v>
      </c>
      <c r="N182">
        <f>IF(TbRegistroSaídas[[#This Row],[DATA DO CAIXA PREVISTA]]="",0,YEAR(TbRegistroSaídas[[#This Row],[DATA DO CAIXA PREVISTA]]))</f>
        <v>2019</v>
      </c>
      <c r="O18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3" spans="2:15" x14ac:dyDescent="0.25">
      <c r="B183" s="14">
        <v>43548.78797907626</v>
      </c>
      <c r="C183" s="14">
        <v>43499</v>
      </c>
      <c r="D183" s="14">
        <v>43548.78797907626</v>
      </c>
      <c r="E183" t="s">
        <v>47</v>
      </c>
      <c r="F183" t="s">
        <v>46</v>
      </c>
      <c r="G183" t="s">
        <v>461</v>
      </c>
      <c r="H183" s="17">
        <v>757</v>
      </c>
      <c r="I183">
        <f>IF(TbRegistroSaídas[[#This Row],[DATA DO CAIXA REALIZADO]]="",0,MONTH(TbRegistroSaídas[[#This Row],[DATA DO CAIXA REALIZADO]]))</f>
        <v>3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COMPETENCIA]]="",0,MONTH(TbRegistroSaídas[[#This Row],[DATA DA COMPETENCIA]]))</f>
        <v>2</v>
      </c>
      <c r="L183">
        <f>IF(TbRegistroSaídas[[#This Row],[DATA DA COMPETENCIA]]="",0,YEAR(TbRegistroSaídas[[#This Row],[DATA DA COMPETENCIA]]))</f>
        <v>2019</v>
      </c>
      <c r="M183">
        <f>IF(TbRegistroSaídas[[#This Row],[DATA DO CAIXA PREVISTA]]="",0,MONTH(TbRegistroSaídas[[#This Row],[DATA DO CAIXA PREVISTA]]))</f>
        <v>3</v>
      </c>
      <c r="N183">
        <f>IF(TbRegistroSaídas[[#This Row],[DATA DO CAIXA PREVISTA]]="",0,YEAR(TbRegistroSaídas[[#This Row],[DATA DO CAIXA PREVISTA]]))</f>
        <v>2019</v>
      </c>
      <c r="O18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4" spans="2:15" x14ac:dyDescent="0.25">
      <c r="B184" s="14">
        <v>43552.247547339066</v>
      </c>
      <c r="C184" s="14">
        <v>43503</v>
      </c>
      <c r="D184" s="14">
        <v>43552.247547339066</v>
      </c>
      <c r="E184" t="s">
        <v>47</v>
      </c>
      <c r="F184" t="s">
        <v>52</v>
      </c>
      <c r="G184" t="s">
        <v>462</v>
      </c>
      <c r="H184" s="17">
        <v>2688</v>
      </c>
      <c r="I184">
        <f>IF(TbRegistroSaídas[[#This Row],[DATA DO CAIXA REALIZADO]]="",0,MONTH(TbRegistroSaídas[[#This Row],[DATA DO CAIXA REALIZADO]]))</f>
        <v>3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COMPETENCIA]]="",0,MONTH(TbRegistroSaídas[[#This Row],[DATA DA COMPETENCIA]]))</f>
        <v>2</v>
      </c>
      <c r="L184">
        <f>IF(TbRegistroSaídas[[#This Row],[DATA DA COMPETENCIA]]="",0,YEAR(TbRegistroSaídas[[#This Row],[DATA DA COMPETENCIA]]))</f>
        <v>2019</v>
      </c>
      <c r="M184">
        <f>IF(TbRegistroSaídas[[#This Row],[DATA DO CAIXA PREVISTA]]="",0,MONTH(TbRegistroSaídas[[#This Row],[DATA DO CAIXA PREVISTA]]))</f>
        <v>3</v>
      </c>
      <c r="N184">
        <f>IF(TbRegistroSaídas[[#This Row],[DATA DO CAIXA PREVISTA]]="",0,YEAR(TbRegistroSaídas[[#This Row],[DATA DO CAIXA PREVISTA]]))</f>
        <v>2019</v>
      </c>
      <c r="O18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5" spans="2:15" x14ac:dyDescent="0.25">
      <c r="B185" s="14">
        <v>43554.442660476037</v>
      </c>
      <c r="C185" s="14">
        <v>43505</v>
      </c>
      <c r="D185" s="14">
        <v>43554.442660476037</v>
      </c>
      <c r="E185" t="s">
        <v>47</v>
      </c>
      <c r="F185" t="s">
        <v>38</v>
      </c>
      <c r="G185" t="s">
        <v>463</v>
      </c>
      <c r="H185" s="17">
        <v>340</v>
      </c>
      <c r="I185">
        <f>IF(TbRegistroSaídas[[#This Row],[DATA DO CAIXA REALIZADO]]="",0,MONTH(TbRegistroSaídas[[#This Row],[DATA DO CAIXA REALIZADO]]))</f>
        <v>3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COMPETENCIA]]="",0,MONTH(TbRegistroSaídas[[#This Row],[DATA DA COMPETENCIA]]))</f>
        <v>2</v>
      </c>
      <c r="L185">
        <f>IF(TbRegistroSaídas[[#This Row],[DATA DA COMPETENCIA]]="",0,YEAR(TbRegistroSaídas[[#This Row],[DATA DA COMPETENCIA]]))</f>
        <v>2019</v>
      </c>
      <c r="M185">
        <f>IF(TbRegistroSaídas[[#This Row],[DATA DO CAIXA PREVISTA]]="",0,MONTH(TbRegistroSaídas[[#This Row],[DATA DO CAIXA PREVISTA]]))</f>
        <v>3</v>
      </c>
      <c r="N185">
        <f>IF(TbRegistroSaídas[[#This Row],[DATA DO CAIXA PREVISTA]]="",0,YEAR(TbRegistroSaídas[[#This Row],[DATA DO CAIXA PREVISTA]]))</f>
        <v>2019</v>
      </c>
      <c r="O18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6" spans="2:15" x14ac:dyDescent="0.25">
      <c r="B186" s="14">
        <v>43508.592568137858</v>
      </c>
      <c r="C186" s="14">
        <v>43506</v>
      </c>
      <c r="D186" s="14">
        <v>43508.592568137858</v>
      </c>
      <c r="E186" t="s">
        <v>47</v>
      </c>
      <c r="F186" t="s">
        <v>38</v>
      </c>
      <c r="G186" t="s">
        <v>464</v>
      </c>
      <c r="H186" s="17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COMPETENCIA]]="",0,MONTH(TbRegistroSaídas[[#This Row],[DATA DA COMPETENCIA]]))</f>
        <v>2</v>
      </c>
      <c r="L186">
        <f>IF(TbRegistroSaídas[[#This Row],[DATA DA COMPETENCIA]]="",0,YEAR(TbRegistroSaídas[[#This Row],[DATA DA COMPETENCIA]]))</f>
        <v>2019</v>
      </c>
      <c r="M186">
        <f>IF(TbRegistroSaídas[[#This Row],[DATA DO CAIXA PREVISTA]]="",0,MONTH(TbRegistroSaídas[[#This Row],[DATA DO CAIXA PREVISTA]]))</f>
        <v>2</v>
      </c>
      <c r="N186">
        <f>IF(TbRegistroSaídas[[#This Row],[DATA DO CAIXA PREVISTA]]="",0,YEAR(TbRegistroSaídas[[#This Row],[DATA DO CAIXA PREVISTA]]))</f>
        <v>2019</v>
      </c>
      <c r="O18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7" spans="2:15" x14ac:dyDescent="0.25">
      <c r="B187" s="14">
        <v>43555.285152896111</v>
      </c>
      <c r="C187" s="14">
        <v>43508</v>
      </c>
      <c r="D187" s="14">
        <v>43555.285152896111</v>
      </c>
      <c r="E187" t="s">
        <v>47</v>
      </c>
      <c r="F187" t="s">
        <v>37</v>
      </c>
      <c r="G187" t="s">
        <v>465</v>
      </c>
      <c r="H187" s="17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COMPETENCIA]]="",0,MONTH(TbRegistroSaídas[[#This Row],[DATA DA COMPETENCIA]]))</f>
        <v>2</v>
      </c>
      <c r="L187">
        <f>IF(TbRegistroSaídas[[#This Row],[DATA DA COMPETENCIA]]="",0,YEAR(TbRegistroSaídas[[#This Row],[DATA DA COMPETENCIA]]))</f>
        <v>2019</v>
      </c>
      <c r="M187">
        <f>IF(TbRegistroSaídas[[#This Row],[DATA DO CAIXA PREVISTA]]="",0,MONTH(TbRegistroSaídas[[#This Row],[DATA DO CAIXA PREVISTA]]))</f>
        <v>3</v>
      </c>
      <c r="N187">
        <f>IF(TbRegistroSaídas[[#This Row],[DATA DO CAIXA PREVISTA]]="",0,YEAR(TbRegistroSaídas[[#This Row],[DATA DO CAIXA PREVISTA]]))</f>
        <v>2019</v>
      </c>
      <c r="O18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88" spans="2:15" x14ac:dyDescent="0.25">
      <c r="B188" s="14">
        <v>43619.877278489352</v>
      </c>
      <c r="C188" s="14">
        <v>43517</v>
      </c>
      <c r="D188" s="14">
        <v>43548.006375386678</v>
      </c>
      <c r="E188" t="s">
        <v>47</v>
      </c>
      <c r="F188" t="s">
        <v>23</v>
      </c>
      <c r="G188" t="s">
        <v>466</v>
      </c>
      <c r="H188" s="17">
        <v>4148</v>
      </c>
      <c r="I188">
        <f>IF(TbRegistroSaídas[[#This Row],[DATA DO CAIXA REALIZADO]]="",0,MONTH(TbRegistroSaídas[[#This Row],[DATA DO CAIXA REALIZADO]]))</f>
        <v>6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COMPETENCIA]]="",0,MONTH(TbRegistroSaídas[[#This Row],[DATA DA COMPETENCIA]]))</f>
        <v>2</v>
      </c>
      <c r="L188">
        <f>IF(TbRegistroSaídas[[#This Row],[DATA DA COMPETENCIA]]="",0,YEAR(TbRegistroSaídas[[#This Row],[DATA DA COMPETENCIA]]))</f>
        <v>2019</v>
      </c>
      <c r="M188">
        <f>IF(TbRegistroSaídas[[#This Row],[DATA DO CAIXA PREVISTA]]="",0,MONTH(TbRegistroSaídas[[#This Row],[DATA DO CAIXA PREVISTA]]))</f>
        <v>3</v>
      </c>
      <c r="N188">
        <f>IF(TbRegistroSaídas[[#This Row],[DATA DO CAIXA PREVISTA]]="",0,YEAR(TbRegistroSaídas[[#This Row],[DATA DO CAIXA PREVISTA]]))</f>
        <v>2019</v>
      </c>
      <c r="O18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71.870903102673765</v>
      </c>
    </row>
    <row r="189" spans="2:15" x14ac:dyDescent="0.25">
      <c r="B189" s="14">
        <v>43566.482468635586</v>
      </c>
      <c r="C189" s="14">
        <v>43521</v>
      </c>
      <c r="D189" s="14">
        <v>43553.920091748245</v>
      </c>
      <c r="E189" t="s">
        <v>47</v>
      </c>
      <c r="F189" t="s">
        <v>52</v>
      </c>
      <c r="G189" t="s">
        <v>467</v>
      </c>
      <c r="H189" s="17">
        <v>4303</v>
      </c>
      <c r="I189">
        <f>IF(TbRegistroSaídas[[#This Row],[DATA DO CAIXA REALIZADO]]="",0,MONTH(TbRegistroSaídas[[#This Row],[DATA DO CAIXA REALIZADO]]))</f>
        <v>4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COMPETENCIA]]="",0,MONTH(TbRegistroSaídas[[#This Row],[DATA DA COMPETENCIA]]))</f>
        <v>2</v>
      </c>
      <c r="L189">
        <f>IF(TbRegistroSaídas[[#This Row],[DATA DA COMPETENCIA]]="",0,YEAR(TbRegistroSaídas[[#This Row],[DATA DA COMPETENCIA]]))</f>
        <v>2019</v>
      </c>
      <c r="M189">
        <f>IF(TbRegistroSaídas[[#This Row],[DATA DO CAIXA PREVISTA]]="",0,MONTH(TbRegistroSaídas[[#This Row],[DATA DO CAIXA PREVISTA]]))</f>
        <v>3</v>
      </c>
      <c r="N189">
        <f>IF(TbRegistroSaídas[[#This Row],[DATA DO CAIXA PREVISTA]]="",0,YEAR(TbRegistroSaídas[[#This Row],[DATA DO CAIXA PREVISTA]]))</f>
        <v>2019</v>
      </c>
      <c r="O18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12.562376887341088</v>
      </c>
    </row>
    <row r="190" spans="2:15" x14ac:dyDescent="0.25">
      <c r="B190" s="14">
        <v>43531.738180250693</v>
      </c>
      <c r="C190" s="14">
        <v>43523</v>
      </c>
      <c r="D190" s="14">
        <v>43531.738180250693</v>
      </c>
      <c r="E190" t="s">
        <v>47</v>
      </c>
      <c r="F190" t="s">
        <v>38</v>
      </c>
      <c r="G190" t="s">
        <v>468</v>
      </c>
      <c r="H190" s="17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COMPETENCIA]]="",0,MONTH(TbRegistroSaídas[[#This Row],[DATA DA COMPETENCIA]]))</f>
        <v>2</v>
      </c>
      <c r="L190">
        <f>IF(TbRegistroSaídas[[#This Row],[DATA DA COMPETENCIA]]="",0,YEAR(TbRegistroSaídas[[#This Row],[DATA DA COMPETENCIA]]))</f>
        <v>2019</v>
      </c>
      <c r="M190">
        <f>IF(TbRegistroSaídas[[#This Row],[DATA DO CAIXA PREVISTA]]="",0,MONTH(TbRegistroSaídas[[#This Row],[DATA DO CAIXA PREVISTA]]))</f>
        <v>3</v>
      </c>
      <c r="N190">
        <f>IF(TbRegistroSaídas[[#This Row],[DATA DO CAIXA PREVISTA]]="",0,YEAR(TbRegistroSaídas[[#This Row],[DATA DO CAIXA PREVISTA]]))</f>
        <v>2019</v>
      </c>
      <c r="O19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1" spans="2:15" x14ac:dyDescent="0.25">
      <c r="B191" s="14">
        <v>43569.835590824536</v>
      </c>
      <c r="C191" s="14">
        <v>43526</v>
      </c>
      <c r="D191" s="14">
        <v>43569.835590824536</v>
      </c>
      <c r="E191" t="s">
        <v>47</v>
      </c>
      <c r="F191" t="s">
        <v>46</v>
      </c>
      <c r="G191" t="s">
        <v>469</v>
      </c>
      <c r="H191" s="17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COMPETENCIA]]="",0,MONTH(TbRegistroSaídas[[#This Row],[DATA DA COMPETENCIA]]))</f>
        <v>3</v>
      </c>
      <c r="L191">
        <f>IF(TbRegistroSaídas[[#This Row],[DATA DA COMPETENCIA]]="",0,YEAR(TbRegistroSaídas[[#This Row],[DATA DA COMPETENCIA]]))</f>
        <v>2019</v>
      </c>
      <c r="M191">
        <f>IF(TbRegistroSaídas[[#This Row],[DATA DO CAIXA PREVISTA]]="",0,MONTH(TbRegistroSaídas[[#This Row],[DATA DO CAIXA PREVISTA]]))</f>
        <v>4</v>
      </c>
      <c r="N191">
        <f>IF(TbRegistroSaídas[[#This Row],[DATA DO CAIXA PREVISTA]]="",0,YEAR(TbRegistroSaídas[[#This Row],[DATA DO CAIXA PREVISTA]]))</f>
        <v>2019</v>
      </c>
      <c r="O19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2" spans="2:15" x14ac:dyDescent="0.25">
      <c r="B192" s="14">
        <v>43567.757979105008</v>
      </c>
      <c r="C192" s="14">
        <v>43530</v>
      </c>
      <c r="D192" s="14">
        <v>43567.757979105008</v>
      </c>
      <c r="E192" t="s">
        <v>47</v>
      </c>
      <c r="F192" t="s">
        <v>46</v>
      </c>
      <c r="G192" t="s">
        <v>470</v>
      </c>
      <c r="H192" s="17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COMPETENCIA]]="",0,MONTH(TbRegistroSaídas[[#This Row],[DATA DA COMPETENCIA]]))</f>
        <v>3</v>
      </c>
      <c r="L192">
        <f>IF(TbRegistroSaídas[[#This Row],[DATA DA COMPETENCIA]]="",0,YEAR(TbRegistroSaídas[[#This Row],[DATA DA COMPETENCIA]]))</f>
        <v>2019</v>
      </c>
      <c r="M192">
        <f>IF(TbRegistroSaídas[[#This Row],[DATA DO CAIXA PREVISTA]]="",0,MONTH(TbRegistroSaídas[[#This Row],[DATA DO CAIXA PREVISTA]]))</f>
        <v>4</v>
      </c>
      <c r="N192">
        <f>IF(TbRegistroSaídas[[#This Row],[DATA DO CAIXA PREVISTA]]="",0,YEAR(TbRegistroSaídas[[#This Row],[DATA DO CAIXA PREVISTA]]))</f>
        <v>2019</v>
      </c>
      <c r="O19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3" spans="2:15" x14ac:dyDescent="0.25">
      <c r="B193" s="14">
        <v>43535.079288493936</v>
      </c>
      <c r="C193" s="14">
        <v>43532</v>
      </c>
      <c r="D193" s="14">
        <v>43535.079288493936</v>
      </c>
      <c r="E193" t="s">
        <v>47</v>
      </c>
      <c r="F193" t="s">
        <v>52</v>
      </c>
      <c r="G193" t="s">
        <v>471</v>
      </c>
      <c r="H193" s="17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COMPETENCIA]]="",0,MONTH(TbRegistroSaídas[[#This Row],[DATA DA COMPETENCIA]]))</f>
        <v>3</v>
      </c>
      <c r="L193">
        <f>IF(TbRegistroSaídas[[#This Row],[DATA DA COMPETENCIA]]="",0,YEAR(TbRegistroSaídas[[#This Row],[DATA DA COMPETENCIA]]))</f>
        <v>2019</v>
      </c>
      <c r="M193">
        <f>IF(TbRegistroSaídas[[#This Row],[DATA DO CAIXA PREVISTA]]="",0,MONTH(TbRegistroSaídas[[#This Row],[DATA DO CAIXA PREVISTA]]))</f>
        <v>3</v>
      </c>
      <c r="N193">
        <f>IF(TbRegistroSaídas[[#This Row],[DATA DO CAIXA PREVISTA]]="",0,YEAR(TbRegistroSaídas[[#This Row],[DATA DO CAIXA PREVISTA]]))</f>
        <v>2019</v>
      </c>
      <c r="O19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4" spans="2:15" x14ac:dyDescent="0.25">
      <c r="B194" s="14">
        <v>43572.596134843683</v>
      </c>
      <c r="C194" s="14">
        <v>43532</v>
      </c>
      <c r="D194" s="14">
        <v>43572.596134843683</v>
      </c>
      <c r="E194" t="s">
        <v>47</v>
      </c>
      <c r="F194" t="s">
        <v>52</v>
      </c>
      <c r="G194" t="s">
        <v>472</v>
      </c>
      <c r="H194" s="17">
        <v>3690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COMPETENCIA]]="",0,MONTH(TbRegistroSaídas[[#This Row],[DATA DA COMPETENCIA]]))</f>
        <v>3</v>
      </c>
      <c r="L194">
        <f>IF(TbRegistroSaídas[[#This Row],[DATA DA COMPETENCIA]]="",0,YEAR(TbRegistroSaídas[[#This Row],[DATA DA COMPETENCIA]]))</f>
        <v>2019</v>
      </c>
      <c r="M194">
        <f>IF(TbRegistroSaídas[[#This Row],[DATA DO CAIXA PREVISTA]]="",0,MONTH(TbRegistroSaídas[[#This Row],[DATA DO CAIXA PREVISTA]]))</f>
        <v>4</v>
      </c>
      <c r="N194">
        <f>IF(TbRegistroSaídas[[#This Row],[DATA DO CAIXA PREVISTA]]="",0,YEAR(TbRegistroSaídas[[#This Row],[DATA DO CAIXA PREVISTA]]))</f>
        <v>2019</v>
      </c>
      <c r="O19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5" spans="2:15" x14ac:dyDescent="0.25">
      <c r="B195" s="14">
        <v>43621.515266358365</v>
      </c>
      <c r="C195" s="14">
        <v>43534</v>
      </c>
      <c r="D195" s="14">
        <v>43570.539022448429</v>
      </c>
      <c r="E195" t="s">
        <v>47</v>
      </c>
      <c r="F195" t="s">
        <v>23</v>
      </c>
      <c r="G195" t="s">
        <v>473</v>
      </c>
      <c r="H195" s="17">
        <v>3746</v>
      </c>
      <c r="I195">
        <f>IF(TbRegistroSaídas[[#This Row],[DATA DO CAIXA REALIZADO]]="",0,MONTH(TbRegistroSaídas[[#This Row],[DATA DO CAIXA REALIZADO]]))</f>
        <v>6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COMPETENCIA]]="",0,MONTH(TbRegistroSaídas[[#This Row],[DATA DA COMPETENCIA]]))</f>
        <v>3</v>
      </c>
      <c r="L195">
        <f>IF(TbRegistroSaídas[[#This Row],[DATA DA COMPETENCIA]]="",0,YEAR(TbRegistroSaídas[[#This Row],[DATA DA COMPETENCIA]]))</f>
        <v>2019</v>
      </c>
      <c r="M195">
        <f>IF(TbRegistroSaídas[[#This Row],[DATA DO CAIXA PREVISTA]]="",0,MONTH(TbRegistroSaídas[[#This Row],[DATA DO CAIXA PREVISTA]]))</f>
        <v>4</v>
      </c>
      <c r="N195">
        <f>IF(TbRegistroSaídas[[#This Row],[DATA DO CAIXA PREVISTA]]="",0,YEAR(TbRegistroSaídas[[#This Row],[DATA DO CAIXA PREVISTA]]))</f>
        <v>2019</v>
      </c>
      <c r="O19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50.976243909935874</v>
      </c>
    </row>
    <row r="196" spans="2:15" x14ac:dyDescent="0.25">
      <c r="B196" s="14">
        <v>43571.740759038665</v>
      </c>
      <c r="C196" s="14">
        <v>43536</v>
      </c>
      <c r="D196" s="14">
        <v>43571.740759038665</v>
      </c>
      <c r="E196" t="s">
        <v>47</v>
      </c>
      <c r="F196" t="s">
        <v>46</v>
      </c>
      <c r="G196" t="s">
        <v>474</v>
      </c>
      <c r="H196" s="17">
        <v>4360</v>
      </c>
      <c r="I196">
        <f>IF(TbRegistroSaídas[[#This Row],[DATA DO CAIXA REALIZADO]]="",0,MONTH(TbRegistroSaídas[[#This Row],[DATA DO CAIXA REALIZADO]]))</f>
        <v>4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COMPETENCIA]]="",0,MONTH(TbRegistroSaídas[[#This Row],[DATA DA COMPETENCIA]]))</f>
        <v>3</v>
      </c>
      <c r="L196">
        <f>IF(TbRegistroSaídas[[#This Row],[DATA DA COMPETENCIA]]="",0,YEAR(TbRegistroSaídas[[#This Row],[DATA DA COMPETENCIA]]))</f>
        <v>2019</v>
      </c>
      <c r="M196">
        <f>IF(TbRegistroSaídas[[#This Row],[DATA DO CAIXA PREVISTA]]="",0,MONTH(TbRegistroSaídas[[#This Row],[DATA DO CAIXA PREVISTA]]))</f>
        <v>4</v>
      </c>
      <c r="N196">
        <f>IF(TbRegistroSaídas[[#This Row],[DATA DO CAIXA PREVISTA]]="",0,YEAR(TbRegistroSaídas[[#This Row],[DATA DO CAIXA PREVISTA]]))</f>
        <v>2019</v>
      </c>
      <c r="O19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7" spans="2:15" x14ac:dyDescent="0.25">
      <c r="B197" s="14" t="s">
        <v>68</v>
      </c>
      <c r="C197" s="14">
        <v>43537</v>
      </c>
      <c r="D197" s="14">
        <v>43576.376924808807</v>
      </c>
      <c r="E197" t="s">
        <v>47</v>
      </c>
      <c r="F197" t="s">
        <v>23</v>
      </c>
      <c r="G197" t="s">
        <v>475</v>
      </c>
      <c r="H197" s="17">
        <v>1753</v>
      </c>
      <c r="I197">
        <f>IF(TbRegistroSaídas[[#This Row],[DATA DO CAIXA REALIZADO]]="",0,MONTH(TbRegistroSaídas[[#This Row],[DATA DO CAIXA REALIZADO]]))</f>
        <v>0</v>
      </c>
      <c r="J197">
        <f>IF(TbRegistroSaídas[[#This Row],[DATA DO CAIXA REALIZADO]]="",0,YEAR(TbRegistroSaídas[[#This Row],[DATA DO CAIXA REALIZADO]]))</f>
        <v>0</v>
      </c>
      <c r="K197">
        <f>IF(TbRegistroSaídas[[#This Row],[DATA DA COMPETENCIA]]="",0,MONTH(TbRegistroSaídas[[#This Row],[DATA DA COMPETENCIA]]))</f>
        <v>3</v>
      </c>
      <c r="L197">
        <f>IF(TbRegistroSaídas[[#This Row],[DATA DA COMPETENCIA]]="",0,YEAR(TbRegistroSaídas[[#This Row],[DATA DA COMPETENCIA]]))</f>
        <v>2019</v>
      </c>
      <c r="M197">
        <f>IF(TbRegistroSaídas[[#This Row],[DATA DO CAIXA PREVISTA]]="",0,MONTH(TbRegistroSaídas[[#This Row],[DATA DO CAIXA PREVISTA]]))</f>
        <v>4</v>
      </c>
      <c r="N197">
        <f>IF(TbRegistroSaídas[[#This Row],[DATA DO CAIXA PREVISTA]]="",0,YEAR(TbRegistroSaídas[[#This Row],[DATA DO CAIXA PREVISTA]]))</f>
        <v>2019</v>
      </c>
      <c r="O197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198" spans="2:15" x14ac:dyDescent="0.25">
      <c r="B198" s="14">
        <v>43543.657350348039</v>
      </c>
      <c r="C198" s="14">
        <v>43540</v>
      </c>
      <c r="D198" s="14">
        <v>43543.657350348039</v>
      </c>
      <c r="E198" t="s">
        <v>47</v>
      </c>
      <c r="F198" t="s">
        <v>46</v>
      </c>
      <c r="G198" t="s">
        <v>476</v>
      </c>
      <c r="H198" s="17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COMPETENCIA]]="",0,MONTH(TbRegistroSaídas[[#This Row],[DATA DA COMPETENCIA]]))</f>
        <v>3</v>
      </c>
      <c r="L198">
        <f>IF(TbRegistroSaídas[[#This Row],[DATA DA COMPETENCIA]]="",0,YEAR(TbRegistroSaídas[[#This Row],[DATA DA COMPETENCIA]]))</f>
        <v>2019</v>
      </c>
      <c r="M198">
        <f>IF(TbRegistroSaídas[[#This Row],[DATA DO CAIXA PREVISTA]]="",0,MONTH(TbRegistroSaídas[[#This Row],[DATA DO CAIXA PREVISTA]]))</f>
        <v>3</v>
      </c>
      <c r="N198">
        <f>IF(TbRegistroSaídas[[#This Row],[DATA DO CAIXA PREVISTA]]="",0,YEAR(TbRegistroSaídas[[#This Row],[DATA DO CAIXA PREVISTA]]))</f>
        <v>2019</v>
      </c>
      <c r="O19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199" spans="2:15" x14ac:dyDescent="0.25">
      <c r="B199" s="14">
        <v>43566.33302641497</v>
      </c>
      <c r="C199" s="14">
        <v>43543</v>
      </c>
      <c r="D199" s="14">
        <v>43566.33302641497</v>
      </c>
      <c r="E199" t="s">
        <v>47</v>
      </c>
      <c r="F199" t="s">
        <v>23</v>
      </c>
      <c r="G199" t="s">
        <v>477</v>
      </c>
      <c r="H199" s="17">
        <v>3565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COMPETENCIA]]="",0,MONTH(TbRegistroSaídas[[#This Row],[DATA DA COMPETENCIA]]))</f>
        <v>3</v>
      </c>
      <c r="L199">
        <f>IF(TbRegistroSaídas[[#This Row],[DATA DA COMPETENCIA]]="",0,YEAR(TbRegistroSaídas[[#This Row],[DATA DA COMPETENCIA]]))</f>
        <v>2019</v>
      </c>
      <c r="M199">
        <f>IF(TbRegistroSaídas[[#This Row],[DATA DO CAIXA PREVISTA]]="",0,MONTH(TbRegistroSaídas[[#This Row],[DATA DO CAIXA PREVISTA]]))</f>
        <v>4</v>
      </c>
      <c r="N199">
        <f>IF(TbRegistroSaídas[[#This Row],[DATA DO CAIXA PREVISTA]]="",0,YEAR(TbRegistroSaídas[[#This Row],[DATA DO CAIXA PREVISTA]]))</f>
        <v>2019</v>
      </c>
      <c r="O19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0" spans="2:15" x14ac:dyDescent="0.25">
      <c r="B200" s="14">
        <v>43663.382687512385</v>
      </c>
      <c r="C200" s="14">
        <v>43546</v>
      </c>
      <c r="D200" s="14">
        <v>43586.481925868669</v>
      </c>
      <c r="E200" t="s">
        <v>47</v>
      </c>
      <c r="F200" t="s">
        <v>52</v>
      </c>
      <c r="G200" t="s">
        <v>478</v>
      </c>
      <c r="H200" s="17">
        <v>1961</v>
      </c>
      <c r="I200">
        <f>IF(TbRegistroSaídas[[#This Row],[DATA DO CAIXA REALIZADO]]="",0,MONTH(TbRegistroSaídas[[#This Row],[DATA DO CAIXA REALIZADO]]))</f>
        <v>7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COMPETENCIA]]="",0,MONTH(TbRegistroSaídas[[#This Row],[DATA DA COMPETENCIA]]))</f>
        <v>3</v>
      </c>
      <c r="L200">
        <f>IF(TbRegistroSaídas[[#This Row],[DATA DA COMPETENCIA]]="",0,YEAR(TbRegistroSaídas[[#This Row],[DATA DA COMPETENCIA]]))</f>
        <v>2019</v>
      </c>
      <c r="M200">
        <f>IF(TbRegistroSaídas[[#This Row],[DATA DO CAIXA PREVISTA]]="",0,MONTH(TbRegistroSaídas[[#This Row],[DATA DO CAIXA PREVISTA]]))</f>
        <v>5</v>
      </c>
      <c r="N200">
        <f>IF(TbRegistroSaídas[[#This Row],[DATA DO CAIXA PREVISTA]]="",0,YEAR(TbRegistroSaídas[[#This Row],[DATA DO CAIXA PREVISTA]]))</f>
        <v>2019</v>
      </c>
      <c r="O20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76.900761643715668</v>
      </c>
    </row>
    <row r="201" spans="2:15" x14ac:dyDescent="0.25">
      <c r="B201" s="14">
        <v>43570.097263655982</v>
      </c>
      <c r="C201" s="14">
        <v>43551</v>
      </c>
      <c r="D201" s="14">
        <v>43557.083579079888</v>
      </c>
      <c r="E201" t="s">
        <v>47</v>
      </c>
      <c r="F201" t="s">
        <v>38</v>
      </c>
      <c r="G201" t="s">
        <v>479</v>
      </c>
      <c r="H201" s="17">
        <v>4854</v>
      </c>
      <c r="I201">
        <f>IF(TbRegistroSaídas[[#This Row],[DATA DO CAIXA REALIZADO]]="",0,MONTH(TbRegistroSaídas[[#This Row],[DATA DO CAIXA REALIZADO]]))</f>
        <v>4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COMPETENCIA]]="",0,MONTH(TbRegistroSaídas[[#This Row],[DATA DA COMPETENCIA]]))</f>
        <v>3</v>
      </c>
      <c r="L201">
        <f>IF(TbRegistroSaídas[[#This Row],[DATA DA COMPETENCIA]]="",0,YEAR(TbRegistroSaídas[[#This Row],[DATA DA COMPETENCIA]]))</f>
        <v>2019</v>
      </c>
      <c r="M201">
        <f>IF(TbRegistroSaídas[[#This Row],[DATA DO CAIXA PREVISTA]]="",0,MONTH(TbRegistroSaídas[[#This Row],[DATA DO CAIXA PREVISTA]]))</f>
        <v>4</v>
      </c>
      <c r="N201">
        <f>IF(TbRegistroSaídas[[#This Row],[DATA DO CAIXA PREVISTA]]="",0,YEAR(TbRegistroSaídas[[#This Row],[DATA DO CAIXA PREVISTA]]))</f>
        <v>2019</v>
      </c>
      <c r="O20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13.01368457609351</v>
      </c>
    </row>
    <row r="202" spans="2:15" x14ac:dyDescent="0.25">
      <c r="B202" s="14">
        <v>43578.736317775256</v>
      </c>
      <c r="C202" s="14">
        <v>43557</v>
      </c>
      <c r="D202" s="14">
        <v>43578.736317775256</v>
      </c>
      <c r="E202" t="s">
        <v>47</v>
      </c>
      <c r="F202" t="s">
        <v>46</v>
      </c>
      <c r="G202" t="s">
        <v>480</v>
      </c>
      <c r="H202" s="17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COMPETENCIA]]="",0,MONTH(TbRegistroSaídas[[#This Row],[DATA DA COMPETENCIA]]))</f>
        <v>4</v>
      </c>
      <c r="L202">
        <f>IF(TbRegistroSaídas[[#This Row],[DATA DA COMPETENCIA]]="",0,YEAR(TbRegistroSaídas[[#This Row],[DATA DA COMPETENCIA]]))</f>
        <v>2019</v>
      </c>
      <c r="M202">
        <f>IF(TbRegistroSaídas[[#This Row],[DATA DO CAIXA PREVISTA]]="",0,MONTH(TbRegistroSaídas[[#This Row],[DATA DO CAIXA PREVISTA]]))</f>
        <v>4</v>
      </c>
      <c r="N202">
        <f>IF(TbRegistroSaídas[[#This Row],[DATA DO CAIXA PREVISTA]]="",0,YEAR(TbRegistroSaídas[[#This Row],[DATA DO CAIXA PREVISTA]]))</f>
        <v>2019</v>
      </c>
      <c r="O20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3" spans="2:15" x14ac:dyDescent="0.25">
      <c r="B203" s="14">
        <v>43575.110312084966</v>
      </c>
      <c r="C203" s="14">
        <v>43558</v>
      </c>
      <c r="D203" s="14">
        <v>43560.81847105785</v>
      </c>
      <c r="E203" t="s">
        <v>47</v>
      </c>
      <c r="F203" t="s">
        <v>52</v>
      </c>
      <c r="G203" t="s">
        <v>481</v>
      </c>
      <c r="H203" s="17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COMPETENCIA]]="",0,MONTH(TbRegistroSaídas[[#This Row],[DATA DA COMPETENCIA]]))</f>
        <v>4</v>
      </c>
      <c r="L203">
        <f>IF(TbRegistroSaídas[[#This Row],[DATA DA COMPETENCIA]]="",0,YEAR(TbRegistroSaídas[[#This Row],[DATA DA COMPETENCIA]]))</f>
        <v>2019</v>
      </c>
      <c r="M203">
        <f>IF(TbRegistroSaídas[[#This Row],[DATA DO CAIXA PREVISTA]]="",0,MONTH(TbRegistroSaídas[[#This Row],[DATA DO CAIXA PREVISTA]]))</f>
        <v>4</v>
      </c>
      <c r="N203">
        <f>IF(TbRegistroSaídas[[#This Row],[DATA DO CAIXA PREVISTA]]="",0,YEAR(TbRegistroSaídas[[#This Row],[DATA DO CAIXA PREVISTA]]))</f>
        <v>2019</v>
      </c>
      <c r="O20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14.291841027115879</v>
      </c>
    </row>
    <row r="204" spans="2:15" x14ac:dyDescent="0.25">
      <c r="B204" s="14">
        <v>43605.865431208142</v>
      </c>
      <c r="C204" s="14">
        <v>43561</v>
      </c>
      <c r="D204" s="14">
        <v>43605.865431208142</v>
      </c>
      <c r="E204" t="s">
        <v>47</v>
      </c>
      <c r="F204" t="s">
        <v>38</v>
      </c>
      <c r="G204" t="s">
        <v>482</v>
      </c>
      <c r="H204" s="17">
        <v>2707</v>
      </c>
      <c r="I204">
        <f>IF(TbRegistroSaídas[[#This Row],[DATA DO CAIXA REALIZADO]]="",0,MONTH(TbRegistroSaídas[[#This Row],[DATA DO CAIXA REALIZADO]]))</f>
        <v>5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COMPETENCIA]]="",0,MONTH(TbRegistroSaídas[[#This Row],[DATA DA COMPETENCIA]]))</f>
        <v>4</v>
      </c>
      <c r="L204">
        <f>IF(TbRegistroSaídas[[#This Row],[DATA DA COMPETENCIA]]="",0,YEAR(TbRegistroSaídas[[#This Row],[DATA DA COMPETENCIA]]))</f>
        <v>2019</v>
      </c>
      <c r="M204">
        <f>IF(TbRegistroSaídas[[#This Row],[DATA DO CAIXA PREVISTA]]="",0,MONTH(TbRegistroSaídas[[#This Row],[DATA DO CAIXA PREVISTA]]))</f>
        <v>5</v>
      </c>
      <c r="N204">
        <f>IF(TbRegistroSaídas[[#This Row],[DATA DO CAIXA PREVISTA]]="",0,YEAR(TbRegistroSaídas[[#This Row],[DATA DO CAIXA PREVISTA]]))</f>
        <v>2019</v>
      </c>
      <c r="O20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5" spans="2:15" x14ac:dyDescent="0.25">
      <c r="B205" s="14">
        <v>43603.683759744941</v>
      </c>
      <c r="C205" s="14">
        <v>43563</v>
      </c>
      <c r="D205" s="14">
        <v>43603.683759744941</v>
      </c>
      <c r="E205" t="s">
        <v>47</v>
      </c>
      <c r="F205" t="s">
        <v>52</v>
      </c>
      <c r="G205" t="s">
        <v>483</v>
      </c>
      <c r="H205" s="17">
        <v>1582</v>
      </c>
      <c r="I205">
        <f>IF(TbRegistroSaídas[[#This Row],[DATA DO CAIXA REALIZADO]]="",0,MONTH(TbRegistroSaídas[[#This Row],[DATA DO CAIXA REALIZADO]]))</f>
        <v>5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COMPETENCIA]]="",0,MONTH(TbRegistroSaídas[[#This Row],[DATA DA COMPETENCIA]]))</f>
        <v>4</v>
      </c>
      <c r="L205">
        <f>IF(TbRegistroSaídas[[#This Row],[DATA DA COMPETENCIA]]="",0,YEAR(TbRegistroSaídas[[#This Row],[DATA DA COMPETENCIA]]))</f>
        <v>2019</v>
      </c>
      <c r="M205">
        <f>IF(TbRegistroSaídas[[#This Row],[DATA DO CAIXA PREVISTA]]="",0,MONTH(TbRegistroSaídas[[#This Row],[DATA DO CAIXA PREVISTA]]))</f>
        <v>5</v>
      </c>
      <c r="N205">
        <f>IF(TbRegistroSaídas[[#This Row],[DATA DO CAIXA PREVISTA]]="",0,YEAR(TbRegistroSaídas[[#This Row],[DATA DO CAIXA PREVISTA]]))</f>
        <v>2019</v>
      </c>
      <c r="O20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6" spans="2:15" x14ac:dyDescent="0.25">
      <c r="B206" s="14">
        <v>43599.508668008042</v>
      </c>
      <c r="C206" s="14">
        <v>43565</v>
      </c>
      <c r="D206" s="14">
        <v>43599.508668008042</v>
      </c>
      <c r="E206" t="s">
        <v>47</v>
      </c>
      <c r="F206" t="s">
        <v>52</v>
      </c>
      <c r="G206" t="s">
        <v>484</v>
      </c>
      <c r="H206" s="17">
        <v>3889</v>
      </c>
      <c r="I206">
        <f>IF(TbRegistroSaídas[[#This Row],[DATA DO CAIXA REALIZADO]]="",0,MONTH(TbRegistroSaídas[[#This Row],[DATA DO CAIXA REALIZADO]]))</f>
        <v>5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COMPETENCIA]]="",0,MONTH(TbRegistroSaídas[[#This Row],[DATA DA COMPETENCIA]]))</f>
        <v>4</v>
      </c>
      <c r="L206">
        <f>IF(TbRegistroSaídas[[#This Row],[DATA DA COMPETENCIA]]="",0,YEAR(TbRegistroSaídas[[#This Row],[DATA DA COMPETENCIA]]))</f>
        <v>2019</v>
      </c>
      <c r="M206">
        <f>IF(TbRegistroSaídas[[#This Row],[DATA DO CAIXA PREVISTA]]="",0,MONTH(TbRegistroSaídas[[#This Row],[DATA DO CAIXA PREVISTA]]))</f>
        <v>5</v>
      </c>
      <c r="N206">
        <f>IF(TbRegistroSaídas[[#This Row],[DATA DO CAIXA PREVISTA]]="",0,YEAR(TbRegistroSaídas[[#This Row],[DATA DO CAIXA PREVISTA]]))</f>
        <v>2019</v>
      </c>
      <c r="O20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7" spans="2:15" x14ac:dyDescent="0.25">
      <c r="B207" s="14">
        <v>43584.569223583399</v>
      </c>
      <c r="C207" s="14">
        <v>43569</v>
      </c>
      <c r="D207" s="14">
        <v>43584.569223583399</v>
      </c>
      <c r="E207" t="s">
        <v>47</v>
      </c>
      <c r="F207" t="s">
        <v>52</v>
      </c>
      <c r="G207" t="s">
        <v>485</v>
      </c>
      <c r="H207" s="17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COMPETENCIA]]="",0,MONTH(TbRegistroSaídas[[#This Row],[DATA DA COMPETENCIA]]))</f>
        <v>4</v>
      </c>
      <c r="L207">
        <f>IF(TbRegistroSaídas[[#This Row],[DATA DA COMPETENCIA]]="",0,YEAR(TbRegistroSaídas[[#This Row],[DATA DA COMPETENCIA]]))</f>
        <v>2019</v>
      </c>
      <c r="M207">
        <f>IF(TbRegistroSaídas[[#This Row],[DATA DO CAIXA PREVISTA]]="",0,MONTH(TbRegistroSaídas[[#This Row],[DATA DO CAIXA PREVISTA]]))</f>
        <v>4</v>
      </c>
      <c r="N207">
        <f>IF(TbRegistroSaídas[[#This Row],[DATA DO CAIXA PREVISTA]]="",0,YEAR(TbRegistroSaídas[[#This Row],[DATA DO CAIXA PREVISTA]]))</f>
        <v>2019</v>
      </c>
      <c r="O20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8" spans="2:15" x14ac:dyDescent="0.25">
      <c r="B208" s="14">
        <v>43604.655561438565</v>
      </c>
      <c r="C208" s="14">
        <v>43572</v>
      </c>
      <c r="D208" s="14">
        <v>43604.655561438565</v>
      </c>
      <c r="E208" t="s">
        <v>47</v>
      </c>
      <c r="F208" t="s">
        <v>37</v>
      </c>
      <c r="G208" t="s">
        <v>486</v>
      </c>
      <c r="H208" s="17">
        <v>802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COMPETENCIA]]="",0,MONTH(TbRegistroSaídas[[#This Row],[DATA DA COMPETENCIA]]))</f>
        <v>4</v>
      </c>
      <c r="L208">
        <f>IF(TbRegistroSaídas[[#This Row],[DATA DA COMPETENCIA]]="",0,YEAR(TbRegistroSaídas[[#This Row],[DATA DA COMPETENCIA]]))</f>
        <v>2019</v>
      </c>
      <c r="M208">
        <f>IF(TbRegistroSaídas[[#This Row],[DATA DO CAIXA PREVISTA]]="",0,MONTH(TbRegistroSaídas[[#This Row],[DATA DO CAIXA PREVISTA]]))</f>
        <v>5</v>
      </c>
      <c r="N208">
        <f>IF(TbRegistroSaídas[[#This Row],[DATA DO CAIXA PREVISTA]]="",0,YEAR(TbRegistroSaídas[[#This Row],[DATA DO CAIXA PREVISTA]]))</f>
        <v>2019</v>
      </c>
      <c r="O20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09" spans="2:15" x14ac:dyDescent="0.25">
      <c r="B209" s="14">
        <v>43589.233184767916</v>
      </c>
      <c r="C209" s="14">
        <v>43574</v>
      </c>
      <c r="D209" s="14">
        <v>43589.233184767916</v>
      </c>
      <c r="E209" t="s">
        <v>47</v>
      </c>
      <c r="F209" t="s">
        <v>52</v>
      </c>
      <c r="G209" t="s">
        <v>487</v>
      </c>
      <c r="H209" s="17">
        <v>4513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COMPETENCIA]]="",0,MONTH(TbRegistroSaídas[[#This Row],[DATA DA COMPETENCIA]]))</f>
        <v>4</v>
      </c>
      <c r="L209">
        <f>IF(TbRegistroSaídas[[#This Row],[DATA DA COMPETENCIA]]="",0,YEAR(TbRegistroSaídas[[#This Row],[DATA DA COMPETENCIA]]))</f>
        <v>2019</v>
      </c>
      <c r="M209">
        <f>IF(TbRegistroSaídas[[#This Row],[DATA DO CAIXA PREVISTA]]="",0,MONTH(TbRegistroSaídas[[#This Row],[DATA DO CAIXA PREVISTA]]))</f>
        <v>5</v>
      </c>
      <c r="N209">
        <f>IF(TbRegistroSaídas[[#This Row],[DATA DO CAIXA PREVISTA]]="",0,YEAR(TbRegistroSaídas[[#This Row],[DATA DO CAIXA PREVISTA]]))</f>
        <v>2019</v>
      </c>
      <c r="O20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0" spans="2:15" x14ac:dyDescent="0.25">
      <c r="B210" s="14">
        <v>43586.8659361682</v>
      </c>
      <c r="C210" s="14">
        <v>43576</v>
      </c>
      <c r="D210" s="14">
        <v>43586.8659361682</v>
      </c>
      <c r="E210" t="s">
        <v>47</v>
      </c>
      <c r="F210" t="s">
        <v>52</v>
      </c>
      <c r="G210" t="s">
        <v>488</v>
      </c>
      <c r="H210" s="17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COMPETENCIA]]="",0,MONTH(TbRegistroSaídas[[#This Row],[DATA DA COMPETENCIA]]))</f>
        <v>4</v>
      </c>
      <c r="L210">
        <f>IF(TbRegistroSaídas[[#This Row],[DATA DA COMPETENCIA]]="",0,YEAR(TbRegistroSaídas[[#This Row],[DATA DA COMPETENCIA]]))</f>
        <v>2019</v>
      </c>
      <c r="M210">
        <f>IF(TbRegistroSaídas[[#This Row],[DATA DO CAIXA PREVISTA]]="",0,MONTH(TbRegistroSaídas[[#This Row],[DATA DO CAIXA PREVISTA]]))</f>
        <v>5</v>
      </c>
      <c r="N210">
        <f>IF(TbRegistroSaídas[[#This Row],[DATA DO CAIXA PREVISTA]]="",0,YEAR(TbRegistroSaídas[[#This Row],[DATA DO CAIXA PREVISTA]]))</f>
        <v>2019</v>
      </c>
      <c r="O21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1" spans="2:15" x14ac:dyDescent="0.25">
      <c r="B211" s="14">
        <v>43641.890700157783</v>
      </c>
      <c r="C211" s="14">
        <v>43580</v>
      </c>
      <c r="D211" s="14">
        <v>43635.027119606828</v>
      </c>
      <c r="E211" t="s">
        <v>47</v>
      </c>
      <c r="F211" t="s">
        <v>52</v>
      </c>
      <c r="G211" t="s">
        <v>489</v>
      </c>
      <c r="H211" s="17">
        <v>156</v>
      </c>
      <c r="I211">
        <f>IF(TbRegistroSaídas[[#This Row],[DATA DO CAIXA REALIZADO]]="",0,MONTH(TbRegistroSaídas[[#This Row],[DATA DO CAIXA REALIZADO]]))</f>
        <v>6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COMPETENCIA]]="",0,MONTH(TbRegistroSaídas[[#This Row],[DATA DA COMPETENCIA]]))</f>
        <v>4</v>
      </c>
      <c r="L211">
        <f>IF(TbRegistroSaídas[[#This Row],[DATA DA COMPETENCIA]]="",0,YEAR(TbRegistroSaídas[[#This Row],[DATA DA COMPETENCIA]]))</f>
        <v>2019</v>
      </c>
      <c r="M211">
        <f>IF(TbRegistroSaídas[[#This Row],[DATA DO CAIXA PREVISTA]]="",0,MONTH(TbRegistroSaídas[[#This Row],[DATA DO CAIXA PREVISTA]]))</f>
        <v>6</v>
      </c>
      <c r="N211">
        <f>IF(TbRegistroSaídas[[#This Row],[DATA DO CAIXA PREVISTA]]="",0,YEAR(TbRegistroSaídas[[#This Row],[DATA DO CAIXA PREVISTA]]))</f>
        <v>2019</v>
      </c>
      <c r="O21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6.8635805509547936</v>
      </c>
    </row>
    <row r="212" spans="2:15" x14ac:dyDescent="0.25">
      <c r="B212" s="14">
        <v>43622.113483825102</v>
      </c>
      <c r="C212" s="14">
        <v>43582</v>
      </c>
      <c r="D212" s="14">
        <v>43622.113483825102</v>
      </c>
      <c r="E212" t="s">
        <v>47</v>
      </c>
      <c r="F212" t="s">
        <v>37</v>
      </c>
      <c r="G212" t="s">
        <v>490</v>
      </c>
      <c r="H212" s="17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COMPETENCIA]]="",0,MONTH(TbRegistroSaídas[[#This Row],[DATA DA COMPETENCIA]]))</f>
        <v>4</v>
      </c>
      <c r="L212">
        <f>IF(TbRegistroSaídas[[#This Row],[DATA DA COMPETENCIA]]="",0,YEAR(TbRegistroSaídas[[#This Row],[DATA DA COMPETENCIA]]))</f>
        <v>2019</v>
      </c>
      <c r="M212">
        <f>IF(TbRegistroSaídas[[#This Row],[DATA DO CAIXA PREVISTA]]="",0,MONTH(TbRegistroSaídas[[#This Row],[DATA DO CAIXA PREVISTA]]))</f>
        <v>6</v>
      </c>
      <c r="N212">
        <f>IF(TbRegistroSaídas[[#This Row],[DATA DO CAIXA PREVISTA]]="",0,YEAR(TbRegistroSaídas[[#This Row],[DATA DO CAIXA PREVISTA]]))</f>
        <v>2019</v>
      </c>
      <c r="O21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3" spans="2:15" x14ac:dyDescent="0.25">
      <c r="B213" s="14">
        <v>43624.026611669258</v>
      </c>
      <c r="C213" s="14">
        <v>43588</v>
      </c>
      <c r="D213" s="14">
        <v>43624.026611669258</v>
      </c>
      <c r="E213" t="s">
        <v>47</v>
      </c>
      <c r="F213" t="s">
        <v>52</v>
      </c>
      <c r="G213" t="s">
        <v>491</v>
      </c>
      <c r="H213" s="17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COMPETENCIA]]="",0,MONTH(TbRegistroSaídas[[#This Row],[DATA DA COMPETENCIA]]))</f>
        <v>5</v>
      </c>
      <c r="L213">
        <f>IF(TbRegistroSaídas[[#This Row],[DATA DA COMPETENCIA]]="",0,YEAR(TbRegistroSaídas[[#This Row],[DATA DA COMPETENCIA]]))</f>
        <v>2019</v>
      </c>
      <c r="M213">
        <f>IF(TbRegistroSaídas[[#This Row],[DATA DO CAIXA PREVISTA]]="",0,MONTH(TbRegistroSaídas[[#This Row],[DATA DO CAIXA PREVISTA]]))</f>
        <v>6</v>
      </c>
      <c r="N213">
        <f>IF(TbRegistroSaídas[[#This Row],[DATA DO CAIXA PREVISTA]]="",0,YEAR(TbRegistroSaídas[[#This Row],[DATA DO CAIXA PREVISTA]]))</f>
        <v>2019</v>
      </c>
      <c r="O21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4" spans="2:15" x14ac:dyDescent="0.25">
      <c r="B214" s="14">
        <v>43595.700139752473</v>
      </c>
      <c r="C214" s="14">
        <v>43590</v>
      </c>
      <c r="D214" s="14">
        <v>43595.700139752473</v>
      </c>
      <c r="E214" t="s">
        <v>47</v>
      </c>
      <c r="F214" t="s">
        <v>52</v>
      </c>
      <c r="G214" t="s">
        <v>492</v>
      </c>
      <c r="H214" s="17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COMPETENCIA]]="",0,MONTH(TbRegistroSaídas[[#This Row],[DATA DA COMPETENCIA]]))</f>
        <v>5</v>
      </c>
      <c r="L214">
        <f>IF(TbRegistroSaídas[[#This Row],[DATA DA COMPETENCIA]]="",0,YEAR(TbRegistroSaídas[[#This Row],[DATA DA COMPETENCIA]]))</f>
        <v>2019</v>
      </c>
      <c r="M214">
        <f>IF(TbRegistroSaídas[[#This Row],[DATA DO CAIXA PREVISTA]]="",0,MONTH(TbRegistroSaídas[[#This Row],[DATA DO CAIXA PREVISTA]]))</f>
        <v>5</v>
      </c>
      <c r="N214">
        <f>IF(TbRegistroSaídas[[#This Row],[DATA DO CAIXA PREVISTA]]="",0,YEAR(TbRegistroSaídas[[#This Row],[DATA DO CAIXA PREVISTA]]))</f>
        <v>2019</v>
      </c>
      <c r="O21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5" spans="2:15" x14ac:dyDescent="0.25">
      <c r="B215" s="14">
        <v>43613.712962366597</v>
      </c>
      <c r="C215" s="14">
        <v>43591</v>
      </c>
      <c r="D215" s="14">
        <v>43613.712962366597</v>
      </c>
      <c r="E215" t="s">
        <v>47</v>
      </c>
      <c r="F215" t="s">
        <v>37</v>
      </c>
      <c r="G215" t="s">
        <v>493</v>
      </c>
      <c r="H215" s="17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COMPETENCIA]]="",0,MONTH(TbRegistroSaídas[[#This Row],[DATA DA COMPETENCIA]]))</f>
        <v>5</v>
      </c>
      <c r="L215">
        <f>IF(TbRegistroSaídas[[#This Row],[DATA DA COMPETENCIA]]="",0,YEAR(TbRegistroSaídas[[#This Row],[DATA DA COMPETENCIA]]))</f>
        <v>2019</v>
      </c>
      <c r="M215">
        <f>IF(TbRegistroSaídas[[#This Row],[DATA DO CAIXA PREVISTA]]="",0,MONTH(TbRegistroSaídas[[#This Row],[DATA DO CAIXA PREVISTA]]))</f>
        <v>5</v>
      </c>
      <c r="N215">
        <f>IF(TbRegistroSaídas[[#This Row],[DATA DO CAIXA PREVISTA]]="",0,YEAR(TbRegistroSaídas[[#This Row],[DATA DO CAIXA PREVISTA]]))</f>
        <v>2019</v>
      </c>
      <c r="O21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6" spans="2:15" x14ac:dyDescent="0.25">
      <c r="B216" s="14">
        <v>43623.498752151929</v>
      </c>
      <c r="C216" s="14">
        <v>43592</v>
      </c>
      <c r="D216" s="14">
        <v>43623.498752151929</v>
      </c>
      <c r="E216" t="s">
        <v>47</v>
      </c>
      <c r="F216" t="s">
        <v>37</v>
      </c>
      <c r="G216" t="s">
        <v>494</v>
      </c>
      <c r="H216" s="17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COMPETENCIA]]="",0,MONTH(TbRegistroSaídas[[#This Row],[DATA DA COMPETENCIA]]))</f>
        <v>5</v>
      </c>
      <c r="L216">
        <f>IF(TbRegistroSaídas[[#This Row],[DATA DA COMPETENCIA]]="",0,YEAR(TbRegistroSaídas[[#This Row],[DATA DA COMPETENCIA]]))</f>
        <v>2019</v>
      </c>
      <c r="M216">
        <f>IF(TbRegistroSaídas[[#This Row],[DATA DO CAIXA PREVISTA]]="",0,MONTH(TbRegistroSaídas[[#This Row],[DATA DO CAIXA PREVISTA]]))</f>
        <v>6</v>
      </c>
      <c r="N216">
        <f>IF(TbRegistroSaídas[[#This Row],[DATA DO CAIXA PREVISTA]]="",0,YEAR(TbRegistroSaídas[[#This Row],[DATA DO CAIXA PREVISTA]]))</f>
        <v>2019</v>
      </c>
      <c r="O21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7" spans="2:15" x14ac:dyDescent="0.25">
      <c r="B217" s="14">
        <v>43732.354485773343</v>
      </c>
      <c r="C217" s="14">
        <v>43594</v>
      </c>
      <c r="D217" s="14">
        <v>43645.188079108193</v>
      </c>
      <c r="E217" t="s">
        <v>47</v>
      </c>
      <c r="F217" t="s">
        <v>37</v>
      </c>
      <c r="G217" t="s">
        <v>495</v>
      </c>
      <c r="H217" s="17">
        <v>1700</v>
      </c>
      <c r="I217">
        <f>IF(TbRegistroSaídas[[#This Row],[DATA DO CAIXA REALIZADO]]="",0,MONTH(TbRegistroSaídas[[#This Row],[DATA DO CAIXA REALIZADO]]))</f>
        <v>9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COMPETENCIA]]="",0,MONTH(TbRegistroSaídas[[#This Row],[DATA DA COMPETENCIA]]))</f>
        <v>5</v>
      </c>
      <c r="L217">
        <f>IF(TbRegistroSaídas[[#This Row],[DATA DA COMPETENCIA]]="",0,YEAR(TbRegistroSaídas[[#This Row],[DATA DA COMPETENCIA]]))</f>
        <v>2019</v>
      </c>
      <c r="M217">
        <f>IF(TbRegistroSaídas[[#This Row],[DATA DO CAIXA PREVISTA]]="",0,MONTH(TbRegistroSaídas[[#This Row],[DATA DO CAIXA PREVISTA]]))</f>
        <v>6</v>
      </c>
      <c r="N217">
        <f>IF(TbRegistroSaídas[[#This Row],[DATA DO CAIXA PREVISTA]]="",0,YEAR(TbRegistroSaídas[[#This Row],[DATA DO CAIXA PREVISTA]]))</f>
        <v>2019</v>
      </c>
      <c r="O217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87.166406665150134</v>
      </c>
    </row>
    <row r="218" spans="2:15" x14ac:dyDescent="0.25">
      <c r="B218" s="14">
        <v>43614.76373708652</v>
      </c>
      <c r="C218" s="14">
        <v>43595</v>
      </c>
      <c r="D218" s="14">
        <v>43614.76373708652</v>
      </c>
      <c r="E218" t="s">
        <v>47</v>
      </c>
      <c r="F218" t="s">
        <v>37</v>
      </c>
      <c r="G218" t="s">
        <v>496</v>
      </c>
      <c r="H218" s="17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COMPETENCIA]]="",0,MONTH(TbRegistroSaídas[[#This Row],[DATA DA COMPETENCIA]]))</f>
        <v>5</v>
      </c>
      <c r="L218">
        <f>IF(TbRegistroSaídas[[#This Row],[DATA DA COMPETENCIA]]="",0,YEAR(TbRegistroSaídas[[#This Row],[DATA DA COMPETENCIA]]))</f>
        <v>2019</v>
      </c>
      <c r="M218">
        <f>IF(TbRegistroSaídas[[#This Row],[DATA DO CAIXA PREVISTA]]="",0,MONTH(TbRegistroSaídas[[#This Row],[DATA DO CAIXA PREVISTA]]))</f>
        <v>5</v>
      </c>
      <c r="N218">
        <f>IF(TbRegistroSaídas[[#This Row],[DATA DO CAIXA PREVISTA]]="",0,YEAR(TbRegistroSaídas[[#This Row],[DATA DO CAIXA PREVISTA]]))</f>
        <v>2019</v>
      </c>
      <c r="O21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19" spans="2:15" x14ac:dyDescent="0.25">
      <c r="B219" s="14">
        <v>43602.13448735002</v>
      </c>
      <c r="C219" s="14">
        <v>43598</v>
      </c>
      <c r="D219" s="14">
        <v>43602.13448735002</v>
      </c>
      <c r="E219" t="s">
        <v>47</v>
      </c>
      <c r="F219" t="s">
        <v>23</v>
      </c>
      <c r="G219" t="s">
        <v>497</v>
      </c>
      <c r="H219" s="17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COMPETENCIA]]="",0,MONTH(TbRegistroSaídas[[#This Row],[DATA DA COMPETENCIA]]))</f>
        <v>5</v>
      </c>
      <c r="L219">
        <f>IF(TbRegistroSaídas[[#This Row],[DATA DA COMPETENCIA]]="",0,YEAR(TbRegistroSaídas[[#This Row],[DATA DA COMPETENCIA]]))</f>
        <v>2019</v>
      </c>
      <c r="M219">
        <f>IF(TbRegistroSaídas[[#This Row],[DATA DO CAIXA PREVISTA]]="",0,MONTH(TbRegistroSaídas[[#This Row],[DATA DO CAIXA PREVISTA]]))</f>
        <v>5</v>
      </c>
      <c r="N219">
        <f>IF(TbRegistroSaídas[[#This Row],[DATA DO CAIXA PREVISTA]]="",0,YEAR(TbRegistroSaídas[[#This Row],[DATA DO CAIXA PREVISTA]]))</f>
        <v>2019</v>
      </c>
      <c r="O219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20" spans="2:15" x14ac:dyDescent="0.25">
      <c r="B220" s="14">
        <v>43618.94333879678</v>
      </c>
      <c r="C220" s="14">
        <v>43601</v>
      </c>
      <c r="D220" s="14">
        <v>43618.94333879678</v>
      </c>
      <c r="E220" t="s">
        <v>47</v>
      </c>
      <c r="F220" t="s">
        <v>52</v>
      </c>
      <c r="G220" t="s">
        <v>498</v>
      </c>
      <c r="H220" s="17">
        <v>4030</v>
      </c>
      <c r="I220">
        <f>IF(TbRegistroSaídas[[#This Row],[DATA DO CAIXA REALIZADO]]="",0,MONTH(TbRegistroSaídas[[#This Row],[DATA DO CAIXA REALIZADO]]))</f>
        <v>6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COMPETENCIA]]="",0,MONTH(TbRegistroSaídas[[#This Row],[DATA DA COMPETENCIA]]))</f>
        <v>5</v>
      </c>
      <c r="L220">
        <f>IF(TbRegistroSaídas[[#This Row],[DATA DA COMPETENCIA]]="",0,YEAR(TbRegistroSaídas[[#This Row],[DATA DA COMPETENCIA]]))</f>
        <v>2019</v>
      </c>
      <c r="M220">
        <f>IF(TbRegistroSaídas[[#This Row],[DATA DO CAIXA PREVISTA]]="",0,MONTH(TbRegistroSaídas[[#This Row],[DATA DO CAIXA PREVISTA]]))</f>
        <v>6</v>
      </c>
      <c r="N220">
        <f>IF(TbRegistroSaídas[[#This Row],[DATA DO CAIXA PREVISTA]]="",0,YEAR(TbRegistroSaídas[[#This Row],[DATA DO CAIXA PREVISTA]]))</f>
        <v>2019</v>
      </c>
      <c r="O22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21" spans="2:15" x14ac:dyDescent="0.25">
      <c r="B221" s="14">
        <v>43703.895777057623</v>
      </c>
      <c r="C221" s="14">
        <v>43604</v>
      </c>
      <c r="D221" s="14">
        <v>43615.96984606648</v>
      </c>
      <c r="E221" t="s">
        <v>47</v>
      </c>
      <c r="F221" t="s">
        <v>23</v>
      </c>
      <c r="G221" t="s">
        <v>499</v>
      </c>
      <c r="H221" s="17">
        <v>1367</v>
      </c>
      <c r="I221">
        <f>IF(TbRegistroSaídas[[#This Row],[DATA DO CAIXA REALIZADO]]="",0,MONTH(TbRegistroSaídas[[#This Row],[DATA DO CAIXA REALIZADO]]))</f>
        <v>8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COMPETENCIA]]="",0,MONTH(TbRegistroSaídas[[#This Row],[DATA DA COMPETENCIA]]))</f>
        <v>5</v>
      </c>
      <c r="L221">
        <f>IF(TbRegistroSaídas[[#This Row],[DATA DA COMPETENCIA]]="",0,YEAR(TbRegistroSaídas[[#This Row],[DATA DA COMPETENCIA]]))</f>
        <v>2019</v>
      </c>
      <c r="M221">
        <f>IF(TbRegistroSaídas[[#This Row],[DATA DO CAIXA PREVISTA]]="",0,MONTH(TbRegistroSaídas[[#This Row],[DATA DO CAIXA PREVISTA]]))</f>
        <v>5</v>
      </c>
      <c r="N221">
        <f>IF(TbRegistroSaídas[[#This Row],[DATA DO CAIXA PREVISTA]]="",0,YEAR(TbRegistroSaídas[[#This Row],[DATA DO CAIXA PREVISTA]]))</f>
        <v>2019</v>
      </c>
      <c r="O22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87.925930991143105</v>
      </c>
    </row>
    <row r="222" spans="2:15" x14ac:dyDescent="0.25">
      <c r="B222" s="14">
        <v>43626.228578403905</v>
      </c>
      <c r="C222" s="14">
        <v>43607</v>
      </c>
      <c r="D222" s="14">
        <v>43626.228578403905</v>
      </c>
      <c r="E222" t="s">
        <v>47</v>
      </c>
      <c r="F222" t="s">
        <v>52</v>
      </c>
      <c r="G222" t="s">
        <v>500</v>
      </c>
      <c r="H222" s="17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COMPETENCIA]]="",0,MONTH(TbRegistroSaídas[[#This Row],[DATA DA COMPETENCIA]]))</f>
        <v>5</v>
      </c>
      <c r="L222">
        <f>IF(TbRegistroSaídas[[#This Row],[DATA DA COMPETENCIA]]="",0,YEAR(TbRegistroSaídas[[#This Row],[DATA DA COMPETENCIA]]))</f>
        <v>2019</v>
      </c>
      <c r="M222">
        <f>IF(TbRegistroSaídas[[#This Row],[DATA DO CAIXA PREVISTA]]="",0,MONTH(TbRegistroSaídas[[#This Row],[DATA DO CAIXA PREVISTA]]))</f>
        <v>6</v>
      </c>
      <c r="N222">
        <f>IF(TbRegistroSaídas[[#This Row],[DATA DO CAIXA PREVISTA]]="",0,YEAR(TbRegistroSaídas[[#This Row],[DATA DO CAIXA PREVISTA]]))</f>
        <v>2019</v>
      </c>
      <c r="O22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23" spans="2:15" x14ac:dyDescent="0.25">
      <c r="B223" s="14">
        <v>43643.772479924686</v>
      </c>
      <c r="C223" s="14">
        <v>43610</v>
      </c>
      <c r="D223" s="14">
        <v>43641.740590364629</v>
      </c>
      <c r="E223" t="s">
        <v>47</v>
      </c>
      <c r="F223" t="s">
        <v>46</v>
      </c>
      <c r="G223" t="s">
        <v>501</v>
      </c>
      <c r="H223" s="17">
        <v>4518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COMPETENCIA]]="",0,MONTH(TbRegistroSaídas[[#This Row],[DATA DA COMPETENCIA]]))</f>
        <v>5</v>
      </c>
      <c r="L223">
        <f>IF(TbRegistroSaídas[[#This Row],[DATA DA COMPETENCIA]]="",0,YEAR(TbRegistroSaídas[[#This Row],[DATA DA COMPETENCIA]]))</f>
        <v>2019</v>
      </c>
      <c r="M223">
        <f>IF(TbRegistroSaídas[[#This Row],[DATA DO CAIXA PREVISTA]]="",0,MONTH(TbRegistroSaídas[[#This Row],[DATA DO CAIXA PREVISTA]]))</f>
        <v>6</v>
      </c>
      <c r="N223">
        <f>IF(TbRegistroSaídas[[#This Row],[DATA DO CAIXA PREVISTA]]="",0,YEAR(TbRegistroSaídas[[#This Row],[DATA DO CAIXA PREVISTA]]))</f>
        <v>2019</v>
      </c>
      <c r="O223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2.031889560057607</v>
      </c>
    </row>
    <row r="224" spans="2:15" x14ac:dyDescent="0.25">
      <c r="B224" s="14">
        <v>43673.934978004319</v>
      </c>
      <c r="C224" s="14">
        <v>43614</v>
      </c>
      <c r="D224" s="14">
        <v>43645.508154061761</v>
      </c>
      <c r="E224" t="s">
        <v>47</v>
      </c>
      <c r="F224" t="s">
        <v>52</v>
      </c>
      <c r="G224" t="s">
        <v>345</v>
      </c>
      <c r="H224" s="17">
        <v>3086</v>
      </c>
      <c r="I224">
        <f>IF(TbRegistroSaídas[[#This Row],[DATA DO CAIXA REALIZADO]]="",0,MONTH(TbRegistroSaídas[[#This Row],[DATA DO CAIXA REALIZADO]]))</f>
        <v>7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COMPETENCIA]]="",0,MONTH(TbRegistroSaídas[[#This Row],[DATA DA COMPETENCIA]]))</f>
        <v>5</v>
      </c>
      <c r="L224">
        <f>IF(TbRegistroSaídas[[#This Row],[DATA DA COMPETENCIA]]="",0,YEAR(TbRegistroSaídas[[#This Row],[DATA DA COMPETENCIA]]))</f>
        <v>2019</v>
      </c>
      <c r="M224">
        <f>IF(TbRegistroSaídas[[#This Row],[DATA DO CAIXA PREVISTA]]="",0,MONTH(TbRegistroSaídas[[#This Row],[DATA DO CAIXA PREVISTA]]))</f>
        <v>6</v>
      </c>
      <c r="N224">
        <f>IF(TbRegistroSaídas[[#This Row],[DATA DO CAIXA PREVISTA]]="",0,YEAR(TbRegistroSaídas[[#This Row],[DATA DO CAIXA PREVISTA]]))</f>
        <v>2019</v>
      </c>
      <c r="O224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28.426823942558258</v>
      </c>
    </row>
    <row r="225" spans="2:15" x14ac:dyDescent="0.25">
      <c r="B225" s="14">
        <v>43628.969362987358</v>
      </c>
      <c r="C225" s="14">
        <v>43619</v>
      </c>
      <c r="D225" s="14">
        <v>43628.969362987358</v>
      </c>
      <c r="E225" t="s">
        <v>47</v>
      </c>
      <c r="F225" t="s">
        <v>37</v>
      </c>
      <c r="G225" t="s">
        <v>502</v>
      </c>
      <c r="H225" s="17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COMPETENCIA]]="",0,MONTH(TbRegistroSaídas[[#This Row],[DATA DA COMPETENCIA]]))</f>
        <v>6</v>
      </c>
      <c r="L225">
        <f>IF(TbRegistroSaídas[[#This Row],[DATA DA COMPETENCIA]]="",0,YEAR(TbRegistroSaídas[[#This Row],[DATA DA COMPETENCIA]]))</f>
        <v>2019</v>
      </c>
      <c r="M225">
        <f>IF(TbRegistroSaídas[[#This Row],[DATA DO CAIXA PREVISTA]]="",0,MONTH(TbRegistroSaídas[[#This Row],[DATA DO CAIXA PREVISTA]]))</f>
        <v>6</v>
      </c>
      <c r="N225">
        <f>IF(TbRegistroSaídas[[#This Row],[DATA DO CAIXA PREVISTA]]="",0,YEAR(TbRegistroSaídas[[#This Row],[DATA DO CAIXA PREVISTA]]))</f>
        <v>2019</v>
      </c>
      <c r="O225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26" spans="2:15" x14ac:dyDescent="0.25">
      <c r="B226" s="14">
        <v>43639.192651531121</v>
      </c>
      <c r="C226" s="14">
        <v>43623</v>
      </c>
      <c r="D226" s="14">
        <v>43639.192651531121</v>
      </c>
      <c r="E226" t="s">
        <v>47</v>
      </c>
      <c r="F226" t="s">
        <v>23</v>
      </c>
      <c r="G226" t="s">
        <v>503</v>
      </c>
      <c r="H226" s="17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COMPETENCIA]]="",0,MONTH(TbRegistroSaídas[[#This Row],[DATA DA COMPETENCIA]]))</f>
        <v>6</v>
      </c>
      <c r="L226">
        <f>IF(TbRegistroSaídas[[#This Row],[DATA DA COMPETENCIA]]="",0,YEAR(TbRegistroSaídas[[#This Row],[DATA DA COMPETENCIA]]))</f>
        <v>2019</v>
      </c>
      <c r="M226">
        <f>IF(TbRegistroSaídas[[#This Row],[DATA DO CAIXA PREVISTA]]="",0,MONTH(TbRegistroSaídas[[#This Row],[DATA DO CAIXA PREVISTA]]))</f>
        <v>6</v>
      </c>
      <c r="N226">
        <f>IF(TbRegistroSaídas[[#This Row],[DATA DO CAIXA PREVISTA]]="",0,YEAR(TbRegistroSaídas[[#This Row],[DATA DO CAIXA PREVISTA]]))</f>
        <v>2019</v>
      </c>
      <c r="O226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27" spans="2:15" x14ac:dyDescent="0.25">
      <c r="B227" s="14" t="s">
        <v>68</v>
      </c>
      <c r="C227" s="14">
        <v>43625</v>
      </c>
      <c r="D227" s="14">
        <v>43672.670884183579</v>
      </c>
      <c r="E227" t="s">
        <v>47</v>
      </c>
      <c r="F227" t="s">
        <v>52</v>
      </c>
      <c r="G227" t="s">
        <v>504</v>
      </c>
      <c r="H227" s="17">
        <v>2338</v>
      </c>
      <c r="I227">
        <f>IF(TbRegistroSaídas[[#This Row],[DATA DO CAIXA REALIZADO]]="",0,MONTH(TbRegistroSaídas[[#This Row],[DATA DO CAIXA REALIZADO]]))</f>
        <v>0</v>
      </c>
      <c r="J227">
        <f>IF(TbRegistroSaídas[[#This Row],[DATA DO CAIXA REALIZADO]]="",0,YEAR(TbRegistroSaídas[[#This Row],[DATA DO CAIXA REALIZADO]]))</f>
        <v>0</v>
      </c>
      <c r="K227">
        <f>IF(TbRegistroSaídas[[#This Row],[DATA DA COMPETENCIA]]="",0,MONTH(TbRegistroSaídas[[#This Row],[DATA DA COMPETENCIA]]))</f>
        <v>6</v>
      </c>
      <c r="L227">
        <f>IF(TbRegistroSaídas[[#This Row],[DATA DA COMPETENCIA]]="",0,YEAR(TbRegistroSaídas[[#This Row],[DATA DA COMPETENCIA]]))</f>
        <v>2019</v>
      </c>
      <c r="M227">
        <f>IF(TbRegistroSaídas[[#This Row],[DATA DO CAIXA PREVISTA]]="",0,MONTH(TbRegistroSaídas[[#This Row],[DATA DO CAIXA PREVISTA]]))</f>
        <v>7</v>
      </c>
      <c r="N227">
        <f>IF(TbRegistroSaídas[[#This Row],[DATA DO CAIXA PREVISTA]]="",0,YEAR(TbRegistroSaídas[[#This Row],[DATA DO CAIXA PREVISTA]]))</f>
        <v>2019</v>
      </c>
      <c r="O227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228" spans="2:15" x14ac:dyDescent="0.25">
      <c r="B228" s="14">
        <v>43741.508211497443</v>
      </c>
      <c r="C228" s="14">
        <v>43632</v>
      </c>
      <c r="D228" s="14">
        <v>43664.662454163976</v>
      </c>
      <c r="E228" t="s">
        <v>47</v>
      </c>
      <c r="F228" t="s">
        <v>23</v>
      </c>
      <c r="G228" t="s">
        <v>505</v>
      </c>
      <c r="H228" s="17">
        <v>3773</v>
      </c>
      <c r="I228">
        <f>IF(TbRegistroSaídas[[#This Row],[DATA DO CAIXA REALIZADO]]="",0,MONTH(TbRegistroSaídas[[#This Row],[DATA DO CAIXA REALIZADO]]))</f>
        <v>10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COMPETENCIA]]="",0,MONTH(TbRegistroSaídas[[#This Row],[DATA DA COMPETENCIA]]))</f>
        <v>6</v>
      </c>
      <c r="L228">
        <f>IF(TbRegistroSaídas[[#This Row],[DATA DA COMPETENCIA]]="",0,YEAR(TbRegistroSaídas[[#This Row],[DATA DA COMPETENCIA]]))</f>
        <v>2019</v>
      </c>
      <c r="M228">
        <f>IF(TbRegistroSaídas[[#This Row],[DATA DO CAIXA PREVISTA]]="",0,MONTH(TbRegistroSaídas[[#This Row],[DATA DO CAIXA PREVISTA]]))</f>
        <v>7</v>
      </c>
      <c r="N228">
        <f>IF(TbRegistroSaídas[[#This Row],[DATA DO CAIXA PREVISTA]]="",0,YEAR(TbRegistroSaídas[[#This Row],[DATA DO CAIXA PREVISTA]]))</f>
        <v>2019</v>
      </c>
      <c r="O228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76.845757333467191</v>
      </c>
    </row>
    <row r="229" spans="2:15" x14ac:dyDescent="0.25">
      <c r="B229" s="14" t="s">
        <v>68</v>
      </c>
      <c r="C229" s="14">
        <v>43635</v>
      </c>
      <c r="D229" s="14">
        <v>43686.085509883509</v>
      </c>
      <c r="E229" t="s">
        <v>47</v>
      </c>
      <c r="F229" t="s">
        <v>23</v>
      </c>
      <c r="G229" t="s">
        <v>506</v>
      </c>
      <c r="H229" s="17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COMPETENCIA]]="",0,MONTH(TbRegistroSaídas[[#This Row],[DATA DA COMPETENCIA]]))</f>
        <v>6</v>
      </c>
      <c r="L229">
        <f>IF(TbRegistroSaídas[[#This Row],[DATA DA COMPETENCIA]]="",0,YEAR(TbRegistroSaídas[[#This Row],[DATA DA COMPETENCIA]]))</f>
        <v>2019</v>
      </c>
      <c r="M229">
        <f>IF(TbRegistroSaídas[[#This Row],[DATA DO CAIXA PREVISTA]]="",0,MONTH(TbRegistroSaídas[[#This Row],[DATA DO CAIXA PREVISTA]]))</f>
        <v>8</v>
      </c>
      <c r="N229">
        <f>IF(TbRegistroSaídas[[#This Row],[DATA DO CAIXA PREVISTA]]="",0,YEAR(TbRegistroSaídas[[#This Row],[DATA DO CAIXA PREVISTA]]))</f>
        <v>2019</v>
      </c>
      <c r="O229" s="137" t="e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#VALUE!</v>
      </c>
    </row>
    <row r="230" spans="2:15" x14ac:dyDescent="0.25">
      <c r="B230" s="14">
        <v>43682.520022083132</v>
      </c>
      <c r="C230" s="14">
        <v>43637</v>
      </c>
      <c r="D230" s="14">
        <v>43682.520022083132</v>
      </c>
      <c r="E230" t="s">
        <v>47</v>
      </c>
      <c r="F230" t="s">
        <v>23</v>
      </c>
      <c r="G230" t="s">
        <v>507</v>
      </c>
      <c r="H230" s="17">
        <v>1425</v>
      </c>
      <c r="I230">
        <f>IF(TbRegistroSaídas[[#This Row],[DATA DO CAIXA REALIZADO]]="",0,MONTH(TbRegistroSaídas[[#This Row],[DATA DO CAIXA REALIZADO]]))</f>
        <v>8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COMPETENCIA]]="",0,MONTH(TbRegistroSaídas[[#This Row],[DATA DA COMPETENCIA]]))</f>
        <v>6</v>
      </c>
      <c r="L230">
        <f>IF(TbRegistroSaídas[[#This Row],[DATA DA COMPETENCIA]]="",0,YEAR(TbRegistroSaídas[[#This Row],[DATA DA COMPETENCIA]]))</f>
        <v>2019</v>
      </c>
      <c r="M230">
        <f>IF(TbRegistroSaídas[[#This Row],[DATA DO CAIXA PREVISTA]]="",0,MONTH(TbRegistroSaídas[[#This Row],[DATA DO CAIXA PREVISTA]]))</f>
        <v>8</v>
      </c>
      <c r="N230">
        <f>IF(TbRegistroSaídas[[#This Row],[DATA DO CAIXA PREVISTA]]="",0,YEAR(TbRegistroSaídas[[#This Row],[DATA DO CAIXA PREVISTA]]))</f>
        <v>2019</v>
      </c>
      <c r="O230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31" spans="2:15" x14ac:dyDescent="0.25">
      <c r="B231" s="14">
        <v>43697.929033863591</v>
      </c>
      <c r="C231" s="14">
        <v>43639</v>
      </c>
      <c r="D231" s="14">
        <v>43697.929033863591</v>
      </c>
      <c r="E231" t="s">
        <v>47</v>
      </c>
      <c r="F231" t="s">
        <v>23</v>
      </c>
      <c r="G231" t="s">
        <v>508</v>
      </c>
      <c r="H231" s="17">
        <v>332</v>
      </c>
      <c r="I231">
        <f>IF(TbRegistroSaídas[[#This Row],[DATA DO CAIXA REALIZADO]]="",0,MONTH(TbRegistroSaídas[[#This Row],[DATA DO CAIXA REALIZADO]]))</f>
        <v>8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COMPETENCIA]]="",0,MONTH(TbRegistroSaídas[[#This Row],[DATA DA COMPETENCIA]]))</f>
        <v>6</v>
      </c>
      <c r="L231">
        <f>IF(TbRegistroSaídas[[#This Row],[DATA DA COMPETENCIA]]="",0,YEAR(TbRegistroSaídas[[#This Row],[DATA DA COMPETENCIA]]))</f>
        <v>2019</v>
      </c>
      <c r="M231">
        <f>IF(TbRegistroSaídas[[#This Row],[DATA DO CAIXA PREVISTA]]="",0,MONTH(TbRegistroSaídas[[#This Row],[DATA DO CAIXA PREVISTA]]))</f>
        <v>8</v>
      </c>
      <c r="N231">
        <f>IF(TbRegistroSaídas[[#This Row],[DATA DO CAIXA PREVISTA]]="",0,YEAR(TbRegistroSaídas[[#This Row],[DATA DO CAIXA PREVISTA]]))</f>
        <v>2019</v>
      </c>
      <c r="O231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  <row r="232" spans="2:15" x14ac:dyDescent="0.25">
      <c r="B232" s="14">
        <v>43653.195660130521</v>
      </c>
      <c r="C232" s="14">
        <v>43646</v>
      </c>
      <c r="D232" s="14">
        <v>43653.195660130521</v>
      </c>
      <c r="E232" t="s">
        <v>47</v>
      </c>
      <c r="F232" t="s">
        <v>52</v>
      </c>
      <c r="G232" t="s">
        <v>509</v>
      </c>
      <c r="H232" s="17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COMPETENCIA]]="",0,MONTH(TbRegistroSaídas[[#This Row],[DATA DA COMPETENCIA]]))</f>
        <v>6</v>
      </c>
      <c r="L232">
        <f>IF(TbRegistroSaídas[[#This Row],[DATA DA COMPETENCIA]]="",0,YEAR(TbRegistroSaídas[[#This Row],[DATA DA COMPETENCIA]]))</f>
        <v>2019</v>
      </c>
      <c r="M232">
        <f>IF(TbRegistroSaídas[[#This Row],[DATA DO CAIXA PREVISTA]]="",0,MONTH(TbRegistroSaídas[[#This Row],[DATA DO CAIXA PREVISTA]]))</f>
        <v>7</v>
      </c>
      <c r="N232">
        <f>IF(TbRegistroSaídas[[#This Row],[DATA DO CAIXA PREVISTA]]="",0,YEAR(TbRegistroSaídas[[#This Row],[DATA DO CAIXA PREVISTA]]))</f>
        <v>2019</v>
      </c>
      <c r="O232" s="137">
        <f ca="1">IF(TbRegistroSaídas[[#This Row],[DATA DO CAIXA PREVISTA]]&lt;&gt;"", IF(TbRegistroSaídas[[#This Row],[DATA DO CAIXA REALIZADO]]&gt;TbRegistroSaídas[[#This Row],[DATA DO CAIXA PREVISTA]], TbRegistroSaídas[[#This Row],[DATA DO CAIXA REALIZADO]]-TbRegistroSaídas[[#This Row],[DATA DO CAIXA PREVISTA]], 0 ), IF(TODAY()&gt;TbRegistroSaídas[[#This Row],[DATA DO CAIXA PREVISTA]], TODAY()-TbRegistroSaídas[[#This Row],[DATA DO CAIXA PREVISTA]], 0 ) )</f>
        <v>0</v>
      </c>
    </row>
  </sheetData>
  <mergeCells count="1">
    <mergeCell ref="B1:D1"/>
  </mergeCells>
  <dataValidations count="2">
    <dataValidation type="list" allowBlank="1" showInputMessage="1" showErrorMessage="1" sqref="E4:E232" xr:uid="{36D0AFB7-AF04-4B64-8191-B66E641AA9BF}">
      <formula1>PCSaídasN1_Nível_1</formula1>
    </dataValidation>
    <dataValidation type="list" allowBlank="1" showInputMessage="1" showErrorMessage="1" sqref="F4:F232" xr:uid="{5B969F24-E8F1-42B4-9657-CD0243DDAA28}">
      <formula1>OFFSET(PCSaídasN2_Nível_2,MATCH(E4,PCSaídasN2_Nível_1,0)-1,0,COUNTIF(PCSaídasN2_Nível_1,E4))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5D4A-54EE-4A9F-AA58-4730C6A8D01A}">
  <dimension ref="A1:O39"/>
  <sheetViews>
    <sheetView showGridLines="0" showRowColHeaders="0" tabSelected="1" workbookViewId="0">
      <selection activeCell="C4" sqref="C4"/>
    </sheetView>
  </sheetViews>
  <sheetFormatPr defaultColWidth="0" defaultRowHeight="15" x14ac:dyDescent="0.25"/>
  <cols>
    <col min="1" max="1" width="3" customWidth="1"/>
    <col min="2" max="2" width="18.7109375" customWidth="1"/>
    <col min="3" max="14" width="13.7109375" customWidth="1"/>
    <col min="15" max="15" width="3" customWidth="1"/>
    <col min="16" max="16384" width="9.140625" hidden="1"/>
  </cols>
  <sheetData>
    <row r="1" spans="2:14" ht="39.950000000000003" customHeight="1" x14ac:dyDescent="0.25">
      <c r="B1" s="3"/>
      <c r="C1" s="3" t="s">
        <v>1</v>
      </c>
      <c r="D1" s="21"/>
      <c r="E1" s="1"/>
      <c r="F1" s="1"/>
      <c r="G1" s="1"/>
      <c r="H1" s="1"/>
      <c r="I1" s="1"/>
      <c r="J1" s="191" t="s">
        <v>11</v>
      </c>
      <c r="K1" s="191"/>
      <c r="L1" s="191"/>
      <c r="M1" s="191"/>
      <c r="N1" s="191"/>
    </row>
    <row r="2" spans="2:14" ht="39.950000000000003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100000000000001" customHeight="1" x14ac:dyDescent="0.25">
      <c r="B3" s="25" t="s">
        <v>511</v>
      </c>
      <c r="C3" s="22">
        <v>2019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20.100000000000001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20.100000000000001" customHeight="1" x14ac:dyDescent="0.25">
      <c r="B6" s="23" t="s">
        <v>512</v>
      </c>
      <c r="C6" s="23"/>
      <c r="D6" s="23"/>
    </row>
    <row r="7" spans="2:14" ht="20.100000000000001" customHeight="1" x14ac:dyDescent="0.25">
      <c r="B7" s="28" t="s">
        <v>513</v>
      </c>
      <c r="C7" s="29" t="s">
        <v>517</v>
      </c>
      <c r="D7" s="29" t="s">
        <v>518</v>
      </c>
      <c r="E7" s="29" t="s">
        <v>519</v>
      </c>
      <c r="F7" s="29" t="s">
        <v>520</v>
      </c>
      <c r="G7" s="29" t="s">
        <v>521</v>
      </c>
      <c r="H7" s="29" t="s">
        <v>522</v>
      </c>
      <c r="I7" s="29" t="s">
        <v>523</v>
      </c>
      <c r="J7" s="29" t="s">
        <v>524</v>
      </c>
      <c r="K7" s="29" t="s">
        <v>525</v>
      </c>
      <c r="L7" s="29" t="s">
        <v>526</v>
      </c>
      <c r="M7" s="29" t="s">
        <v>527</v>
      </c>
      <c r="N7" s="30" t="s">
        <v>528</v>
      </c>
    </row>
    <row r="8" spans="2:14" ht="20.100000000000001" customHeight="1" x14ac:dyDescent="0.25">
      <c r="B8" s="34" t="s">
        <v>529</v>
      </c>
      <c r="C8" s="26">
        <f>SUMIFS(TbRegistroEntradas[VALOR],TbRegistroEntradas[ANO CAIXA],"&lt;"&amp;$C$3,TbRegistroEntradas[ANO CAIXA],"&lt;&gt;0")-SUMIFS(TbRegistroSaídas[VALOR],TbRegistroSaídas[ANO CAIXA],"&lt;"&amp;$C$3,TbRegistroSaídas[ANO CAIXA],"&lt;&gt;0")</f>
        <v>14746</v>
      </c>
      <c r="D8" s="26">
        <f>C11</f>
        <v>16188</v>
      </c>
      <c r="E8" s="26">
        <f t="shared" ref="E8:N8" si="0">D11</f>
        <v>21863</v>
      </c>
      <c r="F8" s="26">
        <f t="shared" si="0"/>
        <v>23864</v>
      </c>
      <c r="G8" s="26">
        <f t="shared" si="0"/>
        <v>12147</v>
      </c>
      <c r="H8" s="26">
        <f t="shared" si="0"/>
        <v>10954</v>
      </c>
      <c r="I8" s="26">
        <f t="shared" si="0"/>
        <v>-2743</v>
      </c>
      <c r="J8" s="26">
        <f t="shared" si="0"/>
        <v>-2189</v>
      </c>
      <c r="K8" s="26">
        <f t="shared" si="0"/>
        <v>-2976</v>
      </c>
      <c r="L8" s="26">
        <f t="shared" si="0"/>
        <v>-1230</v>
      </c>
      <c r="M8" s="26">
        <f t="shared" si="0"/>
        <v>-3097</v>
      </c>
      <c r="N8" s="36">
        <f t="shared" si="0"/>
        <v>-3097</v>
      </c>
    </row>
    <row r="9" spans="2:14" ht="20.100000000000001" customHeight="1" x14ac:dyDescent="0.25">
      <c r="B9" s="34" t="s">
        <v>514</v>
      </c>
      <c r="C9" s="26">
        <f>SUMIFS(TbRegistroEntradas[VALOR],TbRegistroEntradas[MÊS CAIXA],C5,TbRegistroEntradas[ANO CAIXA],$C$3)</f>
        <v>20033</v>
      </c>
      <c r="D9" s="26">
        <f>SUMIFS(TbRegistroEntradas[VALOR],TbRegistroEntradas[MÊS CAIXA],D5,TbRegistroEntradas[ANO CAIXA],$C$3)</f>
        <v>34683</v>
      </c>
      <c r="E9" s="26">
        <f>SUMIFS(TbRegistroEntradas[VALOR],TbRegistroEntradas[MÊS CAIXA],E5,TbRegistroEntradas[ANO CAIXA],$C$3)</f>
        <v>20323</v>
      </c>
      <c r="F9" s="26">
        <f>SUMIFS(TbRegistroEntradas[VALOR],TbRegistroEntradas[MÊS CAIXA],F5,TbRegistroEntradas[ANO CAIXA],$C$3)</f>
        <v>25152</v>
      </c>
      <c r="G9" s="26">
        <f>SUMIFS(TbRegistroEntradas[VALOR],TbRegistroEntradas[MÊS CAIXA],G5,TbRegistroEntradas[ANO CAIXA],$C$3)</f>
        <v>27509</v>
      </c>
      <c r="H9" s="26">
        <f>SUMIFS(TbRegistroEntradas[VALOR],TbRegistroEntradas[MÊS CAIXA],H5,TbRegistroEntradas[ANO CAIXA],$C$3)</f>
        <v>18189</v>
      </c>
      <c r="I9" s="26">
        <f>SUMIFS(TbRegistroEntradas[VALOR],TbRegistroEntradas[MÊS CAIXA],I5,TbRegistroEntradas[ANO CAIXA],$C$3)</f>
        <v>8420</v>
      </c>
      <c r="J9" s="26">
        <f>SUMIFS(TbRegistroEntradas[VALOR],TbRegistroEntradas[MÊS CAIXA],J5,TbRegistroEntradas[ANO CAIXA],$C$3)</f>
        <v>2337</v>
      </c>
      <c r="K9" s="26">
        <f>SUMIFS(TbRegistroEntradas[VALOR],TbRegistroEntradas[MÊS CAIXA],K5,TbRegistroEntradas[ANO CAIXA],$C$3)</f>
        <v>3446</v>
      </c>
      <c r="L9" s="26">
        <f>SUMIFS(TbRegistroEntradas[VALOR],TbRegistroEntradas[MÊS CAIXA],L5,TbRegistroEntradas[ANO CAIXA],$C$3)</f>
        <v>1906</v>
      </c>
      <c r="M9" s="26">
        <f>SUMIFS(TbRegistroEntradas[VALOR],TbRegistroEntradas[MÊS CAIXA],M5,TbRegistroEntradas[ANO CAIXA],$C$3)</f>
        <v>0</v>
      </c>
      <c r="N9" s="37">
        <f>SUMIFS(TbRegistroEntradas[VALOR],TbRegistroEntradas[MÊS CAIXA],N5,TbRegistroEntradas[ANO CAIXA],$C$3)</f>
        <v>0</v>
      </c>
    </row>
    <row r="10" spans="2:14" ht="20.100000000000001" customHeight="1" x14ac:dyDescent="0.25">
      <c r="B10" s="34" t="s">
        <v>515</v>
      </c>
      <c r="C10" s="26">
        <f>SUMIFS(TbRegistroSaídas[VALOR],TbRegistroSaídas[MÊS CAIXA],C5,TbRegistroSaídas[ANO CAIXA],$C$3)</f>
        <v>18591</v>
      </c>
      <c r="D10" s="26">
        <f>SUMIFS(TbRegistroSaídas[VALOR],TbRegistroSaídas[MÊS CAIXA],D5,TbRegistroSaídas[ANO CAIXA],$C$3)</f>
        <v>29008</v>
      </c>
      <c r="E10" s="26">
        <f>SUMIFS(TbRegistroSaídas[VALOR],TbRegistroSaídas[MÊS CAIXA],E5,TbRegistroSaídas[ANO CAIXA],$C$3)</f>
        <v>18322</v>
      </c>
      <c r="F10" s="26">
        <f>SUMIFS(TbRegistroSaídas[VALOR],TbRegistroSaídas[MÊS CAIXA],F5,TbRegistroSaídas[ANO CAIXA],$C$3)</f>
        <v>36869</v>
      </c>
      <c r="G10" s="26">
        <f>SUMIFS(TbRegistroSaídas[VALOR],TbRegistroSaídas[MÊS CAIXA],G5,TbRegistroSaídas[ANO CAIXA],$C$3)</f>
        <v>28702</v>
      </c>
      <c r="H10" s="26">
        <f>SUMIFS(TbRegistroSaídas[VALOR],TbRegistroSaídas[MÊS CAIXA],H5,TbRegistroSaídas[ANO CAIXA],$C$3)</f>
        <v>31886</v>
      </c>
      <c r="I10" s="26">
        <f>SUMIFS(TbRegistroSaídas[VALOR],TbRegistroSaídas[MÊS CAIXA],I5,TbRegistroSaídas[ANO CAIXA],$C$3)</f>
        <v>7866</v>
      </c>
      <c r="J10" s="26">
        <f>SUMIFS(TbRegistroSaídas[VALOR],TbRegistroSaídas[MÊS CAIXA],J5,TbRegistroSaídas[ANO CAIXA],$C$3)</f>
        <v>3124</v>
      </c>
      <c r="K10" s="26">
        <f>SUMIFS(TbRegistroSaídas[VALOR],TbRegistroSaídas[MÊS CAIXA],K5,TbRegistroSaídas[ANO CAIXA],$C$3)</f>
        <v>1700</v>
      </c>
      <c r="L10" s="26">
        <f>SUMIFS(TbRegistroSaídas[VALOR],TbRegistroSaídas[MÊS CAIXA],L5,TbRegistroSaídas[ANO CAIXA],$C$3)</f>
        <v>3773</v>
      </c>
      <c r="M10" s="26">
        <f>SUMIFS(TbRegistroSaídas[VALOR],TbRegistroSaídas[MÊS CAIXA],M5,TbRegistroSaídas[ANO CAIXA],$C$3)</f>
        <v>0</v>
      </c>
      <c r="N10" s="37">
        <f>SUMIFS(TbRegistroSaídas[VALOR],TbRegistroSaídas[MÊS CAIXA],N5,TbRegistroSaídas[ANO CAIXA],$C$3)</f>
        <v>0</v>
      </c>
    </row>
    <row r="11" spans="2:14" ht="20.100000000000001" customHeight="1" x14ac:dyDescent="0.25">
      <c r="B11" s="35" t="s">
        <v>516</v>
      </c>
      <c r="C11" s="27">
        <f>C8+C9-C10</f>
        <v>16188</v>
      </c>
      <c r="D11" s="27">
        <f t="shared" ref="D11:N11" si="1">D8+D9-D10</f>
        <v>21863</v>
      </c>
      <c r="E11" s="27">
        <f t="shared" si="1"/>
        <v>23864</v>
      </c>
      <c r="F11" s="27">
        <f t="shared" si="1"/>
        <v>12147</v>
      </c>
      <c r="G11" s="27">
        <f t="shared" si="1"/>
        <v>10954</v>
      </c>
      <c r="H11" s="27">
        <f t="shared" si="1"/>
        <v>-2743</v>
      </c>
      <c r="I11" s="27">
        <f t="shared" si="1"/>
        <v>-2189</v>
      </c>
      <c r="J11" s="27">
        <f t="shared" si="1"/>
        <v>-2976</v>
      </c>
      <c r="K11" s="27">
        <f t="shared" si="1"/>
        <v>-1230</v>
      </c>
      <c r="L11" s="27">
        <f t="shared" si="1"/>
        <v>-3097</v>
      </c>
      <c r="M11" s="27">
        <f t="shared" si="1"/>
        <v>-3097</v>
      </c>
      <c r="N11" s="38">
        <f t="shared" si="1"/>
        <v>-3097</v>
      </c>
    </row>
    <row r="12" spans="2:14" ht="20.100000000000001" customHeight="1" x14ac:dyDescent="0.25"/>
    <row r="13" spans="2:14" ht="20.100000000000001" customHeight="1" x14ac:dyDescent="0.25">
      <c r="B13" s="23" t="s">
        <v>530</v>
      </c>
      <c r="C13" s="23"/>
      <c r="D13" s="23"/>
    </row>
    <row r="14" spans="2:14" ht="20.100000000000001" customHeight="1" x14ac:dyDescent="0.25">
      <c r="B14" s="28" t="s">
        <v>513</v>
      </c>
      <c r="C14" s="29" t="s">
        <v>517</v>
      </c>
      <c r="D14" s="29" t="s">
        <v>518</v>
      </c>
      <c r="E14" s="29" t="s">
        <v>519</v>
      </c>
      <c r="F14" s="29" t="s">
        <v>520</v>
      </c>
      <c r="G14" s="29" t="s">
        <v>521</v>
      </c>
      <c r="H14" s="29" t="s">
        <v>522</v>
      </c>
      <c r="I14" s="29" t="s">
        <v>523</v>
      </c>
      <c r="J14" s="29" t="s">
        <v>524</v>
      </c>
      <c r="K14" s="29" t="s">
        <v>525</v>
      </c>
      <c r="L14" s="29" t="s">
        <v>526</v>
      </c>
      <c r="M14" s="29" t="s">
        <v>527</v>
      </c>
      <c r="N14" s="30" t="s">
        <v>528</v>
      </c>
    </row>
    <row r="15" spans="2:14" ht="20.100000000000001" customHeight="1" x14ac:dyDescent="0.25">
      <c r="B15" s="34" t="s">
        <v>529</v>
      </c>
      <c r="C15" s="26">
        <f>SUMIFS(TbRegistroEntradas[VALOR],TbRegistroEntradas[ANO COMPETENCIA],"&lt;"&amp;$C$3,TbRegistroEntradas[ANO COMPETENCIA],"&lt;&gt;0")-SUMIFS(TbRegistroSaídas[VALOR],TbRegistroSaídas[ANO COMPETÊNCIA],"&lt;"&amp;$C$3,TbRegistroSaídas[ANO COMPETÊNCIA],"&lt;&gt;0")</f>
        <v>42367</v>
      </c>
      <c r="D15" s="26">
        <f>C18</f>
        <v>34684</v>
      </c>
      <c r="E15" s="26">
        <f t="shared" ref="E15:N15" si="2">D18</f>
        <v>40111</v>
      </c>
      <c r="F15" s="26">
        <f t="shared" si="2"/>
        <v>27220</v>
      </c>
      <c r="G15" s="26">
        <f t="shared" si="2"/>
        <v>23048</v>
      </c>
      <c r="H15" s="26">
        <f t="shared" si="2"/>
        <v>8340</v>
      </c>
      <c r="I15" s="26">
        <f t="shared" si="2"/>
        <v>3236</v>
      </c>
      <c r="J15" s="26">
        <f t="shared" si="2"/>
        <v>3236</v>
      </c>
      <c r="K15" s="26">
        <f t="shared" si="2"/>
        <v>3236</v>
      </c>
      <c r="L15" s="26">
        <f t="shared" si="2"/>
        <v>3236</v>
      </c>
      <c r="M15" s="26">
        <f t="shared" si="2"/>
        <v>3236</v>
      </c>
      <c r="N15" s="36">
        <f t="shared" si="2"/>
        <v>3236</v>
      </c>
    </row>
    <row r="16" spans="2:14" ht="20.100000000000001" customHeight="1" x14ac:dyDescent="0.25">
      <c r="B16" s="34" t="s">
        <v>514</v>
      </c>
      <c r="C16" s="26">
        <f>SUMIFS(TbRegistroEntradas[VALOR],TbRegistroEntradas[MÊS COMPETENCIA],C5,TbRegistroEntradas[ANO COMPETENCIA],$C$3)</f>
        <v>22897</v>
      </c>
      <c r="D16" s="26">
        <f>SUMIFS(TbRegistroEntradas[VALOR],TbRegistroEntradas[MÊS COMPETENCIA],D5,TbRegistroEntradas[ANO COMPETENCIA],$C$3)</f>
        <v>31755</v>
      </c>
      <c r="E16" s="26">
        <f>SUMIFS(TbRegistroEntradas[VALOR],TbRegistroEntradas[MÊS COMPETENCIA],E5,TbRegistroEntradas[ANO COMPETENCIA],$C$3)</f>
        <v>18601</v>
      </c>
      <c r="F16" s="26">
        <f>SUMIFS(TbRegistroEntradas[VALOR],TbRegistroEntradas[MÊS COMPETENCIA],F5,TbRegistroEntradas[ANO COMPETENCIA],$C$3)</f>
        <v>22939</v>
      </c>
      <c r="G16" s="26">
        <f>SUMIFS(TbRegistroEntradas[VALOR],TbRegistroEntradas[MÊS COMPETENCIA],G5,TbRegistroEntradas[ANO COMPETENCIA],$C$3)</f>
        <v>22602</v>
      </c>
      <c r="H16" s="26">
        <f>SUMIFS(TbRegistroEntradas[VALOR],TbRegistroEntradas[MÊS COMPETENCIA],H5,TbRegistroEntradas[ANO COMPETENCIA],$C$3)</f>
        <v>11865</v>
      </c>
      <c r="I16" s="26">
        <f>SUMIFS(TbRegistroEntradas[VALOR],TbRegistroEntradas[MÊS COMPETENCIA],I5,TbRegistroEntradas[ANO COMPETENCIA],$C$3)</f>
        <v>0</v>
      </c>
      <c r="J16" s="26">
        <f>SUMIFS(TbRegistroEntradas[VALOR],TbRegistroEntradas[MÊS COMPETENCIA],J5,TbRegistroEntradas[ANO COMPETENCIA],$C$3)</f>
        <v>0</v>
      </c>
      <c r="K16" s="26">
        <f>SUMIFS(TbRegistroEntradas[VALOR],TbRegistroEntradas[MÊS COMPETENCIA],K5,TbRegistroEntradas[ANO COMPETENCIA],$C$3)</f>
        <v>0</v>
      </c>
      <c r="L16" s="26">
        <f>SUMIFS(TbRegistroEntradas[VALOR],TbRegistroEntradas[MÊS COMPETENCIA],L5,TbRegistroEntradas[ANO COMPETENCIA],$C$3)</f>
        <v>0</v>
      </c>
      <c r="M16" s="26">
        <f>SUMIFS(TbRegistroEntradas[VALOR],TbRegistroEntradas[MÊS COMPETENCIA],M5,TbRegistroEntradas[ANO COMPETENCIA],$C$3)</f>
        <v>0</v>
      </c>
      <c r="N16" s="37">
        <f>SUMIFS(TbRegistroEntradas[VALOR],TbRegistroEntradas[MÊS COMPETENCIA],N5,TbRegistroEntradas[ANO COMPETENCIA],$C$3)</f>
        <v>0</v>
      </c>
    </row>
    <row r="17" spans="2:14" ht="20.100000000000001" customHeight="1" x14ac:dyDescent="0.25">
      <c r="B17" s="34" t="s">
        <v>515</v>
      </c>
      <c r="C17" s="26">
        <f>SUMIFS(TbRegistroSaídas[VALOR],TbRegistroSaídas[MÊS COMPETÊNCIA],C5,TbRegistroSaídas[ANO COMPETÊNCIA],$C$3)</f>
        <v>30580</v>
      </c>
      <c r="D17" s="26">
        <f>SUMIFS(TbRegistroSaídas[VALOR],TbRegistroSaídas[MÊS COMPETÊNCIA],D5,TbRegistroSaídas[ANO COMPETÊNCIA],$C$3)</f>
        <v>26328</v>
      </c>
      <c r="E17" s="26">
        <f>SUMIFS(TbRegistroSaídas[VALOR],TbRegistroSaídas[MÊS COMPETÊNCIA],E5,TbRegistroSaídas[ANO COMPETÊNCIA],$C$3)</f>
        <v>31492</v>
      </c>
      <c r="F17" s="26">
        <f>SUMIFS(TbRegistroSaídas[VALOR],TbRegistroSaídas[MÊS COMPETÊNCIA],F5,TbRegistroSaídas[ANO COMPETÊNCIA],$C$3)</f>
        <v>27111</v>
      </c>
      <c r="G17" s="26">
        <f>SUMIFS(TbRegistroSaídas[VALOR],TbRegistroSaídas[MÊS COMPETÊNCIA],G5,TbRegistroSaídas[ANO COMPETÊNCIA],$C$3)</f>
        <v>37310</v>
      </c>
      <c r="H17" s="26">
        <f>SUMIFS(TbRegistroSaídas[VALOR],TbRegistroSaídas[MÊS COMPETÊNCIA],H5,TbRegistroSaídas[ANO COMPETÊNCIA],$C$3)</f>
        <v>16969</v>
      </c>
      <c r="I17" s="26">
        <f>SUMIFS(TbRegistroSaídas[VALOR],TbRegistroSaídas[MÊS COMPETÊNCIA],I5,TbRegistroSaídas[ANO COMPETÊNCIA],$C$3)</f>
        <v>0</v>
      </c>
      <c r="J17" s="26">
        <f>SUMIFS(TbRegistroSaídas[VALOR],TbRegistroSaídas[MÊS COMPETÊNCIA],J5,TbRegistroSaídas[ANO COMPETÊNCIA],$C$3)</f>
        <v>0</v>
      </c>
      <c r="K17" s="26">
        <f>SUMIFS(TbRegistroSaídas[VALOR],TbRegistroSaídas[MÊS COMPETÊNCIA],K5,TbRegistroSaídas[ANO COMPETÊNCIA],$C$3)</f>
        <v>0</v>
      </c>
      <c r="L17" s="26">
        <f>SUMIFS(TbRegistroSaídas[VALOR],TbRegistroSaídas[MÊS COMPETÊNCIA],L5,TbRegistroSaídas[ANO COMPETÊNCIA],$C$3)</f>
        <v>0</v>
      </c>
      <c r="M17" s="26">
        <f>SUMIFS(TbRegistroSaídas[VALOR],TbRegistroSaídas[MÊS COMPETÊNCIA],M5,TbRegistroSaídas[ANO COMPETÊNCIA],$C$3)</f>
        <v>0</v>
      </c>
      <c r="N17" s="37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5" t="s">
        <v>516</v>
      </c>
      <c r="C18" s="27">
        <f>C15+C16-C17</f>
        <v>34684</v>
      </c>
      <c r="D18" s="27">
        <f t="shared" ref="D18:N18" si="3">D15+D16-D17</f>
        <v>40111</v>
      </c>
      <c r="E18" s="27">
        <f t="shared" si="3"/>
        <v>27220</v>
      </c>
      <c r="F18" s="27">
        <f t="shared" si="3"/>
        <v>23048</v>
      </c>
      <c r="G18" s="27">
        <f t="shared" si="3"/>
        <v>8340</v>
      </c>
      <c r="H18" s="27">
        <f t="shared" si="3"/>
        <v>3236</v>
      </c>
      <c r="I18" s="27">
        <f t="shared" si="3"/>
        <v>3236</v>
      </c>
      <c r="J18" s="27">
        <f t="shared" si="3"/>
        <v>3236</v>
      </c>
      <c r="K18" s="27">
        <f t="shared" si="3"/>
        <v>3236</v>
      </c>
      <c r="L18" s="27">
        <f t="shared" si="3"/>
        <v>3236</v>
      </c>
      <c r="M18" s="27">
        <f t="shared" si="3"/>
        <v>3236</v>
      </c>
      <c r="N18" s="38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3" t="s">
        <v>531</v>
      </c>
      <c r="C20" s="23"/>
      <c r="D20" s="23"/>
    </row>
    <row r="21" spans="2:14" ht="20.100000000000001" customHeight="1" x14ac:dyDescent="0.25">
      <c r="B21" s="28" t="s">
        <v>513</v>
      </c>
      <c r="C21" s="29" t="s">
        <v>517</v>
      </c>
      <c r="D21" s="29" t="s">
        <v>518</v>
      </c>
      <c r="E21" s="29" t="s">
        <v>519</v>
      </c>
      <c r="F21" s="29" t="s">
        <v>520</v>
      </c>
      <c r="G21" s="29" t="s">
        <v>521</v>
      </c>
      <c r="H21" s="29" t="s">
        <v>522</v>
      </c>
      <c r="I21" s="29" t="s">
        <v>523</v>
      </c>
      <c r="J21" s="29" t="s">
        <v>524</v>
      </c>
      <c r="K21" s="29" t="s">
        <v>525</v>
      </c>
      <c r="L21" s="29" t="s">
        <v>526</v>
      </c>
      <c r="M21" s="29" t="s">
        <v>527</v>
      </c>
      <c r="N21" s="30" t="s">
        <v>528</v>
      </c>
    </row>
    <row r="22" spans="2:14" ht="20.100000000000001" customHeight="1" x14ac:dyDescent="0.25">
      <c r="B22" s="31" t="s">
        <v>532</v>
      </c>
      <c r="C22" s="26">
        <f>C16</f>
        <v>22897</v>
      </c>
      <c r="D22" s="26">
        <f t="shared" ref="D22:N22" si="4">D16</f>
        <v>31755</v>
      </c>
      <c r="E22" s="26">
        <f t="shared" si="4"/>
        <v>18601</v>
      </c>
      <c r="F22" s="26">
        <f t="shared" si="4"/>
        <v>22939</v>
      </c>
      <c r="G22" s="26">
        <f t="shared" si="4"/>
        <v>22602</v>
      </c>
      <c r="H22" s="26">
        <f t="shared" si="4"/>
        <v>11865</v>
      </c>
      <c r="I22" s="26">
        <f t="shared" si="4"/>
        <v>0</v>
      </c>
      <c r="J22" s="26">
        <f t="shared" si="4"/>
        <v>0</v>
      </c>
      <c r="K22" s="26">
        <f t="shared" si="4"/>
        <v>0</v>
      </c>
      <c r="L22" s="26">
        <f t="shared" si="4"/>
        <v>0</v>
      </c>
      <c r="M22" s="26">
        <f t="shared" si="4"/>
        <v>0</v>
      </c>
      <c r="N22" s="36">
        <f t="shared" si="4"/>
        <v>0</v>
      </c>
    </row>
    <row r="23" spans="2:14" ht="20.100000000000001" customHeight="1" x14ac:dyDescent="0.25">
      <c r="B23" s="31" t="s">
        <v>533</v>
      </c>
      <c r="C23" s="26">
        <f>C17</f>
        <v>30580</v>
      </c>
      <c r="D23" s="26">
        <f t="shared" ref="D23:N23" si="5">D17</f>
        <v>26328</v>
      </c>
      <c r="E23" s="26">
        <f t="shared" si="5"/>
        <v>31492</v>
      </c>
      <c r="F23" s="26">
        <f t="shared" si="5"/>
        <v>27111</v>
      </c>
      <c r="G23" s="26">
        <f t="shared" si="5"/>
        <v>37310</v>
      </c>
      <c r="H23" s="26">
        <f t="shared" si="5"/>
        <v>16969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37">
        <f t="shared" si="5"/>
        <v>0</v>
      </c>
    </row>
    <row r="24" spans="2:14" ht="20.100000000000001" customHeight="1" x14ac:dyDescent="0.25">
      <c r="B24" s="32" t="s">
        <v>534</v>
      </c>
      <c r="C24" s="39">
        <f>IF(C22-C23&gt;0,C22-C23,0)</f>
        <v>0</v>
      </c>
      <c r="D24" s="39">
        <f t="shared" ref="D24:N24" si="6">IF(D22-D23&gt;0,D22-D23,0)</f>
        <v>5427</v>
      </c>
      <c r="E24" s="39">
        <f t="shared" si="6"/>
        <v>0</v>
      </c>
      <c r="F24" s="39">
        <f t="shared" si="6"/>
        <v>0</v>
      </c>
      <c r="G24" s="39">
        <f t="shared" si="6"/>
        <v>0</v>
      </c>
      <c r="H24" s="39">
        <f t="shared" si="6"/>
        <v>0</v>
      </c>
      <c r="I24" s="39">
        <f t="shared" si="6"/>
        <v>0</v>
      </c>
      <c r="J24" s="39">
        <f t="shared" si="6"/>
        <v>0</v>
      </c>
      <c r="K24" s="39">
        <f t="shared" si="6"/>
        <v>0</v>
      </c>
      <c r="L24" s="39">
        <f t="shared" si="6"/>
        <v>0</v>
      </c>
      <c r="M24" s="39">
        <f t="shared" si="6"/>
        <v>0</v>
      </c>
      <c r="N24" s="41">
        <f t="shared" si="6"/>
        <v>0</v>
      </c>
    </row>
    <row r="25" spans="2:14" ht="20.100000000000001" customHeight="1" x14ac:dyDescent="0.25">
      <c r="B25" s="33" t="s">
        <v>535</v>
      </c>
      <c r="C25" s="40">
        <f>IF(C22-C23&lt;0,C22-C23,0)</f>
        <v>-7683</v>
      </c>
      <c r="D25" s="40">
        <f t="shared" ref="D25:N25" si="7">IF(D22-D23&lt;0,D22-D23,0)</f>
        <v>0</v>
      </c>
      <c r="E25" s="40">
        <f t="shared" si="7"/>
        <v>-12891</v>
      </c>
      <c r="F25" s="40">
        <f t="shared" si="7"/>
        <v>-4172</v>
      </c>
      <c r="G25" s="40">
        <f t="shared" si="7"/>
        <v>-14708</v>
      </c>
      <c r="H25" s="40">
        <f t="shared" si="7"/>
        <v>-5104</v>
      </c>
      <c r="I25" s="40">
        <f t="shared" si="7"/>
        <v>0</v>
      </c>
      <c r="J25" s="40">
        <f t="shared" si="7"/>
        <v>0</v>
      </c>
      <c r="K25" s="40">
        <f t="shared" si="7"/>
        <v>0</v>
      </c>
      <c r="L25" s="40">
        <f t="shared" si="7"/>
        <v>0</v>
      </c>
      <c r="M25" s="40">
        <f t="shared" si="7"/>
        <v>0</v>
      </c>
      <c r="N25" s="42">
        <f t="shared" si="7"/>
        <v>0</v>
      </c>
    </row>
    <row r="26" spans="2:14" ht="20.100000000000001" customHeight="1" x14ac:dyDescent="0.25">
      <c r="B26" s="33" t="s">
        <v>536</v>
      </c>
      <c r="C26" s="40">
        <f>C22-C23</f>
        <v>-7683</v>
      </c>
      <c r="D26" s="40">
        <f>D22-D23+C26</f>
        <v>-2256</v>
      </c>
      <c r="E26" s="40">
        <f t="shared" ref="E26:N26" si="8">E22-E23+D26</f>
        <v>-15147</v>
      </c>
      <c r="F26" s="40">
        <f t="shared" si="8"/>
        <v>-19319</v>
      </c>
      <c r="G26" s="40">
        <f t="shared" si="8"/>
        <v>-34027</v>
      </c>
      <c r="H26" s="40">
        <f t="shared" si="8"/>
        <v>-39131</v>
      </c>
      <c r="I26" s="40">
        <f t="shared" si="8"/>
        <v>-39131</v>
      </c>
      <c r="J26" s="40">
        <f t="shared" si="8"/>
        <v>-39131</v>
      </c>
      <c r="K26" s="40">
        <f t="shared" si="8"/>
        <v>-39131</v>
      </c>
      <c r="L26" s="40">
        <f t="shared" si="8"/>
        <v>-39131</v>
      </c>
      <c r="M26" s="40">
        <f t="shared" si="8"/>
        <v>-39131</v>
      </c>
      <c r="N26" s="42">
        <f t="shared" si="8"/>
        <v>-39131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mergeCells count="1">
    <mergeCell ref="J1:N1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10</vt:i4>
      </vt:variant>
    </vt:vector>
  </HeadingPairs>
  <TitlesOfParts>
    <vt:vector size="2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DashboardFinanceiroAtualID</vt:lpstr>
      <vt:lpstr>DashboardFinanceiroAnual</vt:lpstr>
      <vt:lpstr>DashboardFinanceiroAnualID</vt:lpstr>
      <vt:lpstr>RegistroSaídas!PCEntradasN1_Nível_1</vt:lpstr>
      <vt:lpstr>PCEntradasN1_Nível_1</vt:lpstr>
      <vt:lpstr>RegistroSaídas!PCEntradasN2_Nível_1</vt:lpstr>
      <vt:lpstr>PCEntradasN2_Nível_1</vt:lpstr>
      <vt:lpstr>RegistroSaídas!PCEntradasN2_Nível_2</vt:lpstr>
      <vt:lpstr>PCEntradasN2_Nível_2</vt:lpstr>
      <vt:lpstr>RegistroSaídas!PCSaídasN1_Nível_1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santos</dc:creator>
  <cp:lastModifiedBy>kevin santos</cp:lastModifiedBy>
  <dcterms:created xsi:type="dcterms:W3CDTF">2025-06-13T00:53:48Z</dcterms:created>
  <dcterms:modified xsi:type="dcterms:W3CDTF">2025-06-16T00:19:07Z</dcterms:modified>
</cp:coreProperties>
</file>