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7b4b56219be6b/Documentos/Curso Excel/Projeto Ativos/Projeto Ativos/"/>
    </mc:Choice>
  </mc:AlternateContent>
  <xr:revisionPtr revIDLastSave="26" documentId="8_{D9325CB8-E77C-4BB5-974C-C850B170FA44}" xr6:coauthVersionLast="47" xr6:coauthVersionMax="47" xr10:uidLastSave="{CED12FD4-D736-4C48-89C5-BACEDE491DEF}"/>
  <bookViews>
    <workbookView xWindow="-120" yWindow="-120" windowWidth="29040" windowHeight="15720" xr2:uid="{EBC6B4B9-3F7A-464F-AD0D-8BD757BA4030}"/>
  </bookViews>
  <sheets>
    <sheet name="Dashboard" sheetId="8" r:id="rId1"/>
    <sheet name="DashboardAux" sheetId="9" state="hidden" r:id="rId2"/>
    <sheet name="ReCarteira" sheetId="7" r:id="rId3"/>
    <sheet name="ReCarteiraAções" sheetId="10" r:id="rId4"/>
    <sheet name="ReCarteiraFII" sheetId="12" r:id="rId5"/>
    <sheet name="ReProventos" sheetId="5" r:id="rId6"/>
    <sheet name="ReAportes" sheetId="4" r:id="rId7"/>
    <sheet name="TbAportes" sheetId="1" r:id="rId8"/>
    <sheet name="TbProventos" sheetId="3" r:id="rId9"/>
    <sheet name="TbAtivos" sheetId="2" r:id="rId10"/>
  </sheets>
  <definedNames>
    <definedName name="DadosExternos_1" localSheetId="9" hidden="1">TbAtivos!$B$2:$D$11</definedName>
    <definedName name="TbAtivos_Ativo" localSheetId="3">TbAtivos[ATIVO]</definedName>
    <definedName name="TbAtivos_Ativo" localSheetId="4">TbAtivos[ATIVO]</definedName>
    <definedName name="TbAtivos_Ativo">TbAtivos[ATIVO]</definedName>
  </definedNames>
  <calcPr calcId="191029"/>
  <pivotCaches>
    <pivotCache cacheId="124" r:id="rId11"/>
    <pivotCache cacheId="13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2" l="1"/>
  <c r="C6" i="12"/>
  <c r="D5" i="12"/>
  <c r="C5" i="12"/>
  <c r="D4" i="12"/>
  <c r="C4" i="12"/>
  <c r="D3" i="12"/>
  <c r="C3" i="12"/>
  <c r="M2" i="12"/>
  <c r="F6" i="12" s="1"/>
  <c r="H6" i="12" s="1"/>
  <c r="D7" i="10"/>
  <c r="C7" i="10"/>
  <c r="D6" i="10"/>
  <c r="C6" i="10"/>
  <c r="D5" i="10"/>
  <c r="C5" i="10"/>
  <c r="D4" i="10"/>
  <c r="C4" i="10"/>
  <c r="D3" i="10"/>
  <c r="C3" i="10"/>
  <c r="M2" i="10"/>
  <c r="C9" i="9"/>
  <c r="I13" i="9" s="1"/>
  <c r="M2" i="7"/>
  <c r="F3" i="7" s="1"/>
  <c r="D3" i="7"/>
  <c r="D4" i="7"/>
  <c r="D5" i="7"/>
  <c r="D6" i="7"/>
  <c r="D7" i="7"/>
  <c r="D8" i="7"/>
  <c r="D9" i="7"/>
  <c r="D10" i="7"/>
  <c r="D11" i="7"/>
  <c r="C3" i="7"/>
  <c r="C4" i="7"/>
  <c r="C5" i="7"/>
  <c r="C6" i="7"/>
  <c r="C7" i="7"/>
  <c r="C8" i="7"/>
  <c r="C9" i="7"/>
  <c r="C10" i="7"/>
  <c r="C11" i="7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H3" i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J3" i="1"/>
  <c r="J4" i="1"/>
  <c r="J5" i="1"/>
  <c r="J6" i="1"/>
  <c r="J7" i="1"/>
  <c r="K7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K23" i="1" s="1"/>
  <c r="J24" i="1"/>
  <c r="J25" i="1"/>
  <c r="J26" i="1"/>
  <c r="J27" i="1"/>
  <c r="J28" i="1"/>
  <c r="J29" i="1"/>
  <c r="J30" i="1"/>
  <c r="I3" i="1"/>
  <c r="K3" i="1" s="1"/>
  <c r="I4" i="1"/>
  <c r="I5" i="1"/>
  <c r="I6" i="1"/>
  <c r="I7" i="1"/>
  <c r="I8" i="1"/>
  <c r="I9" i="1"/>
  <c r="I10" i="1"/>
  <c r="K10" i="1" s="1"/>
  <c r="I11" i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I19" i="1"/>
  <c r="K19" i="1" s="1"/>
  <c r="I20" i="1"/>
  <c r="I21" i="1"/>
  <c r="I22" i="1"/>
  <c r="I23" i="1"/>
  <c r="I24" i="1"/>
  <c r="I25" i="1"/>
  <c r="I26" i="1"/>
  <c r="K26" i="1" s="1"/>
  <c r="I27" i="1"/>
  <c r="I28" i="1"/>
  <c r="K28" i="1" s="1"/>
  <c r="I29" i="1"/>
  <c r="K29" i="1" s="1"/>
  <c r="I30" i="1"/>
  <c r="K30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E3" i="12" l="1"/>
  <c r="E5" i="12"/>
  <c r="F3" i="12"/>
  <c r="H3" i="12" s="1"/>
  <c r="F5" i="12"/>
  <c r="H5" i="12" s="1"/>
  <c r="E4" i="12"/>
  <c r="E6" i="12"/>
  <c r="G6" i="12" s="1"/>
  <c r="F4" i="12"/>
  <c r="H4" i="12" s="1"/>
  <c r="E3" i="10"/>
  <c r="E7" i="10"/>
  <c r="E5" i="10"/>
  <c r="F3" i="10"/>
  <c r="H3" i="10" s="1"/>
  <c r="F5" i="10"/>
  <c r="H5" i="10" s="1"/>
  <c r="F7" i="10"/>
  <c r="H7" i="10" s="1"/>
  <c r="E4" i="10"/>
  <c r="E6" i="10"/>
  <c r="F4" i="10"/>
  <c r="H4" i="10" s="1"/>
  <c r="F6" i="10"/>
  <c r="H6" i="10" s="1"/>
  <c r="E5" i="7"/>
  <c r="E11" i="7"/>
  <c r="E9" i="7"/>
  <c r="E8" i="7"/>
  <c r="E7" i="7"/>
  <c r="E6" i="7"/>
  <c r="E4" i="7"/>
  <c r="E3" i="7"/>
  <c r="F11" i="7"/>
  <c r="H11" i="7" s="1"/>
  <c r="F10" i="7"/>
  <c r="H10" i="7" s="1"/>
  <c r="F9" i="7"/>
  <c r="F7" i="7"/>
  <c r="F6" i="7"/>
  <c r="F4" i="7"/>
  <c r="H4" i="7" s="1"/>
  <c r="F5" i="7"/>
  <c r="F8" i="7"/>
  <c r="H8" i="7" s="1"/>
  <c r="E10" i="7"/>
  <c r="H3" i="7"/>
  <c r="K11" i="1"/>
  <c r="K27" i="1"/>
  <c r="K25" i="1"/>
  <c r="K9" i="1"/>
  <c r="K24" i="1"/>
  <c r="K8" i="1"/>
  <c r="K22" i="1"/>
  <c r="K6" i="1"/>
  <c r="K21" i="1"/>
  <c r="K5" i="1"/>
  <c r="K20" i="1"/>
  <c r="K4" i="1"/>
  <c r="K18" i="1"/>
  <c r="T20" i="9" l="1"/>
  <c r="U20" i="9" s="1"/>
  <c r="T21" i="9"/>
  <c r="U21" i="9" s="1"/>
  <c r="T22" i="9"/>
  <c r="U22" i="9" s="1"/>
  <c r="T23" i="9"/>
  <c r="U23" i="9" s="1"/>
  <c r="T24" i="9"/>
  <c r="U24" i="9" s="1"/>
  <c r="T25" i="9"/>
  <c r="U25" i="9" s="1"/>
  <c r="T26" i="9"/>
  <c r="U26" i="9" s="1"/>
  <c r="T27" i="9"/>
  <c r="U27" i="9" s="1"/>
  <c r="T28" i="9"/>
  <c r="U28" i="9" s="1"/>
  <c r="T29" i="9"/>
  <c r="U29" i="9" s="1"/>
  <c r="S29" i="9" s="1" a="1"/>
  <c r="S29" i="9" s="1"/>
  <c r="O20" i="9"/>
  <c r="O21" i="9"/>
  <c r="O22" i="9"/>
  <c r="O23" i="9"/>
  <c r="O24" i="9"/>
  <c r="O25" i="9"/>
  <c r="O26" i="9"/>
  <c r="O27" i="9"/>
  <c r="O28" i="9"/>
  <c r="O29" i="9"/>
  <c r="G4" i="12"/>
  <c r="G5" i="12"/>
  <c r="J5" i="12"/>
  <c r="I5" i="12"/>
  <c r="J3" i="12"/>
  <c r="I3" i="12"/>
  <c r="H7" i="12"/>
  <c r="G3" i="12"/>
  <c r="J4" i="12"/>
  <c r="I4" i="12"/>
  <c r="E7" i="12"/>
  <c r="I6" i="12"/>
  <c r="J6" i="12"/>
  <c r="G5" i="10"/>
  <c r="G6" i="10"/>
  <c r="G4" i="10"/>
  <c r="J7" i="10"/>
  <c r="I7" i="10"/>
  <c r="J5" i="10"/>
  <c r="I5" i="10"/>
  <c r="H8" i="10"/>
  <c r="J3" i="10"/>
  <c r="I3" i="10"/>
  <c r="G7" i="10"/>
  <c r="E8" i="10"/>
  <c r="G3" i="10"/>
  <c r="I6" i="10"/>
  <c r="J6" i="10"/>
  <c r="I4" i="10"/>
  <c r="J4" i="10"/>
  <c r="K5" i="9"/>
  <c r="J3" i="7"/>
  <c r="J10" i="7"/>
  <c r="J8" i="7"/>
  <c r="J5" i="9"/>
  <c r="J11" i="7"/>
  <c r="J4" i="7"/>
  <c r="G3" i="7"/>
  <c r="I5" i="9"/>
  <c r="G5" i="7"/>
  <c r="G9" i="7"/>
  <c r="I8" i="7"/>
  <c r="G10" i="7"/>
  <c r="G7" i="7"/>
  <c r="I4" i="7"/>
  <c r="I11" i="7"/>
  <c r="G6" i="7"/>
  <c r="G11" i="7"/>
  <c r="H9" i="7"/>
  <c r="H7" i="7"/>
  <c r="H6" i="7"/>
  <c r="G4" i="7"/>
  <c r="H5" i="7"/>
  <c r="I10" i="7"/>
  <c r="E12" i="7"/>
  <c r="G8" i="7"/>
  <c r="I3" i="7"/>
  <c r="T33" i="9" l="1"/>
  <c r="T34" i="9"/>
  <c r="T35" i="9"/>
  <c r="T36" i="9"/>
  <c r="T37" i="9"/>
  <c r="T38" i="9"/>
  <c r="T39" i="9"/>
  <c r="T40" i="9"/>
  <c r="T41" i="9"/>
  <c r="T42" i="9"/>
  <c r="O33" i="9"/>
  <c r="P33" i="9" s="1"/>
  <c r="N33" i="9" s="1" a="1"/>
  <c r="N33" i="9" s="1"/>
  <c r="O34" i="9"/>
  <c r="P34" i="9" s="1"/>
  <c r="N34" i="9" s="1" a="1"/>
  <c r="N34" i="9" s="1"/>
  <c r="O35" i="9"/>
  <c r="O36" i="9"/>
  <c r="P36" i="9" s="1"/>
  <c r="N36" i="9" s="1" a="1"/>
  <c r="N36" i="9" s="1"/>
  <c r="O37" i="9"/>
  <c r="P37" i="9" s="1"/>
  <c r="N37" i="9" s="1" a="1"/>
  <c r="N37" i="9" s="1"/>
  <c r="O38" i="9"/>
  <c r="O39" i="9"/>
  <c r="P39" i="9" s="1"/>
  <c r="N39" i="9" s="1" a="1"/>
  <c r="N39" i="9" s="1"/>
  <c r="O40" i="9"/>
  <c r="O41" i="9"/>
  <c r="O42" i="9"/>
  <c r="J7" i="12"/>
  <c r="K6" i="9"/>
  <c r="I12" i="9" s="1"/>
  <c r="I7" i="12"/>
  <c r="J8" i="10"/>
  <c r="I8" i="10"/>
  <c r="J6" i="9"/>
  <c r="I11" i="9" s="1"/>
  <c r="J29" i="9"/>
  <c r="J27" i="9"/>
  <c r="J26" i="9"/>
  <c r="J25" i="9"/>
  <c r="J24" i="9"/>
  <c r="J28" i="9"/>
  <c r="J23" i="9"/>
  <c r="J22" i="9"/>
  <c r="J21" i="9"/>
  <c r="J20" i="9"/>
  <c r="D20" i="9" s="1"/>
  <c r="C12" i="9" a="1"/>
  <c r="C12" i="9" s="1"/>
  <c r="B9" i="8" s="1"/>
  <c r="I7" i="7"/>
  <c r="J7" i="7"/>
  <c r="I6" i="7"/>
  <c r="J6" i="7"/>
  <c r="I9" i="7"/>
  <c r="J9" i="7"/>
  <c r="I5" i="7"/>
  <c r="J5" i="7"/>
  <c r="I6" i="9"/>
  <c r="I8" i="9" s="1"/>
  <c r="H12" i="7"/>
  <c r="J12" i="7" s="1"/>
  <c r="U42" i="9" l="1"/>
  <c r="S42" i="9" s="1" a="1"/>
  <c r="S42" i="9" s="1"/>
  <c r="U41" i="9"/>
  <c r="S41" i="9" s="1" a="1"/>
  <c r="S41" i="9" s="1"/>
  <c r="U40" i="9"/>
  <c r="S40" i="9" s="1" a="1"/>
  <c r="S40" i="9" s="1"/>
  <c r="U39" i="9"/>
  <c r="S39" i="9" s="1" a="1"/>
  <c r="S39" i="9" s="1"/>
  <c r="U38" i="9"/>
  <c r="S38" i="9" s="1" a="1"/>
  <c r="S38" i="9" s="1"/>
  <c r="U37" i="9"/>
  <c r="S37" i="9" s="1" a="1"/>
  <c r="S37" i="9" s="1"/>
  <c r="U36" i="9"/>
  <c r="S36" i="9" s="1" a="1"/>
  <c r="S36" i="9" s="1"/>
  <c r="U35" i="9"/>
  <c r="S35" i="9" s="1" a="1"/>
  <c r="S35" i="9" s="1"/>
  <c r="U34" i="9"/>
  <c r="S34" i="9" s="1" a="1"/>
  <c r="S34" i="9" s="1"/>
  <c r="U33" i="9"/>
  <c r="S33" i="9" s="1" a="1"/>
  <c r="S33" i="9" s="1"/>
  <c r="P40" i="9"/>
  <c r="N40" i="9" s="1" a="1"/>
  <c r="N40" i="9" s="1"/>
  <c r="P42" i="9"/>
  <c r="N42" i="9" s="1" a="1"/>
  <c r="N42" i="9" s="1"/>
  <c r="D38" i="9"/>
  <c r="P38" i="9"/>
  <c r="N38" i="9" s="1" a="1"/>
  <c r="N38" i="9" s="1"/>
  <c r="D41" i="9"/>
  <c r="P41" i="9"/>
  <c r="N41" i="9" s="1" a="1"/>
  <c r="N41" i="9" s="1"/>
  <c r="P35" i="9"/>
  <c r="N35" i="9" s="1" a="1"/>
  <c r="N35" i="9" s="1"/>
  <c r="D40" i="9"/>
  <c r="J33" i="9"/>
  <c r="K33" i="9" s="1"/>
  <c r="I33" i="9" s="1" a="1"/>
  <c r="I33" i="9" s="1"/>
  <c r="C33" i="9" s="1"/>
  <c r="D42" i="9"/>
  <c r="J42" i="9"/>
  <c r="J41" i="9"/>
  <c r="J40" i="9"/>
  <c r="J39" i="9"/>
  <c r="D39" i="9" s="1"/>
  <c r="J38" i="9"/>
  <c r="J37" i="9"/>
  <c r="D37" i="9" s="1"/>
  <c r="J36" i="9"/>
  <c r="D36" i="9" s="1"/>
  <c r="J35" i="9"/>
  <c r="D35" i="9" s="1"/>
  <c r="J34" i="9"/>
  <c r="D34" i="9" s="1"/>
  <c r="K22" i="9"/>
  <c r="I22" i="9" s="1" a="1"/>
  <c r="I22" i="9" s="1"/>
  <c r="D22" i="9"/>
  <c r="K27" i="9"/>
  <c r="I27" i="9" s="1" a="1"/>
  <c r="I27" i="9" s="1"/>
  <c r="D27" i="9"/>
  <c r="K24" i="9"/>
  <c r="I24" i="9" s="1" a="1"/>
  <c r="I24" i="9" s="1"/>
  <c r="D24" i="9"/>
  <c r="K21" i="9"/>
  <c r="I21" i="9" s="1" a="1"/>
  <c r="I21" i="9" s="1"/>
  <c r="D21" i="9"/>
  <c r="K25" i="9"/>
  <c r="I25" i="9" s="1" a="1"/>
  <c r="I25" i="9" s="1"/>
  <c r="D25" i="9"/>
  <c r="K29" i="9"/>
  <c r="I29" i="9" s="1" a="1"/>
  <c r="I29" i="9" s="1"/>
  <c r="D29" i="9"/>
  <c r="K23" i="9"/>
  <c r="I23" i="9" s="1" a="1"/>
  <c r="I23" i="9" s="1"/>
  <c r="D23" i="9"/>
  <c r="K26" i="9"/>
  <c r="I26" i="9" s="1" a="1"/>
  <c r="I26" i="9" s="1"/>
  <c r="D26" i="9"/>
  <c r="K28" i="9"/>
  <c r="I28" i="9" s="1" a="1"/>
  <c r="I28" i="9" s="1"/>
  <c r="D28" i="9"/>
  <c r="K20" i="9"/>
  <c r="I20" i="9" s="1" a="1"/>
  <c r="I20" i="9" s="1"/>
  <c r="K8" i="9"/>
  <c r="S25" i="9" a="1"/>
  <c r="S25" i="9" s="1"/>
  <c r="S27" i="9" a="1"/>
  <c r="S27" i="9" s="1"/>
  <c r="S21" i="9" a="1"/>
  <c r="S21" i="9" s="1"/>
  <c r="S28" i="9" a="1"/>
  <c r="S28" i="9" s="1"/>
  <c r="S24" i="9" a="1"/>
  <c r="S24" i="9" s="1"/>
  <c r="S26" i="9" a="1"/>
  <c r="S26" i="9" s="1"/>
  <c r="S23" i="9" a="1"/>
  <c r="S23" i="9" s="1"/>
  <c r="S20" i="9" a="1"/>
  <c r="S20" i="9" s="1"/>
  <c r="S22" i="9" a="1"/>
  <c r="S22" i="9" s="1"/>
  <c r="P20" i="9"/>
  <c r="N20" i="9" s="1" a="1"/>
  <c r="N20" i="9" s="1"/>
  <c r="P29" i="9"/>
  <c r="N29" i="9" s="1" a="1"/>
  <c r="N29" i="9" s="1"/>
  <c r="C29" i="9" s="1"/>
  <c r="P22" i="9"/>
  <c r="N22" i="9" s="1" a="1"/>
  <c r="N22" i="9" s="1"/>
  <c r="C22" i="9" s="1"/>
  <c r="P25" i="9"/>
  <c r="N25" i="9" s="1" a="1"/>
  <c r="N25" i="9" s="1"/>
  <c r="P28" i="9"/>
  <c r="N28" i="9" s="1" a="1"/>
  <c r="N28" i="9" s="1"/>
  <c r="P24" i="9"/>
  <c r="N24" i="9" s="1" a="1"/>
  <c r="N24" i="9" s="1"/>
  <c r="P27" i="9"/>
  <c r="N27" i="9" s="1" a="1"/>
  <c r="N27" i="9" s="1"/>
  <c r="P26" i="9"/>
  <c r="N26" i="9" s="1" a="1"/>
  <c r="N26" i="9" s="1"/>
  <c r="P23" i="9"/>
  <c r="N23" i="9" s="1" a="1"/>
  <c r="N23" i="9" s="1"/>
  <c r="P21" i="9"/>
  <c r="N21" i="9" s="1" a="1"/>
  <c r="N21" i="9" s="1"/>
  <c r="J8" i="9"/>
  <c r="C15" i="9" s="1" a="1"/>
  <c r="C15" i="9" s="1"/>
  <c r="B15" i="8" s="1"/>
  <c r="J7" i="9"/>
  <c r="C13" i="9" a="1"/>
  <c r="C13" i="9" s="1"/>
  <c r="B6" i="8" s="1"/>
  <c r="I12" i="7"/>
  <c r="I7" i="9"/>
  <c r="K7" i="9"/>
  <c r="D33" i="9" l="1"/>
  <c r="K34" i="9"/>
  <c r="I34" i="9" s="1" a="1"/>
  <c r="I34" i="9" s="1"/>
  <c r="C34" i="9" s="1"/>
  <c r="K35" i="9"/>
  <c r="I35" i="9" s="1" a="1"/>
  <c r="I35" i="9" s="1"/>
  <c r="C35" i="9" s="1"/>
  <c r="K36" i="9"/>
  <c r="I36" i="9" s="1" a="1"/>
  <c r="I36" i="9" s="1"/>
  <c r="C36" i="9" s="1"/>
  <c r="K37" i="9"/>
  <c r="I37" i="9" s="1" a="1"/>
  <c r="I37" i="9" s="1"/>
  <c r="C37" i="9" s="1"/>
  <c r="K38" i="9"/>
  <c r="I38" i="9" s="1" a="1"/>
  <c r="I38" i="9" s="1"/>
  <c r="C38" i="9" s="1"/>
  <c r="K39" i="9"/>
  <c r="I39" i="9" s="1" a="1"/>
  <c r="I39" i="9" s="1"/>
  <c r="C39" i="9" s="1"/>
  <c r="K40" i="9"/>
  <c r="I40" i="9" s="1" a="1"/>
  <c r="I40" i="9" s="1"/>
  <c r="C40" i="9" s="1"/>
  <c r="K41" i="9"/>
  <c r="I41" i="9" s="1" a="1"/>
  <c r="I41" i="9" s="1"/>
  <c r="C41" i="9" s="1"/>
  <c r="K42" i="9"/>
  <c r="I42" i="9" s="1" a="1"/>
  <c r="I42" i="9" s="1"/>
  <c r="C42" i="9" s="1"/>
  <c r="C24" i="9"/>
  <c r="C20" i="9"/>
  <c r="C21" i="9"/>
  <c r="C28" i="9"/>
  <c r="C25" i="9"/>
  <c r="C23" i="9"/>
  <c r="C26" i="9"/>
  <c r="C27" i="9"/>
  <c r="C14" i="9" a="1"/>
  <c r="C14" i="9" s="1"/>
  <c r="B1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santos</author>
  </authors>
  <commentList>
    <comment ref="L2" authorId="0" shapeId="0" xr:uid="{43E3F8D5-70A5-4161-8226-4E28CBC04403}">
      <text>
        <r>
          <rPr>
            <b/>
            <sz val="9"/>
            <color indexed="81"/>
            <rFont val="Segoe UI"/>
            <family val="2"/>
          </rPr>
          <t>kevin santos:</t>
        </r>
        <r>
          <rPr>
            <sz val="9"/>
            <color indexed="81"/>
            <rFont val="Segoe UI"/>
            <family val="2"/>
          </rPr>
          <t xml:space="preserve">
Se estiver vazio a data a ser considerada será a de *HOJE*!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santos</author>
  </authors>
  <commentList>
    <comment ref="L2" authorId="0" shapeId="0" xr:uid="{5BC7FFEF-4A69-4A98-B77E-66B58995F976}">
      <text>
        <r>
          <rPr>
            <b/>
            <sz val="9"/>
            <color indexed="81"/>
            <rFont val="Segoe UI"/>
            <family val="2"/>
          </rPr>
          <t>kevin santos:</t>
        </r>
        <r>
          <rPr>
            <sz val="9"/>
            <color indexed="81"/>
            <rFont val="Segoe UI"/>
            <family val="2"/>
          </rPr>
          <t xml:space="preserve">
Deixe em Branco para a data de hoje!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santos</author>
  </authors>
  <commentList>
    <comment ref="L2" authorId="0" shapeId="0" xr:uid="{1E0DB60A-579B-4F7B-AE6D-F240157B8A6E}">
      <text>
        <r>
          <rPr>
            <b/>
            <sz val="9"/>
            <color indexed="81"/>
            <rFont val="Segoe UI"/>
            <family val="2"/>
          </rPr>
          <t>kevin santos:</t>
        </r>
        <r>
          <rPr>
            <sz val="9"/>
            <color indexed="81"/>
            <rFont val="Segoe UI"/>
            <family val="2"/>
          </rPr>
          <t xml:space="preserve">
Deixe em Branco para a data de hoje!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santos</author>
  </authors>
  <commentList>
    <comment ref="L2" authorId="0" shapeId="0" xr:uid="{4269E543-5361-4B36-8635-6DC04F1F08B2}">
      <text>
        <r>
          <rPr>
            <b/>
            <sz val="9"/>
            <color indexed="81"/>
            <rFont val="Segoe UI"/>
            <family val="2"/>
          </rPr>
          <t>kevin santos:</t>
        </r>
        <r>
          <rPr>
            <sz val="9"/>
            <color indexed="81"/>
            <rFont val="Segoe UI"/>
            <family val="2"/>
          </rPr>
          <t xml:space="preserve">
Deixe em Branco para a data de hoje!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BDB7E7-2D02-40A6-86D6-7A12BD1F2D92}" keepAlive="1" name="Consulta - pub?output=csv" description="Conexão com a consulta 'pub?output=csv' na pasta de trabalho." type="5" refreshedVersion="8" background="1" saveData="1">
    <dbPr connection="Provider=Microsoft.Mashup.OleDb.1;Data Source=$Workbook$;Location=&quot;pub?output=csv&quot;;Extended Properties=&quot;&quot;" command="SELECT * FROM [pub?output=csv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<sst xmlns="http://schemas.openxmlformats.org/spreadsheetml/2006/main" count="316" uniqueCount="86">
  <si>
    <t>ATIVO</t>
  </si>
  <si>
    <t>TIPO</t>
  </si>
  <si>
    <t>COTACAO</t>
  </si>
  <si>
    <t>EMBR3</t>
  </si>
  <si>
    <t>EMPRESA</t>
  </si>
  <si>
    <t>FLRY3</t>
  </si>
  <si>
    <t>ITSA4</t>
  </si>
  <si>
    <t>PETR4</t>
  </si>
  <si>
    <t>HGBS11</t>
  </si>
  <si>
    <t>FII</t>
  </si>
  <si>
    <t>HGLG11</t>
  </si>
  <si>
    <t>HGRE11</t>
  </si>
  <si>
    <t>KNRI11</t>
  </si>
  <si>
    <t>TAEE4</t>
  </si>
  <si>
    <t>Data</t>
  </si>
  <si>
    <t>Ativos</t>
  </si>
  <si>
    <t>QTE</t>
  </si>
  <si>
    <t>Custo</t>
  </si>
  <si>
    <t>Valor Unitário</t>
  </si>
  <si>
    <t>Total</t>
  </si>
  <si>
    <t>Tipo</t>
  </si>
  <si>
    <t>Ano</t>
  </si>
  <si>
    <t>Mês</t>
  </si>
  <si>
    <t>Ano/Mês</t>
  </si>
  <si>
    <t>Cod</t>
  </si>
  <si>
    <t>Ativo</t>
  </si>
  <si>
    <t>Qte</t>
  </si>
  <si>
    <t>Valor Bruto</t>
  </si>
  <si>
    <t>IR</t>
  </si>
  <si>
    <t>Valor Líquido</t>
  </si>
  <si>
    <t>HGBS12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</si>
  <si>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</si>
  <si>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</si>
  <si>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</si>
  <si>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</si>
  <si>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</si>
  <si>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</si>
  <si>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</si>
  <si>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</si>
  <si>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</si>
  <si>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</si>
  <si>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</si>
  <si>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</si>
  <si>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</si>
  <si>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</si>
  <si>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</si>
  <si>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</si>
  <si>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</si>
  <si>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Soma de Total</t>
  </si>
  <si>
    <t>Soma de Valor Líquido</t>
  </si>
  <si>
    <t>Cotação</t>
  </si>
  <si>
    <t>Total Aportado</t>
  </si>
  <si>
    <t>Total qtde</t>
  </si>
  <si>
    <t>PM</t>
  </si>
  <si>
    <t>Total Atual</t>
  </si>
  <si>
    <t>Valorização</t>
  </si>
  <si>
    <t>Valorização %</t>
  </si>
  <si>
    <t>Até qual data?</t>
  </si>
  <si>
    <t>Caixa</t>
  </si>
  <si>
    <t>Até</t>
  </si>
  <si>
    <t>Caixa:</t>
  </si>
  <si>
    <t>Carteira atual</t>
  </si>
  <si>
    <t>Valorização (R$)</t>
  </si>
  <si>
    <t>Valores para caixa de combinação</t>
  </si>
  <si>
    <t>Tudo</t>
  </si>
  <si>
    <t>Ações</t>
  </si>
  <si>
    <t>Fundos Imobiliarios</t>
  </si>
  <si>
    <t>Entradas do usuario</t>
  </si>
  <si>
    <t>Caixa de combinação</t>
  </si>
  <si>
    <t>Valor em caixa</t>
  </si>
  <si>
    <t>Matriz auxiliar: somatório por tipo de ativo</t>
  </si>
  <si>
    <t>Carteira Atual</t>
  </si>
  <si>
    <t>Indicadores de chave de desempenho (KPI)</t>
  </si>
  <si>
    <t>Total aportado</t>
  </si>
  <si>
    <t>Grafico: Composição do patrimônio</t>
  </si>
  <si>
    <t>Grafico: Maiores valores</t>
  </si>
  <si>
    <t>Ordem</t>
  </si>
  <si>
    <t>Valor</t>
  </si>
  <si>
    <t>Maiores valores (tudo)</t>
  </si>
  <si>
    <t>Corresp</t>
  </si>
  <si>
    <t>Maiores valores (Ações)</t>
  </si>
  <si>
    <t>Maiores valores (FII)</t>
  </si>
  <si>
    <t>Grafico: Maiores valorizações</t>
  </si>
  <si>
    <t>Maiores valorizações (tudo)</t>
  </si>
  <si>
    <t>Maiores valorizações (Ações)</t>
  </si>
  <si>
    <t>Maiores valorização (FII)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</si>
</sst>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6" formatCode="#,##0.00_ ;\-#,##0.00\ "/>
    <numFmt numFmtId="168" formatCode="0.0%"/>
    <numFmt numFmtId="169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8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32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ck">
        <color theme="7" tint="-0.499984740745262"/>
      </left>
      <right/>
      <top style="thick">
        <color theme="7" tint="-0.499984740745262"/>
      </top>
      <bottom/>
      <diagonal/>
    </border>
    <border>
      <left/>
      <right/>
      <top style="thick">
        <color theme="7" tint="-0.499984740745262"/>
      </top>
      <bottom/>
      <diagonal/>
    </border>
    <border>
      <left/>
      <right style="thick">
        <color theme="7" tint="-0.499984740745262"/>
      </right>
      <top style="thick">
        <color theme="7" tint="-0.499984740745262"/>
      </top>
      <bottom/>
      <diagonal/>
    </border>
    <border>
      <left style="thick">
        <color theme="7" tint="-0.499984740745262"/>
      </left>
      <right/>
      <top/>
      <bottom style="thick">
        <color theme="7" tint="-0.499984740745262"/>
      </bottom>
      <diagonal/>
    </border>
    <border>
      <left/>
      <right/>
      <top/>
      <bottom style="thick">
        <color theme="7" tint="-0.499984740745262"/>
      </bottom>
      <diagonal/>
    </border>
    <border>
      <left/>
      <right style="thick">
        <color theme="7" tint="-0.499984740745262"/>
      </right>
      <top/>
      <bottom style="thick">
        <color theme="7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thick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 style="thick">
        <color theme="7" tint="-0.499984740745262"/>
      </right>
      <top style="thick">
        <color theme="7" tint="-0.499984740745262"/>
      </top>
      <bottom style="medium">
        <color theme="7" tint="-0.499984740745262"/>
      </bottom>
      <diagonal/>
    </border>
    <border>
      <left/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ck">
        <color theme="7" tint="-0.499984740745262"/>
      </left>
      <right/>
      <top style="thick">
        <color theme="7" tint="-0.499984740745262"/>
      </top>
      <bottom style="thick">
        <color theme="7" tint="-0.499984740745262"/>
      </bottom>
      <diagonal/>
    </border>
    <border>
      <left style="thick">
        <color theme="7" tint="-0.499984740745262"/>
      </left>
      <right/>
      <top/>
      <bottom/>
      <diagonal/>
    </border>
    <border>
      <left/>
      <right style="thick">
        <color theme="7" tint="-0.499984740745262"/>
      </right>
      <top/>
      <bottom/>
      <diagonal/>
    </border>
    <border>
      <left style="thick">
        <color theme="7" tint="-0.499984740745262"/>
      </left>
      <right style="thick">
        <color theme="7" tint="-0.499984740745262"/>
      </right>
      <top style="thick">
        <color theme="7" tint="-0.499984740745262"/>
      </top>
      <bottom/>
      <diagonal/>
    </border>
    <border>
      <left style="thick">
        <color theme="7" tint="-0.499984740745262"/>
      </left>
      <right style="thick">
        <color theme="7" tint="-0.499984740745262"/>
      </right>
      <top/>
      <bottom/>
      <diagonal/>
    </border>
    <border>
      <left style="thick">
        <color theme="7" tint="-0.499984740745262"/>
      </left>
      <right style="thick">
        <color theme="7" tint="-0.499984740745262"/>
      </right>
      <top/>
      <bottom style="thick">
        <color theme="7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NumberFormat="1"/>
    <xf numFmtId="44" fontId="0" fillId="0" borderId="0" xfId="0" applyNumberFormat="1"/>
    <xf numFmtId="0" fontId="2" fillId="0" borderId="1" xfId="0" applyFont="1" applyBorder="1"/>
    <xf numFmtId="0" fontId="0" fillId="0" borderId="0" xfId="0" applyAlignment="1">
      <alignment vertical="center"/>
    </xf>
    <xf numFmtId="4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4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14" fontId="0" fillId="2" borderId="2" xfId="0" applyNumberFormat="1" applyFont="1" applyFill="1" applyBorder="1"/>
    <xf numFmtId="10" fontId="0" fillId="0" borderId="0" xfId="0" applyNumberFormat="1"/>
    <xf numFmtId="0" fontId="0" fillId="4" borderId="0" xfId="0" applyFill="1"/>
    <xf numFmtId="0" fontId="0" fillId="3" borderId="3" xfId="0" applyFill="1" applyBorder="1"/>
    <xf numFmtId="0" fontId="0" fillId="3" borderId="4" xfId="0" applyFill="1" applyBorder="1"/>
    <xf numFmtId="14" fontId="8" fillId="3" borderId="4" xfId="0" applyNumberFormat="1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0" fillId="3" borderId="4" xfId="0" applyFont="1" applyFill="1" applyBorder="1" applyAlignment="1">
      <alignment horizontal="right" vertical="center"/>
    </xf>
    <xf numFmtId="0" fontId="0" fillId="5" borderId="9" xfId="0" applyFill="1" applyBorder="1"/>
    <xf numFmtId="0" fontId="10" fillId="0" borderId="0" xfId="0" applyFont="1"/>
    <xf numFmtId="168" fontId="11" fillId="3" borderId="11" xfId="0" applyNumberFormat="1" applyFont="1" applyFill="1" applyBorder="1" applyAlignment="1">
      <alignment horizontal="center" vertical="center"/>
    </xf>
    <xf numFmtId="168" fontId="11" fillId="3" borderId="12" xfId="0" applyNumberFormat="1" applyFont="1" applyFill="1" applyBorder="1" applyAlignment="1">
      <alignment horizontal="center" vertical="center"/>
    </xf>
    <xf numFmtId="0" fontId="0" fillId="5" borderId="0" xfId="0" applyFill="1"/>
    <xf numFmtId="0" fontId="9" fillId="3" borderId="0" xfId="0" applyFont="1" applyFill="1"/>
    <xf numFmtId="0" fontId="4" fillId="6" borderId="0" xfId="0" applyFont="1" applyFill="1"/>
    <xf numFmtId="0" fontId="4" fillId="5" borderId="0" xfId="0" applyFont="1" applyFill="1"/>
    <xf numFmtId="44" fontId="8" fillId="5" borderId="10" xfId="0" applyNumberFormat="1" applyFont="1" applyFill="1" applyBorder="1" applyAlignment="1" applyProtection="1">
      <alignment horizontal="center" vertical="center"/>
      <protection locked="0"/>
    </xf>
    <xf numFmtId="2" fontId="4" fillId="5" borderId="0" xfId="0" applyNumberFormat="1" applyFont="1" applyFill="1"/>
    <xf numFmtId="0" fontId="9" fillId="3" borderId="0" xfId="0" applyFont="1" applyFill="1" applyAlignment="1">
      <alignment horizontal="left"/>
    </xf>
    <xf numFmtId="44" fontId="4" fillId="5" borderId="0" xfId="0" applyNumberFormat="1" applyFont="1" applyFill="1"/>
    <xf numFmtId="10" fontId="4" fillId="5" borderId="0" xfId="0" applyNumberFormat="1" applyFont="1" applyFill="1"/>
    <xf numFmtId="0" fontId="9" fillId="3" borderId="0" xfId="0" applyFont="1" applyFill="1" applyAlignment="1">
      <alignment horizontal="left"/>
    </xf>
    <xf numFmtId="44" fontId="11" fillId="3" borderId="12" xfId="0" applyNumberFormat="1" applyFont="1" applyFill="1" applyBorder="1" applyAlignment="1">
      <alignment horizontal="center" vertical="center"/>
    </xf>
    <xf numFmtId="44" fontId="11" fillId="3" borderId="11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44" fontId="8" fillId="5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5" xfId="0" applyFill="1" applyBorder="1"/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0" fontId="4" fillId="5" borderId="0" xfId="0" applyFont="1" applyFill="1" applyAlignment="1">
      <alignment horizontal="center"/>
    </xf>
    <xf numFmtId="169" fontId="4" fillId="5" borderId="0" xfId="0" applyNumberFormat="1" applyFont="1" applyFill="1"/>
    <xf numFmtId="9" fontId="4" fillId="5" borderId="0" xfId="1" applyFont="1" applyFill="1"/>
  </cellXfs>
  <cellStyles count="2">
    <cellStyle name="Normal" xfId="0" builtinId="0"/>
    <cellStyle name="Porcentagem" xfId="1" builtinId="5"/>
  </cellStyles>
  <dxfs count="70">
    <dxf>
      <numFmt numFmtId="0" formatCode="General"/>
    </dxf>
    <dxf>
      <numFmt numFmtId="0" formatCode="General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4" formatCode="0.0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6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16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16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general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solidFill>
                  <a:schemeClr val="accent4">
                    <a:lumMod val="50000"/>
                  </a:schemeClr>
                </a:solidFill>
              </a:rPr>
              <a:t>composição do</a:t>
            </a:r>
            <a:r>
              <a:rPr lang="pt-BR" sz="1200" baseline="0">
                <a:solidFill>
                  <a:schemeClr val="accent4">
                    <a:lumMod val="50000"/>
                  </a:schemeClr>
                </a:solidFill>
              </a:rPr>
              <a:t> patrimônio</a:t>
            </a:r>
            <a:endParaRPr lang="pt-BR" sz="1200">
              <a:solidFill>
                <a:schemeClr val="accent4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2195676905574517"/>
          <c:y val="2.33918128654970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525-4784-A7FD-E0645288418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525-4784-A7FD-E06452884189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525-4784-A7FD-E064528841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DashboardAux!$H$11:$H$13</c:f>
              <c:strCache>
                <c:ptCount val="3"/>
                <c:pt idx="0">
                  <c:v>Ações</c:v>
                </c:pt>
                <c:pt idx="1">
                  <c:v>FII</c:v>
                </c:pt>
                <c:pt idx="2">
                  <c:v>Caixa</c:v>
                </c:pt>
              </c:strCache>
            </c:strRef>
          </c:cat>
          <c:val>
            <c:numRef>
              <c:f>DashboardAux!$I$11:$I$13</c:f>
              <c:numCache>
                <c:formatCode>_("R$"* #,##0.00_);_("R$"* \(#,##0.00\);_("R$"* "-"??_);_(@_)</c:formatCode>
                <c:ptCount val="3"/>
                <c:pt idx="0">
                  <c:v>43280</c:v>
                </c:pt>
                <c:pt idx="1">
                  <c:v>7663.38</c:v>
                </c:pt>
                <c:pt idx="2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25-4784-A7FD-E0645288418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 b="1">
                <a:solidFill>
                  <a:schemeClr val="accent4">
                    <a:lumMod val="50000"/>
                  </a:schemeClr>
                </a:solidFill>
              </a:rPr>
              <a:t>MAIORES</a:t>
            </a:r>
            <a:r>
              <a:rPr lang="pt-BR" sz="1200" b="1" baseline="0">
                <a:solidFill>
                  <a:schemeClr val="accent4">
                    <a:lumMod val="50000"/>
                  </a:schemeClr>
                </a:solidFill>
              </a:rPr>
              <a:t> VALORES ATUAIS</a:t>
            </a:r>
            <a:endParaRPr lang="pt-BR" sz="1200" b="1">
              <a:solidFill>
                <a:schemeClr val="accent4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8929803906544701"/>
          <c:y val="1.1730208890082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DashboardAux!$C$20:$C$29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TAEE4</c:v>
                </c:pt>
                <c:pt idx="6">
                  <c:v>FLRY3</c:v>
                </c:pt>
                <c:pt idx="7">
                  <c:v>ITSA4</c:v>
                </c:pt>
                <c:pt idx="8">
                  <c:v>PETR4</c:v>
                </c:pt>
                <c:pt idx="9">
                  <c:v>EMBR3</c:v>
                </c:pt>
              </c:strCache>
            </c:strRef>
          </c:cat>
          <c:val>
            <c:numRef>
              <c:f>DashboardAux!$D$20:$D$29</c:f>
              <c:numCache>
                <c:formatCode>"R$"\ 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2288</c:v>
                </c:pt>
                <c:pt idx="6">
                  <c:v>2694</c:v>
                </c:pt>
                <c:pt idx="7">
                  <c:v>3264.0000000000005</c:v>
                </c:pt>
                <c:pt idx="8">
                  <c:v>13163.999999999998</c:v>
                </c:pt>
                <c:pt idx="9">
                  <c:v>21870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B-489B-9211-76DE45199E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2103789664"/>
        <c:axId val="2103788704"/>
      </c:barChart>
      <c:catAx>
        <c:axId val="2103789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3788704"/>
        <c:crosses val="autoZero"/>
        <c:auto val="1"/>
        <c:lblAlgn val="ctr"/>
        <c:lblOffset val="100"/>
        <c:noMultiLvlLbl val="0"/>
      </c:catAx>
      <c:valAx>
        <c:axId val="2103788704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21037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 b="1">
                <a:solidFill>
                  <a:schemeClr val="accent4">
                    <a:lumMod val="50000"/>
                  </a:schemeClr>
                </a:solidFill>
              </a:rPr>
              <a:t>MAIORES</a:t>
            </a:r>
            <a:r>
              <a:rPr lang="pt-BR" sz="1200" b="1" baseline="0">
                <a:solidFill>
                  <a:schemeClr val="accent4">
                    <a:lumMod val="50000"/>
                  </a:schemeClr>
                </a:solidFill>
              </a:rPr>
              <a:t> VALORIZAÇÕES</a:t>
            </a:r>
          </a:p>
        </c:rich>
      </c:tx>
      <c:layout>
        <c:manualLayout>
          <c:xMode val="edge"/>
          <c:yMode val="edge"/>
          <c:x val="0.20962319778520835"/>
          <c:y val="1.554907201424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DashboardAux!$C$33:$C$42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FLRY3</c:v>
                </c:pt>
                <c:pt idx="6">
                  <c:v>ITSA4</c:v>
                </c:pt>
                <c:pt idx="7">
                  <c:v>TAEE4</c:v>
                </c:pt>
                <c:pt idx="8">
                  <c:v>PETR4</c:v>
                </c:pt>
                <c:pt idx="9">
                  <c:v>EMBR3</c:v>
                </c:pt>
              </c:strCache>
            </c:strRef>
          </c:cat>
          <c:val>
            <c:numRef>
              <c:f>DashboardAux!$D$33:$D$42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-0.33101564440029796</c:v>
                </c:pt>
                <c:pt idx="6">
                  <c:v>0.29936305732484092</c:v>
                </c:pt>
                <c:pt idx="7">
                  <c:v>0.3993883792048929</c:v>
                </c:pt>
                <c:pt idx="8">
                  <c:v>0.9903235560931356</c:v>
                </c:pt>
                <c:pt idx="9">
                  <c:v>2.8530655391120505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6-45EE-B30C-93512C0254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1725929840"/>
        <c:axId val="1725928400"/>
      </c:barChart>
      <c:catAx>
        <c:axId val="1725929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5928400"/>
        <c:crosses val="autoZero"/>
        <c:auto val="1"/>
        <c:lblAlgn val="ctr"/>
        <c:lblOffset val="100"/>
        <c:tickLblSkip val="1"/>
        <c:noMultiLvlLbl val="0"/>
      </c:catAx>
      <c:valAx>
        <c:axId val="172592840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2592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DashboardAux!$C$8" fmlaRange="DashboardAux!$C$3:$C$5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2695575</xdr:colOff>
          <xdr:row>1</xdr:row>
          <xdr:rowOff>361950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238125</xdr:colOff>
      <xdr:row>4</xdr:row>
      <xdr:rowOff>200025</xdr:rowOff>
    </xdr:from>
    <xdr:to>
      <xdr:col>6</xdr:col>
      <xdr:colOff>19050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F5FECE-407A-49BB-8D05-4CAEBA725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5</xdr:row>
      <xdr:rowOff>1</xdr:rowOff>
    </xdr:from>
    <xdr:to>
      <xdr:col>9</xdr:col>
      <xdr:colOff>0</xdr:colOff>
      <xdr:row>15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B9E121-B403-4D59-B63C-850957898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142875</xdr:colOff>
      <xdr:row>4</xdr:row>
      <xdr:rowOff>200024</xdr:rowOff>
    </xdr:from>
    <xdr:to>
      <xdr:col>13</xdr:col>
      <xdr:colOff>9525</xdr:colOff>
      <xdr:row>15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9368057-B2A8-4390-882C-D05DFA04D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santos" refreshedDate="45826.950999884262" createdVersion="8" refreshedVersion="8" minRefreshableVersion="3" recordCount="71" xr:uid="{5CCC6C91-630B-402F-8C38-1AC6BAE8BCF7}">
  <cacheSource type="worksheet">
    <worksheetSource name="TbProventos"/>
  </cacheSource>
  <cacheFields count="9">
    <cacheField name="Cod" numFmtId="0">
      <sharedItems containsSemiMixedTypes="0" containsString="0" containsNumber="1" containsInteger="1" minValue="13" maxValue="50"/>
    </cacheField>
    <cacheField name="Ativo" numFmtId="0">
      <sharedItems count="10">
        <s v="ITSA4"/>
        <s v="HGBS11"/>
        <s v="HGLG11"/>
        <s v="HGRE11"/>
        <s v="KNRI11"/>
        <s v="PETR4"/>
        <s v="FLRY3"/>
        <s v="HGBS12"/>
        <s v="TAEE4"/>
        <s v="EMBR3"/>
      </sharedItems>
    </cacheField>
    <cacheField name="Qte" numFmtId="0">
      <sharedItems containsSemiMixedTypes="0" containsString="0" containsNumber="1" containsInteger="1" minValue="100" maxValue="100"/>
    </cacheField>
    <cacheField name="Valor Bruto" numFmtId="164">
      <sharedItems containsSemiMixedTypes="0" containsString="0" containsNumber="1" minValue="0" maxValue="180.6"/>
    </cacheField>
    <cacheField name="IR" numFmtId="164">
      <sharedItems containsSemiMixedTypes="0" containsString="0" containsNumber="1" minValue="0" maxValue="6"/>
    </cacheField>
    <cacheField name="Valor Líquido" numFmtId="164">
      <sharedItems containsSemiMixedTypes="0" containsString="0" containsNumber="1" minValue="0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0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0">
      <sharedItems count="3">
        <s v="EMPRESA"/>
        <s v="FII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santos" refreshedDate="45826.951000000001" createdVersion="8" refreshedVersion="8" minRefreshableVersion="3" recordCount="28" xr:uid="{DD211063-6E35-48B7-A42C-0195CB57FDFB}">
  <cacheSource type="worksheet">
    <worksheetSource name="TbAportes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s" numFmtId="0">
      <sharedItems count="9">
        <s v="ITSA4"/>
        <s v="EMBR3"/>
        <s v="PETR4"/>
        <s v="HGLG11"/>
        <s v="HGRE11"/>
        <s v="FLRY3"/>
        <s v="HGBS11"/>
        <s v="KNRI11"/>
        <s v="TAEE4"/>
      </sharedItems>
    </cacheField>
    <cacheField name="QTE" numFmtId="0">
      <sharedItems containsSemiMixedTypes="0" containsString="0" containsNumber="1" containsInteger="1" minValue="1" maxValue="100"/>
    </cacheField>
    <cacheField name="Valor Unitário" numFmtId="44">
      <sharedItems containsSemiMixedTypes="0" containsString="0" containsNumber="1" minValue="7.51" maxValue="194.23"/>
    </cacheField>
    <cacheField name="Custo" numFmtId="44">
      <sharedItems containsSemiMixedTypes="0" containsString="0" containsNumber="1" containsInteger="1" minValue="0" maxValue="10"/>
    </cacheField>
    <cacheField name="Total" numFmtId="44">
      <sharedItems containsSemiMixedTypes="0" containsString="0" containsNumber="1" minValue="191.74" maxValue="2042"/>
    </cacheField>
    <cacheField name="Tipo" numFmtId="0">
      <sharedItems count="2">
        <s v="EMPRESA"/>
        <s v="FII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50"/>
    <x v="1"/>
    <n v="100"/>
    <n v="0"/>
    <n v="0"/>
    <n v="0"/>
    <d v="2019-02-15T00:00:00"/>
    <x v="2"/>
    <x v="1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6"/>
    <n v="100"/>
    <n v="166"/>
    <n v="2.34"/>
    <n v="163.66"/>
    <d v="2019-03-15T00:00:00"/>
    <x v="3"/>
    <x v="0"/>
  </r>
  <r>
    <n v="14"/>
    <x v="7"/>
    <n v="100"/>
    <n v="37.44"/>
    <n v="0"/>
    <n v="37.44"/>
    <d v="2019-03-17T00:00:00"/>
    <x v="3"/>
    <x v="2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8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6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9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8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8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18.95"/>
    <n v="10"/>
    <n v="1905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23.94"/>
    <n v="0"/>
    <n v="991.52"/>
    <x v="1"/>
    <n v="2019"/>
    <n v="2"/>
    <x v="2"/>
  </r>
  <r>
    <d v="2019-03-10T00:00:00"/>
    <x v="5"/>
    <n v="100"/>
    <n v="19.75"/>
    <n v="10"/>
    <n v="1985"/>
    <x v="0"/>
    <n v="2019"/>
    <n v="3"/>
    <x v="3"/>
  </r>
  <r>
    <d v="2019-03-10T00:00:00"/>
    <x v="6"/>
    <n v="3"/>
    <n v="183.82"/>
    <n v="0"/>
    <n v="551.46"/>
    <x v="1"/>
    <n v="2019"/>
    <n v="3"/>
    <x v="3"/>
  </r>
  <r>
    <d v="2019-04-10T00:00:00"/>
    <x v="3"/>
    <n v="2"/>
    <n v="121.34"/>
    <n v="0"/>
    <n v="242.68"/>
    <x v="1"/>
    <n v="2019"/>
    <n v="4"/>
    <x v="4"/>
  </r>
  <r>
    <d v="2019-04-10T00:00:00"/>
    <x v="7"/>
    <n v="3"/>
    <n v="131.05000000000001"/>
    <n v="0"/>
    <n v="393.15000000000003"/>
    <x v="1"/>
    <n v="2019"/>
    <n v="4"/>
    <x v="4"/>
  </r>
  <r>
    <d v="2019-05-10T00:00:00"/>
    <x v="1"/>
    <n v="100"/>
    <n v="19.12"/>
    <n v="10"/>
    <n v="1922"/>
    <x v="0"/>
    <n v="2019"/>
    <n v="5"/>
    <x v="5"/>
  </r>
  <r>
    <d v="2019-05-10T00:00:00"/>
    <x v="8"/>
    <n v="100"/>
    <n v="7.56"/>
    <n v="10"/>
    <n v="766"/>
    <x v="0"/>
    <n v="2019"/>
    <n v="5"/>
    <x v="5"/>
  </r>
  <r>
    <d v="2019-06-10T00:00:00"/>
    <x v="4"/>
    <n v="5"/>
    <n v="135.81"/>
    <n v="0"/>
    <n v="679.05"/>
    <x v="1"/>
    <n v="2019"/>
    <n v="6"/>
    <x v="6"/>
  </r>
  <r>
    <d v="2019-06-10T00:00:00"/>
    <x v="2"/>
    <n v="100"/>
    <n v="15.81"/>
    <n v="10"/>
    <n v="1591"/>
    <x v="0"/>
    <n v="2019"/>
    <n v="6"/>
    <x v="6"/>
  </r>
  <r>
    <d v="2019-07-10T00:00:00"/>
    <x v="5"/>
    <n v="100"/>
    <n v="20.32"/>
    <n v="10"/>
    <n v="2042"/>
    <x v="0"/>
    <n v="2019"/>
    <n v="7"/>
    <x v="7"/>
  </r>
  <r>
    <d v="2019-07-10T00:00:00"/>
    <x v="6"/>
    <n v="1"/>
    <n v="191.74"/>
    <n v="0"/>
    <n v="191.74"/>
    <x v="1"/>
    <n v="2019"/>
    <n v="7"/>
    <x v="7"/>
  </r>
  <r>
    <d v="2019-08-10T00:00:00"/>
    <x v="3"/>
    <n v="7"/>
    <n v="138.94"/>
    <n v="0"/>
    <n v="972.57999999999993"/>
    <x v="1"/>
    <n v="2019"/>
    <n v="8"/>
    <x v="8"/>
  </r>
  <r>
    <d v="2019-08-10T00:00:00"/>
    <x v="2"/>
    <n v="100"/>
    <n v="17.559999999999999"/>
    <n v="10"/>
    <n v="1765.9999999999998"/>
    <x v="0"/>
    <n v="2019"/>
    <n v="8"/>
    <x v="8"/>
  </r>
  <r>
    <d v="2019-09-10T00:00:00"/>
    <x v="1"/>
    <n v="100"/>
    <n v="18.39"/>
    <n v="10"/>
    <n v="1849"/>
    <x v="0"/>
    <n v="2019"/>
    <n v="9"/>
    <x v="9"/>
  </r>
  <r>
    <d v="2019-09-10T00:00:00"/>
    <x v="4"/>
    <n v="2"/>
    <n v="134.1"/>
    <n v="0"/>
    <n v="268.2"/>
    <x v="1"/>
    <n v="2019"/>
    <n v="9"/>
    <x v="9"/>
  </r>
  <r>
    <d v="2019-10-10T00:00:00"/>
    <x v="2"/>
    <n v="100"/>
    <n v="16.03"/>
    <n v="10"/>
    <n v="1613"/>
    <x v="0"/>
    <n v="2019"/>
    <n v="10"/>
    <x v="10"/>
  </r>
  <r>
    <d v="2019-10-10T00:00:00"/>
    <x v="6"/>
    <n v="5"/>
    <n v="194.23"/>
    <n v="0"/>
    <n v="971.15"/>
    <x v="1"/>
    <n v="2019"/>
    <n v="10"/>
    <x v="10"/>
  </r>
  <r>
    <d v="2019-11-10T00:00:00"/>
    <x v="0"/>
    <n v="100"/>
    <n v="9.5299999999999994"/>
    <n v="10"/>
    <n v="962.99999999999989"/>
    <x v="0"/>
    <n v="2019"/>
    <n v="11"/>
    <x v="11"/>
  </r>
  <r>
    <d v="2019-11-10T00:00:00"/>
    <x v="3"/>
    <n v="3"/>
    <n v="143.55000000000001"/>
    <n v="0"/>
    <n v="430.65000000000003"/>
    <x v="1"/>
    <n v="2019"/>
    <n v="11"/>
    <x v="11"/>
  </r>
  <r>
    <d v="2019-12-10T00:00:00"/>
    <x v="7"/>
    <n v="5"/>
    <n v="143.22999999999999"/>
    <n v="0"/>
    <n v="716.15"/>
    <x v="1"/>
    <n v="2019"/>
    <n v="12"/>
    <x v="12"/>
  </r>
  <r>
    <d v="2019-12-10T00:00:00"/>
    <x v="8"/>
    <n v="100"/>
    <n v="8.59"/>
    <n v="10"/>
    <n v="869"/>
    <x v="0"/>
    <n v="2019"/>
    <n v="12"/>
    <x v="12"/>
  </r>
  <r>
    <d v="2020-01-10T00:00:00"/>
    <x v="7"/>
    <n v="10"/>
    <n v="152.6"/>
    <n v="0"/>
    <n v="1526"/>
    <x v="1"/>
    <n v="2020"/>
    <n v="1"/>
    <x v="13"/>
  </r>
  <r>
    <d v="2020-01-10T00:00:00"/>
    <x v="4"/>
    <n v="4"/>
    <n v="138.44999999999999"/>
    <n v="0"/>
    <n v="553.79999999999995"/>
    <x v="1"/>
    <n v="2020"/>
    <n v="1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B5496-A135-4B06-8F67-C54BA36E5259}" name="ReProventos" cacheId="1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N16" firstHeaderRow="1" firstDataRow="2" firstDataCol="1"/>
  <pivotFields count="9">
    <pivotField showAll="0"/>
    <pivotField axis="axisRow" showAll="0">
      <items count="11">
        <item x="9"/>
        <item x="6"/>
        <item x="1"/>
        <item x="2"/>
        <item x="3"/>
        <item x="0"/>
        <item x="4"/>
        <item x="5"/>
        <item x="8"/>
        <item x="7"/>
        <item t="default"/>
      </items>
    </pivotField>
    <pivotField showAll="0"/>
    <pivotField numFmtId="164" showAll="0"/>
    <pivotField numFmtId="164" showAll="0"/>
    <pivotField dataField="1" numFmtId="164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h="1" x="2"/>
        <item t="default"/>
      </items>
    </pivotField>
  </pivotFields>
  <rowFields count="2">
    <field x="8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íquido" fld="5" baseField="8" baseItem="1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C80E8-1C91-4971-A036-40E47B29AD2C}" name="ReAportes" cacheId="1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showAll="0"/>
    <pivotField numFmtId="44" showAll="0"/>
    <pivotField numFmtId="44" showAll="0"/>
    <pivotField dataField="1" numFmtId="4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BC5BC66-B2BB-46E2-9D42-F46040C8E146}" autoFormatId="16" applyNumberFormats="0" applyBorderFormats="0" applyFontFormats="0" applyPatternFormats="0" applyAlignmentFormats="0" applyWidthHeightFormats="0">
  <queryTableRefresh nextId="4">
    <queryTableFields count="3">
      <queryTableField id="1" name="ATIVO" tableColumnId="1"/>
      <queryTableField id="2" name="TIPO" tableColumnId="2"/>
      <queryTableField id="3" name="COTACAO" tableColumnId="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40946-228E-46B5-AC66-D8CEB6837E7C}" name="TbCarteira" displayName="TbCarteira" ref="B2:J12" totalsRowCount="1">
  <autoFilter ref="B2:J11" xr:uid="{06840946-228E-46B5-AC66-D8CEB6837E7C}"/>
  <tableColumns count="9">
    <tableColumn id="1" xr3:uid="{41EC8400-8288-4587-B5E8-6662CB6221DE}" name="Ativo" totalsRowLabel="Total" dataDxfId="46"/>
    <tableColumn id="2" xr3:uid="{75005EDC-4D42-4C73-9F77-03493BDA87D3}" name="Tipo" dataDxfId="45">
      <calculatedColumnFormula>VLOOKUP(TbCarteira[[#This Row],[Ativo]],TbAtivos[],2,FALSE)</calculatedColumnFormula>
    </tableColumn>
    <tableColumn id="3" xr3:uid="{022B76D5-5B16-4086-A172-B82DAD3643C1}" name="Cotação" dataDxfId="44">
      <calculatedColumnFormula>VLOOKUP(TbCarteira[[#This Row],[Ativo]],TbAtivos[],3,FALSE)</calculatedColumnFormula>
    </tableColumn>
    <tableColumn id="4" xr3:uid="{76BB7665-0193-411A-9EC9-C70BEEC5BFC0}" name="Total Aportado" totalsRowFunction="sum" dataDxfId="43" totalsRowDxfId="37">
      <calculatedColumnFormula>SUMIFS(TbAportes[Total],TbAportes[Ativos],TbCarteira[[#This Row],[Ativo]],TbAportes[Data],"&lt;="&amp;IF($M$2="",TODAY(),$M$2))</calculatedColumnFormula>
    </tableColumn>
    <tableColumn id="5" xr3:uid="{41465331-F152-4362-93E3-07B5E6AEA595}" name="Total qtde" dataDxfId="42">
      <calculatedColumnFormula>SUMIFS(TbAportes[QTE],TbAportes[Ativos],TbCarteira[[#This Row],[Ativo]],TbAportes[Data],"&lt;="&amp;IF($M$2="",TODAY(),$M$2))</calculatedColumnFormula>
    </tableColumn>
    <tableColumn id="6" xr3:uid="{00421009-04A1-4F81-B354-8E9F66206741}" name="PM" dataDxfId="41">
      <calculatedColumnFormula>TbCarteira[[#This Row],[Total Aportado]]/TbCarteira[[#This Row],[Total qtde]]</calculatedColumnFormula>
    </tableColumn>
    <tableColumn id="7" xr3:uid="{1E2223D1-2908-42D5-864B-0D2FDAD08484}" name="Total Atual" totalsRowFunction="sum" dataDxfId="40" totalsRowDxfId="36">
      <calculatedColumnFormula>TbCarteira[[#This Row],[Total qtde]]*TbCarteira[[#This Row],[Cotação]]</calculatedColumnFormula>
    </tableColumn>
    <tableColumn id="8" xr3:uid="{BA27ECFD-81C1-4BF9-81E3-C3F72A288471}" name="Valorização" totalsRowFunction="sum" dataDxfId="39" totalsRowDxfId="35">
      <calculatedColumnFormula>TbCarteira[[#This Row],[Total Atual]]-TbCarteira[[#This Row],[Total Aportado]]</calculatedColumnFormula>
    </tableColumn>
    <tableColumn id="9" xr3:uid="{09751D9E-4A27-4F2A-B48D-1C4F0F3FFC5F}" name="Valorização %" totalsRowFunction="custom" dataDxfId="38" totalsRowDxfId="34">
      <calculatedColumnFormula>TbCarteira[[#This Row],[Total Atual]]/TbCarteira[[#This Row],[Total Aportado]]-1</calculatedColumnFormula>
      <totalsRowFormula>TbCarteira[[#Totals],[Total Atual]]/TbCarteira[[#Totals],[Total Aportado]]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6B8D18-54B1-433E-B50A-AD6034F38A54}" name="TbCarteiraAções" displayName="TbCarteiraAções" ref="B2:J8" totalsRowCount="1">
  <autoFilter ref="B2:J7" xr:uid="{06840946-228E-46B5-AC66-D8CEB6837E7C}"/>
  <tableColumns count="9">
    <tableColumn id="1" xr3:uid="{CFC7B865-E3EF-4AC3-9A25-AE8979FD8066}" name="Ativo" totalsRowLabel="Total" dataDxfId="33"/>
    <tableColumn id="2" xr3:uid="{DB9ABB30-A6CF-4835-AEA3-FC3C307055AE}" name="Tipo" dataDxfId="32">
      <calculatedColumnFormula>VLOOKUP(TbCarteiraAções[[#This Row],[Ativo]],TbAtivos[],2,FALSE)</calculatedColumnFormula>
    </tableColumn>
    <tableColumn id="3" xr3:uid="{A81767C1-A739-4150-9E0D-B971B4058042}" name="Cotação" dataDxfId="31">
      <calculatedColumnFormula>VLOOKUP(TbCarteiraAções[[#This Row],[Ativo]],TbAtivos[],3,FALSE)</calculatedColumnFormula>
    </tableColumn>
    <tableColumn id="4" xr3:uid="{25775021-91DF-4A97-8D19-72DFA04B97F8}" name="Total Aportado" totalsRowFunction="sum" dataDxfId="29" totalsRowDxfId="30">
      <calculatedColumnFormula>SUMIFS(TbAportes[Total],TbAportes[Ativos],TbCarteiraAções[[#This Row],[Ativo]],TbAportes[Data],"&lt;="&amp;IF($M$2="",TODAY(),$M$2))</calculatedColumnFormula>
    </tableColumn>
    <tableColumn id="5" xr3:uid="{4423F8D3-531B-4C5F-8BE5-BB3A95669B0A}" name="Total qtde" dataDxfId="28">
      <calculatedColumnFormula>SUMIFS(TbAportes[QTE],TbAportes[Ativos],TbCarteiraAções[[#This Row],[Ativo]],TbAportes[Data],"&lt;="&amp;IF($M$2="",TODAY(),$M$2))</calculatedColumnFormula>
    </tableColumn>
    <tableColumn id="6" xr3:uid="{B361B3F9-7B07-4A4E-99E1-B99A29C26DF7}" name="PM" dataDxfId="27">
      <calculatedColumnFormula>TbCarteiraAções[[#This Row],[Total Aportado]]/TbCarteiraAções[[#This Row],[Total qtde]]</calculatedColumnFormula>
    </tableColumn>
    <tableColumn id="7" xr3:uid="{8BFBAFD0-9DC0-4F1E-9482-468DF6AC68B6}" name="Total Atual" totalsRowFunction="sum" dataDxfId="25" totalsRowDxfId="26">
      <calculatedColumnFormula>TbCarteiraAções[[#This Row],[Total qtde]]*TbCarteiraAções[[#This Row],[Cotação]]</calculatedColumnFormula>
    </tableColumn>
    <tableColumn id="8" xr3:uid="{A9DA8F63-2F71-48B8-9B93-B7CAF359E849}" name="Valorização" totalsRowFunction="sum" dataDxfId="23" totalsRowDxfId="24">
      <calculatedColumnFormula>TbCarteiraAções[[#This Row],[Total Atual]]-TbCarteiraAções[[#This Row],[Total Aportado]]</calculatedColumnFormula>
    </tableColumn>
    <tableColumn id="9" xr3:uid="{3E2BA1A0-2098-436D-BC88-69E4D67C0F1B}" name="Valorização %" totalsRowFunction="custom" dataDxfId="21" totalsRowDxfId="22">
      <calculatedColumnFormula>TbCarteiraAções[[#This Row],[Total Atual]]/TbCarteiraAções[[#This Row],[Total Aportado]]-1</calculatedColumnFormula>
      <totalsRowFormula>TbCarteiraAções[[#Totals],[Total Atual]]/TbCarteiraAções[[#Totals],[Total Aportado]]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11C95C-2F81-469D-BB1B-A350C9C2C63C}" name="TbCarteiraFII" displayName="TbCarteiraFII" ref="B2:J7" totalsRowCount="1">
  <autoFilter ref="B2:J6" xr:uid="{06840946-228E-46B5-AC66-D8CEB6837E7C}"/>
  <tableColumns count="9">
    <tableColumn id="1" xr3:uid="{A93E0C8C-31DA-4B1A-A9E4-13AC751A3907}" name="Ativo" totalsRowLabel="Total" dataDxfId="20"/>
    <tableColumn id="2" xr3:uid="{27006F1F-D8C7-49D6-9F8E-4758EB5920F6}" name="Tipo" dataDxfId="19">
      <calculatedColumnFormula>VLOOKUP(TbCarteiraFII[[#This Row],[Ativo]],TbAtivos[],2,FALSE)</calculatedColumnFormula>
    </tableColumn>
    <tableColumn id="3" xr3:uid="{71C2BA79-8A43-44F2-A191-DF8BA896844C}" name="Cotação" dataDxfId="18">
      <calculatedColumnFormula>VLOOKUP(TbCarteiraFII[[#This Row],[Ativo]],TbAtivos[],3,FALSE)</calculatedColumnFormula>
    </tableColumn>
    <tableColumn id="4" xr3:uid="{60262B53-66B1-4B7D-B4A5-F3F478F105E9}" name="Total Aportado" totalsRowFunction="sum" dataDxfId="16" totalsRowDxfId="17">
      <calculatedColumnFormula>SUMIFS(TbAportes[Total],TbAportes[Ativos],TbCarteiraFII[[#This Row],[Ativo]],TbAportes[Data],"&lt;="&amp;IF($M$2="",TODAY(),$M$2))</calculatedColumnFormula>
    </tableColumn>
    <tableColumn id="5" xr3:uid="{B2E11225-48B7-4657-AE34-03F95AAB0A66}" name="Total qtde" dataDxfId="15">
      <calculatedColumnFormula>SUMIFS(TbAportes[QTE],TbAportes[Ativos],TbCarteiraFII[[#This Row],[Ativo]],TbAportes[Data],"&lt;="&amp;IF($M$2="",TODAY(),$M$2))</calculatedColumnFormula>
    </tableColumn>
    <tableColumn id="6" xr3:uid="{71C0B888-85E0-4482-8431-AB96515EAFFE}" name="PM" dataDxfId="14">
      <calculatedColumnFormula>TbCarteiraFII[[#This Row],[Total Aportado]]/TbCarteiraFII[[#This Row],[Total qtde]]</calculatedColumnFormula>
    </tableColumn>
    <tableColumn id="7" xr3:uid="{78BF1E6F-24FD-4FAE-85D4-38DF6C03B307}" name="Total Atual" totalsRowFunction="sum" dataDxfId="12" totalsRowDxfId="13">
      <calculatedColumnFormula>TbCarteiraFII[[#This Row],[Total qtde]]*TbCarteiraFII[[#This Row],[Cotação]]</calculatedColumnFormula>
    </tableColumn>
    <tableColumn id="8" xr3:uid="{245FA054-9CEE-483B-8DB7-979C2A2199E8}" name="Valorização" totalsRowFunction="sum" dataDxfId="10" totalsRowDxfId="11">
      <calculatedColumnFormula>TbCarteiraFII[[#This Row],[Total Atual]]-TbCarteiraFII[[#This Row],[Total Aportado]]</calculatedColumnFormula>
    </tableColumn>
    <tableColumn id="9" xr3:uid="{F6E7161E-E7D8-4B9B-94DF-4D9D05983A70}" name="Valorização %" totalsRowFunction="custom" dataDxfId="8" totalsRowDxfId="9">
      <calculatedColumnFormula>TbCarteiraFII[[#This Row],[Total Atual]]/TbCarteiraFII[[#This Row],[Total Aportado]]-1</calculatedColumnFormula>
      <totalsRowFormula>TbCarteiraFII[[#Totals],[Total Atual]]/TbCarteiraFII[[#Totals],[Total Aportado]]</totalsRow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C2486-C383-4D9B-9672-22D6995BE61A}" name="TbAportes" displayName="TbAportes" ref="B2:K30" totalsRowShown="0" headerRowDxfId="65" dataDxfId="64">
  <autoFilter ref="B2:K30" xr:uid="{6F6C2486-C383-4D9B-9672-22D6995BE61A}"/>
  <tableColumns count="10">
    <tableColumn id="1" xr3:uid="{DDE6A11D-74D0-4E25-9692-55143D8E2730}" name="Data" dataDxfId="69"/>
    <tableColumn id="2" xr3:uid="{228089E1-62E5-4F01-BDCA-391D5311C0E6}" name="Ativos" dataDxfId="68"/>
    <tableColumn id="3" xr3:uid="{A83C740D-D5DA-40E0-8F95-3FC7D9DC1C38}" name="QTE" dataDxfId="67"/>
    <tableColumn id="4" xr3:uid="{995110CD-5CFC-461C-822E-7462DDD00C68}" name="Valor Unitário" dataDxfId="66"/>
    <tableColumn id="5" xr3:uid="{49C405A5-D06D-4D47-9D5E-D400A7324A61}" name="Custo" dataDxfId="63"/>
    <tableColumn id="6" xr3:uid="{38E0D2B4-D085-4BB1-8799-C171FD666BC4}" name="Total" dataDxfId="62">
      <calculatedColumnFormula>TbAportes[[#This Row],[Valor Unitário]]*TbAportes[[#This Row],[QTE]]+TbAportes[[#This Row],[Custo]]</calculatedColumnFormula>
    </tableColumn>
    <tableColumn id="7" xr3:uid="{D3E7F527-74D9-4D8B-B082-180DD711DDD7}" name="Tipo" dataDxfId="61">
      <calculatedColumnFormula>VLOOKUP(TbAportes[[#This Row],[Ativos]],TbAtivos[],2,FALSE)</calculatedColumnFormula>
    </tableColumn>
    <tableColumn id="8" xr3:uid="{E05A30FA-8FDB-4F1A-A7BC-927FD6AF3758}" name="Ano" dataDxfId="60">
      <calculatedColumnFormula>YEAR(TbAportes[[#This Row],[Data]])</calculatedColumnFormula>
    </tableColumn>
    <tableColumn id="9" xr3:uid="{D959D2C1-3DED-4C15-9CD6-8A76CEFC1BD1}" name="Mês" dataDxfId="59">
      <calculatedColumnFormula>MONTH(TbAportes[[#This Row],[Data]])</calculatedColumnFormula>
    </tableColumn>
    <tableColumn id="10" xr3:uid="{66EA8600-531E-4343-B6D4-B10F4FF37205}" name="Ano/Mês" dataDxfId="58">
      <calculatedColumnFormula>CONCATENATE(TbAportes[[#This Row],[Ano]],"/",IF(TbAportes[[#This Row],[Mês]]&lt;10,"0",""),TbAportes[[#This Row],[Mês]])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F0B3FE-93A4-47DB-89D1-BA071D60F012}" name="TbProventos" displayName="TbProventos" ref="B2:J73" totalsRowShown="0" headerRowDxfId="50" dataDxfId="49">
  <autoFilter ref="B2:J73" xr:uid="{FBF0B3FE-93A4-47DB-89D1-BA071D60F012}"/>
  <tableColumns count="9">
    <tableColumn id="1" xr3:uid="{B430192D-0DB7-4637-AACB-17143DB24274}" name="Cod" dataDxfId="57"/>
    <tableColumn id="2" xr3:uid="{CD586729-6315-47A0-93EE-2DE975620F33}" name="Ativo" dataDxfId="56"/>
    <tableColumn id="3" xr3:uid="{47FF94D1-55FC-441B-9B50-FC31572EDA21}" name="Qte" dataDxfId="55"/>
    <tableColumn id="4" xr3:uid="{36E169ED-879A-4F47-97BD-24952FC8E1C6}" name="Valor Bruto" dataDxfId="54"/>
    <tableColumn id="5" xr3:uid="{694266AF-FA99-433B-B0D8-55F744496E99}" name="IR" dataDxfId="53"/>
    <tableColumn id="6" xr3:uid="{68AAB092-8495-4540-BD77-1CC6A8C68AE3}" name="Valor Líquido" dataDxfId="52"/>
    <tableColumn id="7" xr3:uid="{D204133E-F8FB-4B6F-B2CB-4916128B70DA}" name="Data" dataDxfId="51"/>
    <tableColumn id="8" xr3:uid="{FCDA1B33-B777-4B28-A101-7F84F9557C98}" name="Ano/Mês" dataDxfId="48">
      <calculatedColumnFormula>CONCATENATE(YEAR(TbProventos[[#This Row],[Data]]),"/",IF(MONTH(TbProventos[[#This Row],[Data]])&lt;10,"0",""),MONTH(TbProventos[[#This Row],[Data]]))</calculatedColumnFormula>
    </tableColumn>
    <tableColumn id="9" xr3:uid="{31D0DFDE-5D10-4DA8-91EB-58ED68256F24}" name="Tipo" dataDxfId="47">
      <calculatedColumnFormula>VLOOKUP(TbProventos[[#This Row],[Ativo]],TbAtivos[],2,FALSE)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2FC9-83D7-4768-933F-E49C9CC707E4}" name="TbAtivos" displayName="TbAtivos" ref="B2:D11" tableType="queryTable" totalsRowShown="0">
  <autoFilter ref="B2:D11" xr:uid="{40A42FC9-83D7-4768-933F-E49C9CC707E4}"/>
  <tableColumns count="3">
    <tableColumn id="1" xr3:uid="{F5825936-B35D-4C78-873F-361DF9A60E98}" uniqueName="1" name="ATIVO" queryTableFieldId="1" dataDxfId="1"/>
    <tableColumn id="2" xr3:uid="{BEBAC206-B687-48A3-8A0C-690BC24133E8}" uniqueName="2" name="TIPO" queryTableFieldId="2" dataDxfId="0"/>
    <tableColumn id="3" xr3:uid="{23DAA824-34C1-4691-ABF0-B8B155CEF2B0}" uniqueName="3" name="COTACA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B93B-EB68-4CEF-AE42-F215E2187395}">
  <dimension ref="A1:M16"/>
  <sheetViews>
    <sheetView showGridLines="0" tabSelected="1" workbookViewId="0">
      <selection activeCell="I19" sqref="I19"/>
    </sheetView>
  </sheetViews>
  <sheetFormatPr defaultRowHeight="15" x14ac:dyDescent="0.25"/>
  <cols>
    <col min="1" max="2" width="3.7109375" customWidth="1"/>
    <col min="3" max="3" width="40.7109375" customWidth="1"/>
    <col min="4" max="4" width="3.7109375" customWidth="1"/>
    <col min="5" max="5" width="15.7109375" customWidth="1"/>
    <col min="6" max="6" width="25.7109375" customWidth="1"/>
    <col min="7" max="8" width="2.28515625" customWidth="1"/>
    <col min="9" max="9" width="40.7109375" customWidth="1"/>
    <col min="10" max="11" width="2.28515625" customWidth="1"/>
    <col min="12" max="13" width="20.7109375" customWidth="1"/>
    <col min="14" max="14" width="2.42578125" customWidth="1"/>
  </cols>
  <sheetData>
    <row r="1" spans="1:13" ht="15.75" thickBot="1" x14ac:dyDescent="0.3"/>
    <row r="2" spans="1:13" ht="30" customHeight="1" thickTop="1" thickBot="1" x14ac:dyDescent="0.3">
      <c r="A2" s="16"/>
      <c r="B2" s="17"/>
      <c r="C2" s="24"/>
      <c r="D2" s="18"/>
      <c r="E2" s="23" t="s">
        <v>60</v>
      </c>
      <c r="F2" s="32">
        <v>15000</v>
      </c>
      <c r="G2" s="47"/>
      <c r="H2" s="47"/>
      <c r="I2" s="18"/>
      <c r="J2" s="19" t="s">
        <v>59</v>
      </c>
      <c r="K2" s="19"/>
      <c r="L2" s="52">
        <v>43968</v>
      </c>
      <c r="M2" s="51"/>
    </row>
    <row r="3" spans="1:13" ht="9.9499999999999993" customHeight="1" thickBot="1" x14ac:dyDescent="0.3">
      <c r="A3" s="16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ht="15.75" thickTop="1" x14ac:dyDescent="0.25"/>
    <row r="5" spans="1:13" ht="16.5" thickBot="1" x14ac:dyDescent="0.3">
      <c r="B5" s="25" t="s">
        <v>61</v>
      </c>
    </row>
    <row r="6" spans="1:13" ht="39.950000000000003" customHeight="1" thickTop="1" thickBot="1" x14ac:dyDescent="0.3">
      <c r="B6" s="38">
        <f ca="1">DashboardAux!C13</f>
        <v>43280</v>
      </c>
      <c r="C6" s="39"/>
      <c r="E6" s="40"/>
      <c r="F6" s="41"/>
      <c r="G6" s="46"/>
      <c r="H6" s="46"/>
      <c r="I6" s="48"/>
      <c r="L6" s="40"/>
      <c r="M6" s="41"/>
    </row>
    <row r="7" spans="1:13" ht="15.75" thickTop="1" x14ac:dyDescent="0.25">
      <c r="E7" s="42"/>
      <c r="F7" s="43"/>
      <c r="G7" s="46"/>
      <c r="H7" s="46"/>
      <c r="I7" s="49"/>
      <c r="L7" s="42"/>
      <c r="M7" s="43"/>
    </row>
    <row r="8" spans="1:13" ht="16.5" thickBot="1" x14ac:dyDescent="0.3">
      <c r="B8" s="25" t="s">
        <v>51</v>
      </c>
      <c r="E8" s="42"/>
      <c r="F8" s="43"/>
      <c r="G8" s="46"/>
      <c r="H8" s="46"/>
      <c r="I8" s="49"/>
      <c r="L8" s="42"/>
      <c r="M8" s="43"/>
    </row>
    <row r="9" spans="1:13" ht="39.950000000000003" customHeight="1" thickTop="1" thickBot="1" x14ac:dyDescent="0.3">
      <c r="B9" s="38">
        <f ca="1">DashboardAux!C12</f>
        <v>20464</v>
      </c>
      <c r="C9" s="39"/>
      <c r="E9" s="42"/>
      <c r="F9" s="43"/>
      <c r="G9" s="46"/>
      <c r="H9" s="46"/>
      <c r="I9" s="49"/>
      <c r="L9" s="42"/>
      <c r="M9" s="43"/>
    </row>
    <row r="10" spans="1:13" ht="15.75" thickTop="1" x14ac:dyDescent="0.25">
      <c r="E10" s="42"/>
      <c r="F10" s="43"/>
      <c r="G10" s="46"/>
      <c r="H10" s="46"/>
      <c r="I10" s="49"/>
      <c r="L10" s="42"/>
      <c r="M10" s="43"/>
    </row>
    <row r="11" spans="1:13" ht="16.5" thickBot="1" x14ac:dyDescent="0.3">
      <c r="B11" s="25" t="s">
        <v>62</v>
      </c>
      <c r="E11" s="42"/>
      <c r="F11" s="43"/>
      <c r="G11" s="46"/>
      <c r="H11" s="46"/>
      <c r="I11" s="49"/>
      <c r="L11" s="42"/>
      <c r="M11" s="43"/>
    </row>
    <row r="12" spans="1:13" ht="39.950000000000003" customHeight="1" thickTop="1" thickBot="1" x14ac:dyDescent="0.3">
      <c r="B12" s="38">
        <f ca="1">DashboardAux!C14</f>
        <v>22816</v>
      </c>
      <c r="C12" s="39"/>
      <c r="E12" s="42"/>
      <c r="F12" s="43"/>
      <c r="G12" s="46"/>
      <c r="H12" s="46"/>
      <c r="I12" s="49"/>
      <c r="L12" s="42"/>
      <c r="M12" s="43"/>
    </row>
    <row r="13" spans="1:13" ht="15.75" thickTop="1" x14ac:dyDescent="0.25">
      <c r="E13" s="42"/>
      <c r="F13" s="43"/>
      <c r="G13" s="46"/>
      <c r="H13" s="46"/>
      <c r="I13" s="49"/>
      <c r="L13" s="42"/>
      <c r="M13" s="43"/>
    </row>
    <row r="14" spans="1:13" ht="16.5" thickBot="1" x14ac:dyDescent="0.3">
      <c r="B14" s="25" t="s">
        <v>56</v>
      </c>
      <c r="E14" s="42"/>
      <c r="F14" s="43"/>
      <c r="G14" s="46"/>
      <c r="H14" s="46"/>
      <c r="I14" s="49"/>
      <c r="L14" s="42"/>
      <c r="M14" s="43"/>
    </row>
    <row r="15" spans="1:13" ht="39.950000000000003" customHeight="1" thickTop="1" thickBot="1" x14ac:dyDescent="0.3">
      <c r="B15" s="27">
        <f ca="1">DashboardAux!C15</f>
        <v>1.1149335418295543</v>
      </c>
      <c r="C15" s="26"/>
      <c r="E15" s="44"/>
      <c r="F15" s="45"/>
      <c r="G15" s="46"/>
      <c r="H15" s="46"/>
      <c r="I15" s="50"/>
      <c r="L15" s="44"/>
      <c r="M15" s="45"/>
    </row>
    <row r="16" spans="1:13" ht="15.75" thickTop="1" x14ac:dyDescent="0.25"/>
  </sheetData>
  <mergeCells count="4">
    <mergeCell ref="B6:C6"/>
    <mergeCell ref="B9:C9"/>
    <mergeCell ref="B12:C12"/>
    <mergeCell ref="B15:C15"/>
  </mergeCells>
  <conditionalFormatting sqref="B12:C12">
    <cfRule type="cellIs" dxfId="7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Drop Down 2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2</xdr:col>
                    <xdr:colOff>2695575</xdr:colOff>
                    <xdr:row>1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D1-9F66-46AF-A83E-C1D6DF342230}">
  <dimension ref="B2:U42"/>
  <sheetViews>
    <sheetView topLeftCell="A13" workbookViewId="0">
      <selection activeCell="C33" sqref="C33:D42"/>
    </sheetView>
  </sheetViews>
  <sheetFormatPr defaultRowHeight="15" x14ac:dyDescent="0.25"/>
  <cols>
    <col min="1" max="1" width="2.28515625" customWidth="1"/>
    <col min="2" max="2" width="20.28515625" customWidth="1"/>
    <col min="3" max="3" width="19" customWidth="1"/>
    <col min="4" max="4" width="13.28515625" bestFit="1" customWidth="1"/>
    <col min="6" max="6" width="2.7109375" customWidth="1"/>
    <col min="7" max="7" width="4.7109375" customWidth="1"/>
    <col min="8" max="8" width="15.28515625" bestFit="1" customWidth="1"/>
    <col min="9" max="11" width="13.28515625" bestFit="1" customWidth="1"/>
    <col min="15" max="15" width="13.28515625" bestFit="1" customWidth="1"/>
    <col min="20" max="20" width="13.28515625" bestFit="1" customWidth="1"/>
  </cols>
  <sheetData>
    <row r="2" spans="2:11" x14ac:dyDescent="0.25">
      <c r="B2" s="29" t="s">
        <v>63</v>
      </c>
      <c r="C2" s="29"/>
      <c r="D2" s="29"/>
      <c r="E2" s="29"/>
      <c r="G2" s="34" t="s">
        <v>70</v>
      </c>
      <c r="H2" s="34"/>
      <c r="I2" s="34"/>
      <c r="J2" s="34"/>
      <c r="K2" s="34"/>
    </row>
    <row r="3" spans="2:11" x14ac:dyDescent="0.25">
      <c r="B3" s="30">
        <v>1</v>
      </c>
      <c r="C3" s="31" t="s">
        <v>64</v>
      </c>
      <c r="D3" s="31"/>
      <c r="E3" s="28"/>
      <c r="G3" s="37"/>
      <c r="H3" s="37"/>
      <c r="I3" s="37">
        <v>1</v>
      </c>
      <c r="J3" s="37">
        <v>2</v>
      </c>
      <c r="K3" s="37">
        <v>3</v>
      </c>
    </row>
    <row r="4" spans="2:11" x14ac:dyDescent="0.25">
      <c r="B4" s="30">
        <v>2</v>
      </c>
      <c r="C4" s="31" t="s">
        <v>65</v>
      </c>
      <c r="D4" s="31"/>
      <c r="E4" s="28"/>
      <c r="G4" s="30"/>
      <c r="H4" s="30"/>
      <c r="I4" s="30" t="s">
        <v>64</v>
      </c>
      <c r="J4" s="30" t="s">
        <v>65</v>
      </c>
      <c r="K4" s="30" t="s">
        <v>9</v>
      </c>
    </row>
    <row r="5" spans="2:11" x14ac:dyDescent="0.25">
      <c r="B5" s="30">
        <v>3</v>
      </c>
      <c r="C5" s="31" t="s">
        <v>66</v>
      </c>
      <c r="D5" s="31"/>
      <c r="E5" s="28"/>
      <c r="G5" s="30">
        <v>1</v>
      </c>
      <c r="H5" s="30" t="s">
        <v>51</v>
      </c>
      <c r="I5" s="35">
        <f ca="1">SUM(TbCarteira[Total Aportado])</f>
        <v>29657.03</v>
      </c>
      <c r="J5" s="35">
        <f ca="1">SUMIF(TbCarteira[Tipo],"Empresa",TbCarteira[Total Aportado])</f>
        <v>20464</v>
      </c>
      <c r="K5" s="35">
        <f ca="1">SUMIF(TbCarteira[Tipo],"FII",TbCarteira[Total Aportado])</f>
        <v>9193.0299999999988</v>
      </c>
    </row>
    <row r="6" spans="2:11" x14ac:dyDescent="0.25">
      <c r="G6" s="30">
        <v>2</v>
      </c>
      <c r="H6" s="30" t="s">
        <v>71</v>
      </c>
      <c r="I6" s="35">
        <f ca="1">SUM(TbCarteira[Total Atual])</f>
        <v>50943.38</v>
      </c>
      <c r="J6" s="35">
        <f ca="1">SUMIF(TbCarteira[Tipo],"Empresa",TbCarteira[Total Atual])</f>
        <v>43280</v>
      </c>
      <c r="K6" s="35">
        <f ca="1">SUMIF(TbCarteira[Tipo],"FII",TbCarteira[Total Atual])</f>
        <v>7663.38</v>
      </c>
    </row>
    <row r="7" spans="2:11" x14ac:dyDescent="0.25">
      <c r="B7" s="29" t="s">
        <v>67</v>
      </c>
      <c r="C7" s="29"/>
      <c r="D7" s="29"/>
      <c r="E7" s="29"/>
      <c r="G7" s="30">
        <v>3</v>
      </c>
      <c r="H7" s="30" t="s">
        <v>62</v>
      </c>
      <c r="I7" s="35">
        <f ca="1">SUM(TbCarteira[Valorização])</f>
        <v>21286.35</v>
      </c>
      <c r="J7" s="35">
        <f ca="1">SUMIF(TbCarteira[Tipo],"Empresa",TbCarteira[Valorização])</f>
        <v>22816</v>
      </c>
      <c r="K7" s="35">
        <f ca="1">SUMIF(TbCarteira[Tipo],"FII",TbCarteira[Valorização])</f>
        <v>-1529.6499999999996</v>
      </c>
    </row>
    <row r="8" spans="2:11" x14ac:dyDescent="0.25">
      <c r="B8" s="30" t="s">
        <v>68</v>
      </c>
      <c r="C8" s="31">
        <v>2</v>
      </c>
      <c r="D8" s="31"/>
      <c r="E8" s="31"/>
      <c r="G8" s="30">
        <v>4</v>
      </c>
      <c r="H8" s="30" t="s">
        <v>56</v>
      </c>
      <c r="I8" s="36">
        <f ca="1">I6/I5-1</f>
        <v>0.71775056369434154</v>
      </c>
      <c r="J8" s="36">
        <f ca="1">J6/J5-1</f>
        <v>1.1149335418295543</v>
      </c>
      <c r="K8" s="36">
        <f ca="1">K6/K5-1</f>
        <v>-0.16639236465017504</v>
      </c>
    </row>
    <row r="9" spans="2:11" x14ac:dyDescent="0.25">
      <c r="B9" s="30" t="s">
        <v>69</v>
      </c>
      <c r="C9" s="33">
        <f>Dashboard!F2</f>
        <v>15000</v>
      </c>
      <c r="D9" s="31"/>
      <c r="E9" s="31"/>
    </row>
    <row r="10" spans="2:11" x14ac:dyDescent="0.25">
      <c r="G10" s="34" t="s">
        <v>74</v>
      </c>
      <c r="H10" s="34"/>
      <c r="I10" s="34"/>
      <c r="J10" s="34"/>
      <c r="K10" s="34"/>
    </row>
    <row r="11" spans="2:11" x14ac:dyDescent="0.25">
      <c r="B11" s="29" t="s">
        <v>72</v>
      </c>
      <c r="C11" s="29"/>
      <c r="D11" s="29"/>
      <c r="E11" s="29"/>
      <c r="G11" s="30">
        <v>1</v>
      </c>
      <c r="H11" s="30" t="s">
        <v>65</v>
      </c>
      <c r="I11" s="35">
        <f ca="1">J6</f>
        <v>43280</v>
      </c>
      <c r="J11" s="35"/>
      <c r="K11" s="35"/>
    </row>
    <row r="12" spans="2:11" x14ac:dyDescent="0.25">
      <c r="B12" s="30" t="s">
        <v>73</v>
      </c>
      <c r="C12" s="35" cm="1">
        <f t="array" aca="1" ref="C12" ca="1">INDEX($I$5:$K$8,G5,$C$8)</f>
        <v>20464</v>
      </c>
      <c r="D12" s="31"/>
      <c r="E12" s="31"/>
      <c r="G12" s="30">
        <v>2</v>
      </c>
      <c r="H12" s="30" t="s">
        <v>9</v>
      </c>
      <c r="I12" s="35">
        <f ca="1">K6</f>
        <v>7663.38</v>
      </c>
      <c r="J12" s="35"/>
      <c r="K12" s="35"/>
    </row>
    <row r="13" spans="2:11" x14ac:dyDescent="0.25">
      <c r="B13" s="30" t="s">
        <v>71</v>
      </c>
      <c r="C13" s="35" cm="1">
        <f t="array" aca="1" ref="C13" ca="1">INDEX($I$5:$K$8,G6,$C$8)</f>
        <v>43280</v>
      </c>
      <c r="D13" s="31"/>
      <c r="E13" s="31"/>
      <c r="G13" s="30">
        <v>3</v>
      </c>
      <c r="H13" s="30" t="s">
        <v>58</v>
      </c>
      <c r="I13" s="35">
        <f>C9</f>
        <v>15000</v>
      </c>
      <c r="J13" s="35"/>
      <c r="K13" s="35"/>
    </row>
    <row r="14" spans="2:11" x14ac:dyDescent="0.25">
      <c r="B14" s="30" t="s">
        <v>62</v>
      </c>
      <c r="C14" s="35" cm="1">
        <f t="array" aca="1" ref="C14" ca="1">INDEX($I$5:$K$8,G7,$C$8)</f>
        <v>22816</v>
      </c>
      <c r="D14" s="31"/>
      <c r="E14" s="31"/>
      <c r="G14" s="30"/>
      <c r="H14" s="30"/>
      <c r="I14" s="35"/>
      <c r="J14" s="35"/>
      <c r="K14" s="35"/>
    </row>
    <row r="15" spans="2:11" x14ac:dyDescent="0.25">
      <c r="B15" s="30" t="s">
        <v>56</v>
      </c>
      <c r="C15" s="36" cm="1">
        <f t="array" aca="1" ref="C15" ca="1">INDEX($I$5:$K$8,G8,$C$8)</f>
        <v>1.1149335418295543</v>
      </c>
      <c r="D15" s="31"/>
      <c r="E15" s="31"/>
      <c r="G15" s="30"/>
      <c r="H15" s="30"/>
      <c r="I15" s="35"/>
      <c r="J15" s="35"/>
      <c r="K15" s="35"/>
    </row>
    <row r="18" spans="2:21" x14ac:dyDescent="0.25">
      <c r="B18" s="29" t="s">
        <v>75</v>
      </c>
      <c r="C18" s="29"/>
      <c r="D18" s="29"/>
      <c r="H18" s="29" t="s">
        <v>78</v>
      </c>
      <c r="I18" s="29"/>
      <c r="J18" s="29"/>
      <c r="K18" s="29"/>
      <c r="M18" s="29" t="s">
        <v>80</v>
      </c>
      <c r="N18" s="29"/>
      <c r="O18" s="29"/>
      <c r="P18" s="29"/>
      <c r="R18" s="29" t="s">
        <v>81</v>
      </c>
      <c r="S18" s="29"/>
      <c r="T18" s="29"/>
      <c r="U18" s="29"/>
    </row>
    <row r="19" spans="2:21" x14ac:dyDescent="0.25">
      <c r="B19" s="30" t="s">
        <v>76</v>
      </c>
      <c r="C19" s="30" t="s">
        <v>25</v>
      </c>
      <c r="D19" s="30" t="s">
        <v>77</v>
      </c>
      <c r="H19" s="30" t="s">
        <v>76</v>
      </c>
      <c r="I19" s="30" t="s">
        <v>25</v>
      </c>
      <c r="J19" s="30" t="s">
        <v>77</v>
      </c>
      <c r="K19" s="30" t="s">
        <v>79</v>
      </c>
      <c r="M19" s="30" t="s">
        <v>76</v>
      </c>
      <c r="N19" s="30" t="s">
        <v>25</v>
      </c>
      <c r="O19" s="30" t="s">
        <v>77</v>
      </c>
      <c r="P19" s="30" t="s">
        <v>79</v>
      </c>
      <c r="R19" s="30" t="s">
        <v>76</v>
      </c>
      <c r="S19" s="30" t="s">
        <v>25</v>
      </c>
      <c r="T19" s="30" t="s">
        <v>77</v>
      </c>
      <c r="U19" s="30" t="s">
        <v>79</v>
      </c>
    </row>
    <row r="20" spans="2:21" x14ac:dyDescent="0.25">
      <c r="B20" s="53">
        <v>10</v>
      </c>
      <c r="C20" s="31" t="str">
        <f ca="1">IF($C$8=1,I20,IF($C$8=2,N20,S20))</f>
        <v>-</v>
      </c>
      <c r="D20" s="54">
        <f ca="1">IF($C$8=1,J20,IF($C$8=2,O20,T20))</f>
        <v>0</v>
      </c>
      <c r="H20" s="53">
        <v>10</v>
      </c>
      <c r="I20" s="31" t="str" cm="1">
        <f t="array" aca="1" ref="I20" ca="1">IF(ISNA(INDEX(TbCarteira[Ativo],K20,1)),"-",INDEX(TbCarteira[Ativo],K20,1))</f>
        <v>-</v>
      </c>
      <c r="J20" s="35">
        <f ca="1">IF(ISNUMBER(LARGE(TbCarteira[Total Atual],H20)),(LARGE(TbCarteira[Total Atual],H20)),0)</f>
        <v>0</v>
      </c>
      <c r="K20" s="31" t="e">
        <f ca="1">MATCH(J20,TbCarteira[Total Atual],0)</f>
        <v>#N/A</v>
      </c>
      <c r="M20" s="53">
        <v>10</v>
      </c>
      <c r="N20" s="31" t="str" cm="1">
        <f t="array" aca="1" ref="N20" ca="1">IF(ISNA(INDEX(TbCarteiraAções[Ativo],P20,1)),"-",INDEX(TbCarteiraAções[Ativo],P20,1))</f>
        <v>-</v>
      </c>
      <c r="O20" s="35">
        <f ca="1">IF(ISNUMBER(LARGE(TbCarteiraAções[Total Atual],M20)),(LARGE(TbCarteiraAções[Total Atual],M20)),0)</f>
        <v>0</v>
      </c>
      <c r="P20" s="31" t="e">
        <f ca="1">MATCH(O20,TbCarteiraAções[Total Atual],0)</f>
        <v>#N/A</v>
      </c>
      <c r="R20" s="53">
        <v>10</v>
      </c>
      <c r="S20" s="31" t="str" cm="1">
        <f t="array" aca="1" ref="S20" ca="1">IF(ISNA(INDEX(TbCarteiraFII[Ativo],U20,1)),"-",INDEX(TbCarteiraFII[Ativo],U20,1))</f>
        <v>-</v>
      </c>
      <c r="T20" s="35">
        <f ca="1">IF(ISNUMBER(LARGE(TbCarteiraFII[Total Atual],R20)),(LARGE(TbCarteiraFII[Total Atual],R20)),0)</f>
        <v>0</v>
      </c>
      <c r="U20" s="31" t="e">
        <f ca="1">MATCH(T20,TbCarteiraFII[Total Atual],0)</f>
        <v>#N/A</v>
      </c>
    </row>
    <row r="21" spans="2:21" x14ac:dyDescent="0.25">
      <c r="B21" s="53">
        <v>9</v>
      </c>
      <c r="C21" s="31" t="str">
        <f t="shared" ref="C21:C29" ca="1" si="0">IF($C$8=1,I21,IF($C$8=2,N21,S21))</f>
        <v>-</v>
      </c>
      <c r="D21" s="54">
        <f t="shared" ref="D21:D29" ca="1" si="1">IF($C$8=1,J21,IF($C$8=2,O21,T21))</f>
        <v>0</v>
      </c>
      <c r="H21" s="53">
        <v>9</v>
      </c>
      <c r="I21" s="31" t="str" cm="1">
        <f t="array" aca="1" ref="I21" ca="1">IF(ISNA(INDEX(TbCarteira[Ativo],K21,1)),"-",INDEX(TbCarteira[Ativo],K21,1))</f>
        <v>HGBS11</v>
      </c>
      <c r="J21" s="35">
        <f ca="1">IF(ISNUMBER(LARGE(TbCarteira[Total Atual],H21)),(LARGE(TbCarteira[Total Atual],H21)),0)</f>
        <v>176.04</v>
      </c>
      <c r="K21" s="31">
        <f ca="1">MATCH(J21,TbCarteira[Total Atual],0)</f>
        <v>5</v>
      </c>
      <c r="M21" s="53">
        <v>9</v>
      </c>
      <c r="N21" s="31" t="str" cm="1">
        <f t="array" aca="1" ref="N21" ca="1">IF(ISNA(INDEX(TbCarteiraAções[Ativo],P21,1)),"-",INDEX(TbCarteiraAções[Ativo],P21,1))</f>
        <v>-</v>
      </c>
      <c r="O21" s="35">
        <f ca="1">IF(ISNUMBER(LARGE(TbCarteiraAções[Total Atual],M21)),(LARGE(TbCarteiraAções[Total Atual],M21)),0)</f>
        <v>0</v>
      </c>
      <c r="P21" s="31" t="e">
        <f ca="1">MATCH(O21,TbCarteiraAções[Total Atual],0)</f>
        <v>#N/A</v>
      </c>
      <c r="R21" s="53">
        <v>9</v>
      </c>
      <c r="S21" s="31" t="str" cm="1">
        <f t="array" aca="1" ref="S21" ca="1">IF(ISNA(INDEX(TbCarteiraFII[Ativo],U21,1)),"-",INDEX(TbCarteiraFII[Ativo],U21,1))</f>
        <v>-</v>
      </c>
      <c r="T21" s="35">
        <f ca="1">IF(ISNUMBER(LARGE(TbCarteiraFII[Total Atual],R21)),(LARGE(TbCarteiraFII[Total Atual],R21)),0)</f>
        <v>0</v>
      </c>
      <c r="U21" s="31" t="e">
        <f ca="1">MATCH(T21,TbCarteiraFII[Total Atual],0)</f>
        <v>#N/A</v>
      </c>
    </row>
    <row r="22" spans="2:21" x14ac:dyDescent="0.25">
      <c r="B22" s="53">
        <v>8</v>
      </c>
      <c r="C22" s="31" t="str">
        <f t="shared" ca="1" si="0"/>
        <v>-</v>
      </c>
      <c r="D22" s="54">
        <f t="shared" ca="1" si="1"/>
        <v>0</v>
      </c>
      <c r="H22" s="53">
        <v>8</v>
      </c>
      <c r="I22" s="31" t="str" cm="1">
        <f t="array" aca="1" ref="I22" ca="1">IF(ISNA(INDEX(TbCarteira[Ativo],K22,1)),"-",INDEX(TbCarteira[Ativo],K22,1))</f>
        <v>HGRE11</v>
      </c>
      <c r="J22" s="35">
        <f ca="1">IF(ISNUMBER(LARGE(TbCarteira[Total Atual],H22)),(LARGE(TbCarteira[Total Atual],H22)),0)</f>
        <v>2186.9</v>
      </c>
      <c r="K22" s="31">
        <f ca="1">MATCH(J22,TbCarteira[Total Atual],0)</f>
        <v>7</v>
      </c>
      <c r="M22" s="53">
        <v>8</v>
      </c>
      <c r="N22" s="31" t="str" cm="1">
        <f t="array" aca="1" ref="N22" ca="1">IF(ISNA(INDEX(TbCarteiraAções[Ativo],P22,1)),"-",INDEX(TbCarteiraAções[Ativo],P22,1))</f>
        <v>-</v>
      </c>
      <c r="O22" s="35">
        <f ca="1">IF(ISNUMBER(LARGE(TbCarteiraAções[Total Atual],M22)),(LARGE(TbCarteiraAções[Total Atual],M22)),0)</f>
        <v>0</v>
      </c>
      <c r="P22" s="31" t="e">
        <f ca="1">MATCH(O22,TbCarteiraAções[Total Atual],0)</f>
        <v>#N/A</v>
      </c>
      <c r="R22" s="53">
        <v>8</v>
      </c>
      <c r="S22" s="31" t="str" cm="1">
        <f t="array" aca="1" ref="S22" ca="1">IF(ISNA(INDEX(TbCarteiraFII[Ativo],U22,1)),"-",INDEX(TbCarteiraFII[Ativo],U22,1))</f>
        <v>-</v>
      </c>
      <c r="T22" s="35">
        <f ca="1">IF(ISNUMBER(LARGE(TbCarteiraFII[Total Atual],R22)),(LARGE(TbCarteiraFII[Total Atual],R22)),0)</f>
        <v>0</v>
      </c>
      <c r="U22" s="31" t="e">
        <f ca="1">MATCH(T22,TbCarteiraFII[Total Atual],0)</f>
        <v>#N/A</v>
      </c>
    </row>
    <row r="23" spans="2:21" x14ac:dyDescent="0.25">
      <c r="B23" s="53">
        <v>7</v>
      </c>
      <c r="C23" s="31" t="str">
        <f t="shared" ca="1" si="0"/>
        <v>-</v>
      </c>
      <c r="D23" s="54">
        <f t="shared" ca="1" si="1"/>
        <v>0</v>
      </c>
      <c r="H23" s="53">
        <v>7</v>
      </c>
      <c r="I23" s="31" t="str" cm="1">
        <f t="array" aca="1" ref="I23" ca="1">IF(ISNA(INDEX(TbCarteira[Ativo],K23,1)),"-",INDEX(TbCarteira[Ativo],K23,1))</f>
        <v>TAEE4</v>
      </c>
      <c r="J23" s="35">
        <f ca="1">IF(ISNUMBER(LARGE(TbCarteira[Total Atual],H23)),(LARGE(TbCarteira[Total Atual],H23)),0)</f>
        <v>2288</v>
      </c>
      <c r="K23" s="31">
        <f ca="1">MATCH(J23,TbCarteira[Total Atual],0)</f>
        <v>9</v>
      </c>
      <c r="M23" s="53">
        <v>7</v>
      </c>
      <c r="N23" s="31" t="str" cm="1">
        <f t="array" aca="1" ref="N23" ca="1">IF(ISNA(INDEX(TbCarteiraAções[Ativo],P23,1)),"-",INDEX(TbCarteiraAções[Ativo],P23,1))</f>
        <v>-</v>
      </c>
      <c r="O23" s="35">
        <f ca="1">IF(ISNUMBER(LARGE(TbCarteiraAções[Total Atual],M23)),(LARGE(TbCarteiraAções[Total Atual],M23)),0)</f>
        <v>0</v>
      </c>
      <c r="P23" s="31" t="e">
        <f ca="1">MATCH(O23,TbCarteiraAções[Total Atual],0)</f>
        <v>#N/A</v>
      </c>
      <c r="R23" s="53">
        <v>7</v>
      </c>
      <c r="S23" s="31" t="str" cm="1">
        <f t="array" aca="1" ref="S23" ca="1">IF(ISNA(INDEX(TbCarteiraFII[Ativo],U23,1)),"-",INDEX(TbCarteiraFII[Ativo],U23,1))</f>
        <v>-</v>
      </c>
      <c r="T23" s="35">
        <f ca="1">IF(ISNUMBER(LARGE(TbCarteiraFII[Total Atual],R23)),(LARGE(TbCarteiraFII[Total Atual],R23)),0)</f>
        <v>0</v>
      </c>
      <c r="U23" s="31" t="e">
        <f ca="1">MATCH(T23,TbCarteiraFII[Total Atual],0)</f>
        <v>#N/A</v>
      </c>
    </row>
    <row r="24" spans="2:21" x14ac:dyDescent="0.25">
      <c r="B24" s="53">
        <v>6</v>
      </c>
      <c r="C24" s="31" t="str">
        <f t="shared" ca="1" si="0"/>
        <v>-</v>
      </c>
      <c r="D24" s="54">
        <f t="shared" ca="1" si="1"/>
        <v>0</v>
      </c>
      <c r="H24" s="53">
        <v>6</v>
      </c>
      <c r="I24" s="31" t="str" cm="1">
        <f t="array" aca="1" ref="I24" ca="1">IF(ISNA(INDEX(TbCarteira[Ativo],K24,1)),"-",INDEX(TbCarteira[Ativo],K24,1))</f>
        <v>KNRI11</v>
      </c>
      <c r="J24" s="35">
        <f ca="1">IF(ISNUMBER(LARGE(TbCarteira[Total Atual],H24)),(LARGE(TbCarteira[Total Atual],H24)),0)</f>
        <v>2613.42</v>
      </c>
      <c r="K24" s="31">
        <f ca="1">MATCH(J24,TbCarteira[Total Atual],0)</f>
        <v>8</v>
      </c>
      <c r="M24" s="53">
        <v>6</v>
      </c>
      <c r="N24" s="31" t="str" cm="1">
        <f t="array" aca="1" ref="N24" ca="1">IF(ISNA(INDEX(TbCarteiraAções[Ativo],P24,1)),"-",INDEX(TbCarteiraAções[Ativo],P24,1))</f>
        <v>-</v>
      </c>
      <c r="O24" s="35">
        <f ca="1">IF(ISNUMBER(LARGE(TbCarteiraAções[Total Atual],M24)),(LARGE(TbCarteiraAções[Total Atual],M24)),0)</f>
        <v>0</v>
      </c>
      <c r="P24" s="31" t="e">
        <f ca="1">MATCH(O24,TbCarteiraAções[Total Atual],0)</f>
        <v>#N/A</v>
      </c>
      <c r="R24" s="53">
        <v>6</v>
      </c>
      <c r="S24" s="31" t="str" cm="1">
        <f t="array" aca="1" ref="S24" ca="1">IF(ISNA(INDEX(TbCarteiraFII[Ativo],U24,1)),"-",INDEX(TbCarteiraFII[Ativo],U24,1))</f>
        <v>-</v>
      </c>
      <c r="T24" s="35">
        <f ca="1">IF(ISNUMBER(LARGE(TbCarteiraFII[Total Atual],R24)),(LARGE(TbCarteiraFII[Total Atual],R24)),0)</f>
        <v>0</v>
      </c>
      <c r="U24" s="31" t="e">
        <f ca="1">MATCH(T24,TbCarteiraFII[Total Atual],0)</f>
        <v>#N/A</v>
      </c>
    </row>
    <row r="25" spans="2:21" x14ac:dyDescent="0.25">
      <c r="B25" s="53">
        <v>5</v>
      </c>
      <c r="C25" s="31" t="str">
        <f t="shared" ca="1" si="0"/>
        <v>TAEE4</v>
      </c>
      <c r="D25" s="54">
        <f t="shared" ca="1" si="1"/>
        <v>2288</v>
      </c>
      <c r="H25" s="53">
        <v>5</v>
      </c>
      <c r="I25" s="31" t="str" cm="1">
        <f t="array" aca="1" ref="I25" ca="1">IF(ISNA(INDEX(TbCarteira[Ativo],K25,1)),"-",INDEX(TbCarteira[Ativo],K25,1))</f>
        <v>HGLG11</v>
      </c>
      <c r="J25" s="35">
        <f ca="1">IF(ISNUMBER(LARGE(TbCarteira[Total Atual],H25)),(LARGE(TbCarteira[Total Atual],H25)),0)</f>
        <v>2687.02</v>
      </c>
      <c r="K25" s="31">
        <f ca="1">MATCH(J25,TbCarteira[Total Atual],0)</f>
        <v>6</v>
      </c>
      <c r="M25" s="53">
        <v>5</v>
      </c>
      <c r="N25" s="31" t="str" cm="1">
        <f t="array" aca="1" ref="N25" ca="1">IF(ISNA(INDEX(TbCarteiraAções[Ativo],P25,1)),"-",INDEX(TbCarteiraAções[Ativo],P25,1))</f>
        <v>TAEE4</v>
      </c>
      <c r="O25" s="35">
        <f ca="1">IF(ISNUMBER(LARGE(TbCarteiraAções[Total Atual],M25)),(LARGE(TbCarteiraAções[Total Atual],M25)),0)</f>
        <v>2288</v>
      </c>
      <c r="P25" s="31">
        <f ca="1">MATCH(O25,TbCarteiraAções[Total Atual],0)</f>
        <v>5</v>
      </c>
      <c r="R25" s="53">
        <v>5</v>
      </c>
      <c r="S25" s="31" t="str" cm="1">
        <f t="array" aca="1" ref="S25" ca="1">IF(ISNA(INDEX(TbCarteiraFII[Ativo],U25,1)),"-",INDEX(TbCarteiraFII[Ativo],U25,1))</f>
        <v>-</v>
      </c>
      <c r="T25" s="35">
        <f ca="1">IF(ISNUMBER(LARGE(TbCarteiraFII[Total Atual],R25)),(LARGE(TbCarteiraFII[Total Atual],R25)),0)</f>
        <v>0</v>
      </c>
      <c r="U25" s="31" t="e">
        <f ca="1">MATCH(T25,TbCarteiraFII[Total Atual],0)</f>
        <v>#N/A</v>
      </c>
    </row>
    <row r="26" spans="2:21" x14ac:dyDescent="0.25">
      <c r="B26" s="53">
        <v>4</v>
      </c>
      <c r="C26" s="31" t="str">
        <f t="shared" ca="1" si="0"/>
        <v>FLRY3</v>
      </c>
      <c r="D26" s="54">
        <f t="shared" ca="1" si="1"/>
        <v>2694</v>
      </c>
      <c r="H26" s="53">
        <v>4</v>
      </c>
      <c r="I26" s="31" t="str" cm="1">
        <f t="array" aca="1" ref="I26" ca="1">IF(ISNA(INDEX(TbCarteira[Ativo],K26,1)),"-",INDEX(TbCarteira[Ativo],K26,1))</f>
        <v>FLRY3</v>
      </c>
      <c r="J26" s="35">
        <f ca="1">IF(ISNUMBER(LARGE(TbCarteira[Total Atual],H26)),(LARGE(TbCarteira[Total Atual],H26)),0)</f>
        <v>2694</v>
      </c>
      <c r="K26" s="31">
        <f ca="1">MATCH(J26,TbCarteira[Total Atual],0)</f>
        <v>2</v>
      </c>
      <c r="M26" s="53">
        <v>4</v>
      </c>
      <c r="N26" s="31" t="str" cm="1">
        <f t="array" aca="1" ref="N26" ca="1">IF(ISNA(INDEX(TbCarteiraAções[Ativo],P26,1)),"-",INDEX(TbCarteiraAções[Ativo],P26,1))</f>
        <v>FLRY3</v>
      </c>
      <c r="O26" s="35">
        <f ca="1">IF(ISNUMBER(LARGE(TbCarteiraAções[Total Atual],M26)),(LARGE(TbCarteiraAções[Total Atual],M26)),0)</f>
        <v>2694</v>
      </c>
      <c r="P26" s="31">
        <f ca="1">MATCH(O26,TbCarteiraAções[Total Atual],0)</f>
        <v>2</v>
      </c>
      <c r="R26" s="53">
        <v>4</v>
      </c>
      <c r="S26" s="31" t="str" cm="1">
        <f t="array" aca="1" ref="S26" ca="1">IF(ISNA(INDEX(TbCarteiraFII[Ativo],U26,1)),"-",INDEX(TbCarteiraFII[Ativo],U26,1))</f>
        <v>HGBS11</v>
      </c>
      <c r="T26" s="35">
        <f ca="1">IF(ISNUMBER(LARGE(TbCarteiraFII[Total Atual],R26)),(LARGE(TbCarteiraFII[Total Atual],R26)),0)</f>
        <v>176.04</v>
      </c>
      <c r="U26" s="31">
        <f ca="1">MATCH(T26,TbCarteiraFII[Total Atual],0)</f>
        <v>1</v>
      </c>
    </row>
    <row r="27" spans="2:21" x14ac:dyDescent="0.25">
      <c r="B27" s="53">
        <v>3</v>
      </c>
      <c r="C27" s="31" t="str">
        <f t="shared" ca="1" si="0"/>
        <v>ITSA4</v>
      </c>
      <c r="D27" s="54">
        <f t="shared" ca="1" si="1"/>
        <v>3264.0000000000005</v>
      </c>
      <c r="H27" s="53">
        <v>3</v>
      </c>
      <c r="I27" s="31" t="str" cm="1">
        <f t="array" aca="1" ref="I27" ca="1">IF(ISNA(INDEX(TbCarteira[Ativo],K27,1)),"-",INDEX(TbCarteira[Ativo],K27,1))</f>
        <v>ITSA4</v>
      </c>
      <c r="J27" s="35">
        <f ca="1">IF(ISNUMBER(LARGE(TbCarteira[Total Atual],H27)),(LARGE(TbCarteira[Total Atual],H27)),0)</f>
        <v>3264.0000000000005</v>
      </c>
      <c r="K27" s="31">
        <f ca="1">MATCH(J27,TbCarteira[Total Atual],0)</f>
        <v>3</v>
      </c>
      <c r="M27" s="53">
        <v>3</v>
      </c>
      <c r="N27" s="31" t="str" cm="1">
        <f t="array" aca="1" ref="N27" ca="1">IF(ISNA(INDEX(TbCarteiraAções[Ativo],P27,1)),"-",INDEX(TbCarteiraAções[Ativo],P27,1))</f>
        <v>ITSA4</v>
      </c>
      <c r="O27" s="35">
        <f ca="1">IF(ISNUMBER(LARGE(TbCarteiraAções[Total Atual],M27)),(LARGE(TbCarteiraAções[Total Atual],M27)),0)</f>
        <v>3264.0000000000005</v>
      </c>
      <c r="P27" s="31">
        <f ca="1">MATCH(O27,TbCarteiraAções[Total Atual],0)</f>
        <v>3</v>
      </c>
      <c r="R27" s="53">
        <v>3</v>
      </c>
      <c r="S27" s="31" t="str" cm="1">
        <f t="array" aca="1" ref="S27" ca="1">IF(ISNA(INDEX(TbCarteiraFII[Ativo],U27,1)),"-",INDEX(TbCarteiraFII[Ativo],U27,1))</f>
        <v>HGRE11</v>
      </c>
      <c r="T27" s="35">
        <f ca="1">IF(ISNUMBER(LARGE(TbCarteiraFII[Total Atual],R27)),(LARGE(TbCarteiraFII[Total Atual],R27)),0)</f>
        <v>2186.9</v>
      </c>
      <c r="U27" s="31">
        <f ca="1">MATCH(T27,TbCarteiraFII[Total Atual],0)</f>
        <v>3</v>
      </c>
    </row>
    <row r="28" spans="2:21" x14ac:dyDescent="0.25">
      <c r="B28" s="53">
        <v>2</v>
      </c>
      <c r="C28" s="31" t="str">
        <f t="shared" ca="1" si="0"/>
        <v>PETR4</v>
      </c>
      <c r="D28" s="54">
        <f t="shared" ca="1" si="1"/>
        <v>13163.999999999998</v>
      </c>
      <c r="H28" s="53">
        <v>2</v>
      </c>
      <c r="I28" s="31" t="str" cm="1">
        <f t="array" aca="1" ref="I28" ca="1">IF(ISNA(INDEX(TbCarteira[Ativo],K28,1)),"-",INDEX(TbCarteira[Ativo],K28,1))</f>
        <v>PETR4</v>
      </c>
      <c r="J28" s="35">
        <f ca="1">IF(ISNUMBER(LARGE(TbCarteira[Total Atual],H28)),(LARGE(TbCarteira[Total Atual],H28)),0)</f>
        <v>13163.999999999998</v>
      </c>
      <c r="K28" s="31">
        <f ca="1">MATCH(J28,TbCarteira[Total Atual],0)</f>
        <v>4</v>
      </c>
      <c r="M28" s="53">
        <v>2</v>
      </c>
      <c r="N28" s="31" t="str" cm="1">
        <f t="array" aca="1" ref="N28" ca="1">IF(ISNA(INDEX(TbCarteiraAções[Ativo],P28,1)),"-",INDEX(TbCarteiraAções[Ativo],P28,1))</f>
        <v>PETR4</v>
      </c>
      <c r="O28" s="35">
        <f ca="1">IF(ISNUMBER(LARGE(TbCarteiraAções[Total Atual],M28)),(LARGE(TbCarteiraAções[Total Atual],M28)),0)</f>
        <v>13163.999999999998</v>
      </c>
      <c r="P28" s="31">
        <f ca="1">MATCH(O28,TbCarteiraAções[Total Atual],0)</f>
        <v>4</v>
      </c>
      <c r="R28" s="53">
        <v>2</v>
      </c>
      <c r="S28" s="31" t="str" cm="1">
        <f t="array" aca="1" ref="S28" ca="1">IF(ISNA(INDEX(TbCarteiraFII[Ativo],U28,1)),"-",INDEX(TbCarteiraFII[Ativo],U28,1))</f>
        <v>KNRI11</v>
      </c>
      <c r="T28" s="35">
        <f ca="1">IF(ISNUMBER(LARGE(TbCarteiraFII[Total Atual],R28)),(LARGE(TbCarteiraFII[Total Atual],R28)),0)</f>
        <v>2613.42</v>
      </c>
      <c r="U28" s="31">
        <f ca="1">MATCH(T28,TbCarteiraFII[Total Atual],0)</f>
        <v>4</v>
      </c>
    </row>
    <row r="29" spans="2:21" x14ac:dyDescent="0.25">
      <c r="B29" s="53">
        <v>1</v>
      </c>
      <c r="C29" s="31" t="str">
        <f t="shared" ca="1" si="0"/>
        <v>EMBR3</v>
      </c>
      <c r="D29" s="54">
        <f t="shared" ca="1" si="1"/>
        <v>21870</v>
      </c>
      <c r="H29" s="53">
        <v>1</v>
      </c>
      <c r="I29" s="31" t="str" cm="1">
        <f t="array" aca="1" ref="I29" ca="1">IF(ISNA(INDEX(TbCarteira[Ativo],K29,1)),"-",INDEX(TbCarteira[Ativo],K29,1))</f>
        <v>EMBR3</v>
      </c>
      <c r="J29" s="35">
        <f ca="1">IF(ISNUMBER(LARGE(TbCarteira[Total Atual],H29)),(LARGE(TbCarteira[Total Atual],H29)),0)</f>
        <v>21870</v>
      </c>
      <c r="K29" s="31">
        <f ca="1">MATCH(J29,TbCarteira[Total Atual],0)</f>
        <v>1</v>
      </c>
      <c r="M29" s="53">
        <v>1</v>
      </c>
      <c r="N29" s="31" t="str" cm="1">
        <f t="array" aca="1" ref="N29" ca="1">IF(ISNA(INDEX(TbCarteiraAções[Ativo],P29,1)),"-",INDEX(TbCarteiraAções[Ativo],P29,1))</f>
        <v>EMBR3</v>
      </c>
      <c r="O29" s="35">
        <f ca="1">IF(ISNUMBER(LARGE(TbCarteiraAções[Total Atual],M29)),(LARGE(TbCarteiraAções[Total Atual],M29)),0)</f>
        <v>21870</v>
      </c>
      <c r="P29" s="31">
        <f ca="1">MATCH(O29,TbCarteiraAções[Total Atual],0)</f>
        <v>1</v>
      </c>
      <c r="R29" s="53">
        <v>1</v>
      </c>
      <c r="S29" s="31" t="str" cm="1">
        <f t="array" aca="1" ref="S29" ca="1">IF(ISNA(INDEX(TbCarteiraFII[Ativo],U29,1)),"-",INDEX(TbCarteiraFII[Ativo],U29,1))</f>
        <v>HGLG11</v>
      </c>
      <c r="T29" s="35">
        <f ca="1">IF(ISNUMBER(LARGE(TbCarteiraFII[Total Atual],R29)),(LARGE(TbCarteiraFII[Total Atual],R29)),0)</f>
        <v>2687.02</v>
      </c>
      <c r="U29" s="31">
        <f ca="1">MATCH(T29,TbCarteiraFII[Total Atual],0)</f>
        <v>2</v>
      </c>
    </row>
    <row r="31" spans="2:21" x14ac:dyDescent="0.25">
      <c r="B31" s="29" t="s">
        <v>82</v>
      </c>
      <c r="C31" s="29"/>
      <c r="D31" s="29"/>
      <c r="H31" s="29" t="s">
        <v>83</v>
      </c>
      <c r="I31" s="29"/>
      <c r="J31" s="29"/>
      <c r="K31" s="29"/>
      <c r="M31" s="29" t="s">
        <v>84</v>
      </c>
      <c r="N31" s="29"/>
      <c r="O31" s="29"/>
      <c r="P31" s="29"/>
      <c r="R31" s="29" t="s">
        <v>85</v>
      </c>
      <c r="S31" s="29"/>
      <c r="T31" s="29"/>
      <c r="U31" s="29"/>
    </row>
    <row r="32" spans="2:21" x14ac:dyDescent="0.25">
      <c r="B32" s="30" t="s">
        <v>76</v>
      </c>
      <c r="C32" s="30" t="s">
        <v>25</v>
      </c>
      <c r="D32" s="30" t="s">
        <v>56</v>
      </c>
      <c r="H32" s="30" t="s">
        <v>76</v>
      </c>
      <c r="I32" s="30" t="s">
        <v>25</v>
      </c>
      <c r="J32" s="30" t="s">
        <v>56</v>
      </c>
      <c r="K32" s="30" t="s">
        <v>79</v>
      </c>
      <c r="M32" s="30" t="s">
        <v>76</v>
      </c>
      <c r="N32" s="30" t="s">
        <v>25</v>
      </c>
      <c r="O32" s="30" t="s">
        <v>56</v>
      </c>
      <c r="P32" s="30" t="s">
        <v>79</v>
      </c>
      <c r="R32" s="30" t="s">
        <v>76</v>
      </c>
      <c r="S32" s="30" t="s">
        <v>25</v>
      </c>
      <c r="T32" s="30" t="s">
        <v>56</v>
      </c>
      <c r="U32" s="30" t="s">
        <v>79</v>
      </c>
    </row>
    <row r="33" spans="2:21" x14ac:dyDescent="0.25">
      <c r="B33" s="53">
        <v>10</v>
      </c>
      <c r="C33" s="31" t="str">
        <f ca="1">IF($C$8=1,I33,IF($C$8=2,N33,S33))</f>
        <v>-</v>
      </c>
      <c r="D33" s="55">
        <f ca="1">IF($C$8=1,J33,IF($C$8=2,O33,T33))</f>
        <v>0</v>
      </c>
      <c r="H33" s="53">
        <v>10</v>
      </c>
      <c r="I33" s="31" t="str" cm="1">
        <f t="array" aca="1" ref="I33" ca="1">IF(ISNA(INDEX(TbCarteira[Ativo],K33,1)),"-",INDEX(TbCarteira[Ativo],K33,1))</f>
        <v>-</v>
      </c>
      <c r="J33" s="36">
        <f ca="1">IF(ISNUMBER(LARGE(TbCarteira[Valorização %],H33)),(LARGE(TbCarteira[Valorização %],H33)),0)</f>
        <v>0</v>
      </c>
      <c r="K33" s="31" t="e">
        <f ca="1">MATCH(J33,TbCarteira[Valorização %],0)</f>
        <v>#N/A</v>
      </c>
      <c r="M33" s="53">
        <v>10</v>
      </c>
      <c r="N33" s="31" t="str" cm="1">
        <f t="array" aca="1" ref="N33" ca="1">IF(ISNA(INDEX(TbCarteiraAções[Ativo],P33,1)),"-",INDEX(TbCarteiraAções[Ativo],P33,1))</f>
        <v>-</v>
      </c>
      <c r="O33" s="55">
        <f ca="1">IF(ISNUMBER(LARGE(TbCarteiraAções[Valorização %],M33)),(LARGE(TbCarteiraAções[Valorização %],M33)),0)</f>
        <v>0</v>
      </c>
      <c r="P33" s="31" t="e">
        <f ca="1">MATCH(O33,TbCarteiraAções[Valorização %],0)</f>
        <v>#N/A</v>
      </c>
      <c r="R33" s="53">
        <v>10</v>
      </c>
      <c r="S33" s="31" t="str" cm="1">
        <f t="array" aca="1" ref="S33" ca="1">IF(ISNA(INDEX(TbCarteiraFII[Ativo],U33,1)),"-",INDEX(TbCarteiraFII[Ativo],U33,1))</f>
        <v>-</v>
      </c>
      <c r="T33" s="36">
        <f ca="1">IF(ISNUMBER(LARGE(TbCarteiraFII[Valorização %],R33)),(LARGE(TbCarteiraFII[Valorização %],R33)),0)</f>
        <v>0</v>
      </c>
      <c r="U33" s="31" t="e">
        <f ca="1">MATCH(T33,TbCarteiraFII[Valorização %],0)</f>
        <v>#N/A</v>
      </c>
    </row>
    <row r="34" spans="2:21" x14ac:dyDescent="0.25">
      <c r="B34" s="53">
        <v>9</v>
      </c>
      <c r="C34" s="31" t="str">
        <f t="shared" ref="C34:C42" ca="1" si="2">IF($C$8=1,I34,IF($C$8=2,N34,S34))</f>
        <v>-</v>
      </c>
      <c r="D34" s="55">
        <f t="shared" ref="D34:D42" ca="1" si="3">IF($C$8=1,J34,IF($C$8=2,O34,T34))</f>
        <v>0</v>
      </c>
      <c r="H34" s="53">
        <v>9</v>
      </c>
      <c r="I34" s="31" t="str" cm="1">
        <f t="array" aca="1" ref="I34" ca="1">IF(ISNA(INDEX(TbCarteira[Ativo],K34,1)),"-",INDEX(TbCarteira[Ativo],K34,1))</f>
        <v>HGBS11</v>
      </c>
      <c r="J34" s="36">
        <f ca="1">IF(ISNUMBER(LARGE(TbCarteira[Valorização %],H34)),(LARGE(TbCarteira[Valorização %],H34)),0)</f>
        <v>-0.89731385073059755</v>
      </c>
      <c r="K34" s="31">
        <f ca="1">MATCH(J34,TbCarteira[Valorização %],0)</f>
        <v>5</v>
      </c>
      <c r="M34" s="53">
        <v>9</v>
      </c>
      <c r="N34" s="31" t="str" cm="1">
        <f t="array" aca="1" ref="N34" ca="1">IF(ISNA(INDEX(TbCarteiraAções[Ativo],P34,1)),"-",INDEX(TbCarteiraAções[Ativo],P34,1))</f>
        <v>-</v>
      </c>
      <c r="O34" s="55">
        <f ca="1">IF(ISNUMBER(LARGE(TbCarteiraAções[Valorização %],M34)),(LARGE(TbCarteiraAções[Valorização %],M34)),0)</f>
        <v>0</v>
      </c>
      <c r="P34" s="31" t="e">
        <f ca="1">MATCH(O34,TbCarteiraAções[Valorização %],0)</f>
        <v>#N/A</v>
      </c>
      <c r="R34" s="53">
        <v>9</v>
      </c>
      <c r="S34" s="31" t="str" cm="1">
        <f t="array" aca="1" ref="S34" ca="1">IF(ISNA(INDEX(TbCarteiraFII[Ativo],U34,1)),"-",INDEX(TbCarteiraFII[Ativo],U34,1))</f>
        <v>-</v>
      </c>
      <c r="T34" s="36">
        <f ca="1">IF(ISNUMBER(LARGE(TbCarteiraFII[Valorização %],R34)),(LARGE(TbCarteiraFII[Valorização %],R34)),0)</f>
        <v>0</v>
      </c>
      <c r="U34" s="31" t="e">
        <f ca="1">MATCH(T34,TbCarteiraFII[Valorização %],0)</f>
        <v>#N/A</v>
      </c>
    </row>
    <row r="35" spans="2:21" x14ac:dyDescent="0.25">
      <c r="B35" s="53">
        <v>8</v>
      </c>
      <c r="C35" s="31" t="str">
        <f t="shared" ca="1" si="2"/>
        <v>-</v>
      </c>
      <c r="D35" s="55">
        <f t="shared" ca="1" si="3"/>
        <v>0</v>
      </c>
      <c r="H35" s="53">
        <v>8</v>
      </c>
      <c r="I35" s="31" t="str" cm="1">
        <f t="array" aca="1" ref="I35" ca="1">IF(ISNA(INDEX(TbCarteira[Ativo],K35,1)),"-",INDEX(TbCarteira[Ativo],K35,1))</f>
        <v>FLRY3</v>
      </c>
      <c r="J35" s="36">
        <f ca="1">IF(ISNUMBER(LARGE(TbCarteira[Valorização %],H35)),(LARGE(TbCarteira[Valorização %],H35)),0)</f>
        <v>-0.33101564440029796</v>
      </c>
      <c r="K35" s="31">
        <f ca="1">MATCH(J35,TbCarteira[Valorização %],0)</f>
        <v>2</v>
      </c>
      <c r="M35" s="53">
        <v>8</v>
      </c>
      <c r="N35" s="31" t="str" cm="1">
        <f t="array" aca="1" ref="N35" ca="1">IF(ISNA(INDEX(TbCarteiraAções[Ativo],P35,1)),"-",INDEX(TbCarteiraAções[Ativo],P35,1))</f>
        <v>-</v>
      </c>
      <c r="O35" s="55">
        <f ca="1">IF(ISNUMBER(LARGE(TbCarteiraAções[Valorização %],M35)),(LARGE(TbCarteiraAções[Valorização %],M35)),0)</f>
        <v>0</v>
      </c>
      <c r="P35" s="31" t="e">
        <f ca="1">MATCH(O35,TbCarteiraAções[Valorização %],0)</f>
        <v>#N/A</v>
      </c>
      <c r="R35" s="53">
        <v>8</v>
      </c>
      <c r="S35" s="31" t="str" cm="1">
        <f t="array" aca="1" ref="S35" ca="1">IF(ISNA(INDEX(TbCarteiraFII[Ativo],U35,1)),"-",INDEX(TbCarteiraFII[Ativo],U35,1))</f>
        <v>-</v>
      </c>
      <c r="T35" s="36">
        <f ca="1">IF(ISNUMBER(LARGE(TbCarteiraFII[Valorização %],R35)),(LARGE(TbCarteiraFII[Valorização %],R35)),0)</f>
        <v>0</v>
      </c>
      <c r="U35" s="31" t="e">
        <f ca="1">MATCH(T35,TbCarteiraFII[Valorização %],0)</f>
        <v>#N/A</v>
      </c>
    </row>
    <row r="36" spans="2:21" x14ac:dyDescent="0.25">
      <c r="B36" s="53">
        <v>7</v>
      </c>
      <c r="C36" s="31" t="str">
        <f t="shared" ca="1" si="2"/>
        <v>-</v>
      </c>
      <c r="D36" s="55">
        <f t="shared" ca="1" si="3"/>
        <v>0</v>
      </c>
      <c r="H36" s="53">
        <v>7</v>
      </c>
      <c r="I36" s="31" t="str" cm="1">
        <f t="array" aca="1" ref="I36" ca="1">IF(ISNA(INDEX(TbCarteira[Ativo],K36,1)),"-",INDEX(TbCarteira[Ativo],K36,1))</f>
        <v>HGRE11</v>
      </c>
      <c r="J36" s="36">
        <f ca="1">IF(ISNUMBER(LARGE(TbCarteira[Valorização %],H36)),(LARGE(TbCarteira[Valorização %],H36)),0)</f>
        <v>-0.12263246368206293</v>
      </c>
      <c r="K36" s="31">
        <f ca="1">MATCH(J36,TbCarteira[Valorização %],0)</f>
        <v>7</v>
      </c>
      <c r="M36" s="53">
        <v>7</v>
      </c>
      <c r="N36" s="31" t="str" cm="1">
        <f t="array" aca="1" ref="N36" ca="1">IF(ISNA(INDEX(TbCarteiraAções[Ativo],P36,1)),"-",INDEX(TbCarteiraAções[Ativo],P36,1))</f>
        <v>-</v>
      </c>
      <c r="O36" s="55">
        <f ca="1">IF(ISNUMBER(LARGE(TbCarteiraAções[Valorização %],M36)),(LARGE(TbCarteiraAções[Valorização %],M36)),0)</f>
        <v>0</v>
      </c>
      <c r="P36" s="31" t="e">
        <f ca="1">MATCH(O36,TbCarteiraAções[Valorização %],0)</f>
        <v>#N/A</v>
      </c>
      <c r="R36" s="53">
        <v>7</v>
      </c>
      <c r="S36" s="31" t="str" cm="1">
        <f t="array" aca="1" ref="S36" ca="1">IF(ISNA(INDEX(TbCarteiraFII[Ativo],U36,1)),"-",INDEX(TbCarteiraFII[Ativo],U36,1))</f>
        <v>-</v>
      </c>
      <c r="T36" s="36">
        <f ca="1">IF(ISNUMBER(LARGE(TbCarteiraFII[Valorização %],R36)),(LARGE(TbCarteiraFII[Valorização %],R36)),0)</f>
        <v>0</v>
      </c>
      <c r="U36" s="31" t="e">
        <f ca="1">MATCH(T36,TbCarteiraFII[Valorização %],0)</f>
        <v>#N/A</v>
      </c>
    </row>
    <row r="37" spans="2:21" x14ac:dyDescent="0.25">
      <c r="B37" s="53">
        <v>6</v>
      </c>
      <c r="C37" s="31" t="str">
        <f t="shared" ca="1" si="2"/>
        <v>-</v>
      </c>
      <c r="D37" s="55">
        <f t="shared" ca="1" si="3"/>
        <v>0</v>
      </c>
      <c r="H37" s="53">
        <v>6</v>
      </c>
      <c r="I37" s="31" t="str" cm="1">
        <f t="array" aca="1" ref="I37" ca="1">IF(ISNA(INDEX(TbCarteira[Ativo],K37,1)),"-",INDEX(TbCarteira[Ativo],K37,1))</f>
        <v>KNRI11</v>
      </c>
      <c r="J37" s="36">
        <f ca="1">IF(ISNUMBER(LARGE(TbCarteira[Valorização %],H37)),(LARGE(TbCarteira[Valorização %],H37)),0)</f>
        <v>-8.3026600387052785E-3</v>
      </c>
      <c r="K37" s="31">
        <f ca="1">MATCH(J37,TbCarteira[Valorização %],0)</f>
        <v>8</v>
      </c>
      <c r="M37" s="53">
        <v>6</v>
      </c>
      <c r="N37" s="31" t="str" cm="1">
        <f t="array" aca="1" ref="N37" ca="1">IF(ISNA(INDEX(TbCarteiraAções[Ativo],P37,1)),"-",INDEX(TbCarteiraAções[Ativo],P37,1))</f>
        <v>-</v>
      </c>
      <c r="O37" s="55">
        <f ca="1">IF(ISNUMBER(LARGE(TbCarteiraAções[Valorização %],M37)),(LARGE(TbCarteiraAções[Valorização %],M37)),0)</f>
        <v>0</v>
      </c>
      <c r="P37" s="31" t="e">
        <f ca="1">MATCH(O37,TbCarteiraAções[Valorização %],0)</f>
        <v>#N/A</v>
      </c>
      <c r="R37" s="53">
        <v>6</v>
      </c>
      <c r="S37" s="31" t="str" cm="1">
        <f t="array" aca="1" ref="S37" ca="1">IF(ISNA(INDEX(TbCarteiraFII[Ativo],U37,1)),"-",INDEX(TbCarteiraFII[Ativo],U37,1))</f>
        <v>-</v>
      </c>
      <c r="T37" s="36">
        <f ca="1">IF(ISNUMBER(LARGE(TbCarteiraFII[Valorização %],R37)),(LARGE(TbCarteiraFII[Valorização %],R37)),0)</f>
        <v>0</v>
      </c>
      <c r="U37" s="31" t="e">
        <f ca="1">MATCH(T37,TbCarteiraFII[Valorização %],0)</f>
        <v>#N/A</v>
      </c>
    </row>
    <row r="38" spans="2:21" x14ac:dyDescent="0.25">
      <c r="B38" s="53">
        <v>5</v>
      </c>
      <c r="C38" s="31" t="str">
        <f t="shared" ca="1" si="2"/>
        <v>FLRY3</v>
      </c>
      <c r="D38" s="55">
        <f t="shared" ca="1" si="3"/>
        <v>-0.33101564440029796</v>
      </c>
      <c r="H38" s="53">
        <v>5</v>
      </c>
      <c r="I38" s="31" t="str" cm="1">
        <f t="array" aca="1" ref="I38" ca="1">IF(ISNA(INDEX(TbCarteira[Ativo],K38,1)),"-",INDEX(TbCarteira[Ativo],K38,1))</f>
        <v>HGLG11</v>
      </c>
      <c r="J38" s="36">
        <f ca="1">IF(ISNUMBER(LARGE(TbCarteira[Valorização %],H38)),(LARGE(TbCarteira[Valorização %],H38)),0)</f>
        <v>0.14301878926837985</v>
      </c>
      <c r="K38" s="31">
        <f ca="1">MATCH(J38,TbCarteira[Valorização %],0)</f>
        <v>6</v>
      </c>
      <c r="M38" s="53">
        <v>5</v>
      </c>
      <c r="N38" s="31" t="str" cm="1">
        <f t="array" aca="1" ref="N38" ca="1">IF(ISNA(INDEX(TbCarteiraAções[Ativo],P38,1)),"-",INDEX(TbCarteiraAções[Ativo],P38,1))</f>
        <v>FLRY3</v>
      </c>
      <c r="O38" s="55">
        <f ca="1">IF(ISNUMBER(LARGE(TbCarteiraAções[Valorização %],M38)),(LARGE(TbCarteiraAções[Valorização %],M38)),0)</f>
        <v>-0.33101564440029796</v>
      </c>
      <c r="P38" s="31">
        <f ca="1">MATCH(O38,TbCarteiraAções[Valorização %],0)</f>
        <v>2</v>
      </c>
      <c r="R38" s="53">
        <v>5</v>
      </c>
      <c r="S38" s="31" t="str" cm="1">
        <f t="array" aca="1" ref="S38" ca="1">IF(ISNA(INDEX(TbCarteiraFII[Ativo],U38,1)),"-",INDEX(TbCarteiraFII[Ativo],U38,1))</f>
        <v>-</v>
      </c>
      <c r="T38" s="36">
        <f ca="1">IF(ISNUMBER(LARGE(TbCarteiraFII[Valorização %],R38)),(LARGE(TbCarteiraFII[Valorização %],R38)),0)</f>
        <v>0</v>
      </c>
      <c r="U38" s="31" t="e">
        <f ca="1">MATCH(T38,TbCarteiraFII[Valorização %],0)</f>
        <v>#N/A</v>
      </c>
    </row>
    <row r="39" spans="2:21" x14ac:dyDescent="0.25">
      <c r="B39" s="53">
        <v>4</v>
      </c>
      <c r="C39" s="31" t="str">
        <f t="shared" ca="1" si="2"/>
        <v>ITSA4</v>
      </c>
      <c r="D39" s="55">
        <f t="shared" ca="1" si="3"/>
        <v>0.29936305732484092</v>
      </c>
      <c r="H39" s="53">
        <v>4</v>
      </c>
      <c r="I39" s="31" t="str" cm="1">
        <f t="array" aca="1" ref="I39" ca="1">IF(ISNA(INDEX(TbCarteira[Ativo],K39,1)),"-",INDEX(TbCarteira[Ativo],K39,1))</f>
        <v>ITSA4</v>
      </c>
      <c r="J39" s="36">
        <f ca="1">IF(ISNUMBER(LARGE(TbCarteira[Valorização %],H39)),(LARGE(TbCarteira[Valorização %],H39)),0)</f>
        <v>0.29936305732484092</v>
      </c>
      <c r="K39" s="31">
        <f ca="1">MATCH(J39,TbCarteira[Valorização %],0)</f>
        <v>3</v>
      </c>
      <c r="M39" s="53">
        <v>4</v>
      </c>
      <c r="N39" s="31" t="str" cm="1">
        <f t="array" aca="1" ref="N39" ca="1">IF(ISNA(INDEX(TbCarteiraAções[Ativo],P39,1)),"-",INDEX(TbCarteiraAções[Ativo],P39,1))</f>
        <v>ITSA4</v>
      </c>
      <c r="O39" s="55">
        <f ca="1">IF(ISNUMBER(LARGE(TbCarteiraAções[Valorização %],M39)),(LARGE(TbCarteiraAções[Valorização %],M39)),0)</f>
        <v>0.29936305732484092</v>
      </c>
      <c r="P39" s="31">
        <f ca="1">MATCH(O39,TbCarteiraAções[Valorização %],0)</f>
        <v>3</v>
      </c>
      <c r="R39" s="53">
        <v>4</v>
      </c>
      <c r="S39" s="31" t="str" cm="1">
        <f t="array" aca="1" ref="S39" ca="1">IF(ISNA(INDEX(TbCarteiraFII[Ativo],U39,1)),"-",INDEX(TbCarteiraFII[Ativo],U39,1))</f>
        <v>HGBS11</v>
      </c>
      <c r="T39" s="36">
        <f ca="1">IF(ISNUMBER(LARGE(TbCarteiraFII[Valorização %],R39)),(LARGE(TbCarteiraFII[Valorização %],R39)),0)</f>
        <v>-0.89731385073059755</v>
      </c>
      <c r="U39" s="31">
        <f ca="1">MATCH(T39,TbCarteiraFII[Valorização %],0)</f>
        <v>1</v>
      </c>
    </row>
    <row r="40" spans="2:21" x14ac:dyDescent="0.25">
      <c r="B40" s="53">
        <v>3</v>
      </c>
      <c r="C40" s="31" t="str">
        <f t="shared" ca="1" si="2"/>
        <v>TAEE4</v>
      </c>
      <c r="D40" s="55">
        <f t="shared" ca="1" si="3"/>
        <v>0.3993883792048929</v>
      </c>
      <c r="H40" s="53">
        <v>3</v>
      </c>
      <c r="I40" s="31" t="str" cm="1">
        <f t="array" aca="1" ref="I40" ca="1">IF(ISNA(INDEX(TbCarteira[Ativo],K40,1)),"-",INDEX(TbCarteira[Ativo],K40,1))</f>
        <v>TAEE4</v>
      </c>
      <c r="J40" s="36">
        <f ca="1">IF(ISNUMBER(LARGE(TbCarteira[Valorização %],H40)),(LARGE(TbCarteira[Valorização %],H40)),0)</f>
        <v>0.3993883792048929</v>
      </c>
      <c r="K40" s="31">
        <f ca="1">MATCH(J40,TbCarteira[Valorização %],0)</f>
        <v>9</v>
      </c>
      <c r="M40" s="53">
        <v>3</v>
      </c>
      <c r="N40" s="31" t="str" cm="1">
        <f t="array" aca="1" ref="N40" ca="1">IF(ISNA(INDEX(TbCarteiraAções[Ativo],P40,1)),"-",INDEX(TbCarteiraAções[Ativo],P40,1))</f>
        <v>TAEE4</v>
      </c>
      <c r="O40" s="55">
        <f ca="1">IF(ISNUMBER(LARGE(TbCarteiraAções[Valorização %],M40)),(LARGE(TbCarteiraAções[Valorização %],M40)),0)</f>
        <v>0.3993883792048929</v>
      </c>
      <c r="P40" s="31">
        <f ca="1">MATCH(O40,TbCarteiraAções[Valorização %],0)</f>
        <v>5</v>
      </c>
      <c r="R40" s="53">
        <v>3</v>
      </c>
      <c r="S40" s="31" t="str" cm="1">
        <f t="array" aca="1" ref="S40" ca="1">IF(ISNA(INDEX(TbCarteiraFII[Ativo],U40,1)),"-",INDEX(TbCarteiraFII[Ativo],U40,1))</f>
        <v>HGRE11</v>
      </c>
      <c r="T40" s="36">
        <f ca="1">IF(ISNUMBER(LARGE(TbCarteiraFII[Valorização %],R40)),(LARGE(TbCarteiraFII[Valorização %],R40)),0)</f>
        <v>-0.12263246368206293</v>
      </c>
      <c r="U40" s="31">
        <f ca="1">MATCH(T40,TbCarteiraFII[Valorização %],0)</f>
        <v>3</v>
      </c>
    </row>
    <row r="41" spans="2:21" x14ac:dyDescent="0.25">
      <c r="B41" s="53">
        <v>2</v>
      </c>
      <c r="C41" s="31" t="str">
        <f t="shared" ca="1" si="2"/>
        <v>PETR4</v>
      </c>
      <c r="D41" s="55">
        <f t="shared" ca="1" si="3"/>
        <v>0.9903235560931356</v>
      </c>
      <c r="H41" s="53">
        <v>2</v>
      </c>
      <c r="I41" s="31" t="str" cm="1">
        <f t="array" aca="1" ref="I41" ca="1">IF(ISNA(INDEX(TbCarteira[Ativo],K41,1)),"-",INDEX(TbCarteira[Ativo],K41,1))</f>
        <v>PETR4</v>
      </c>
      <c r="J41" s="36">
        <f ca="1">IF(ISNUMBER(LARGE(TbCarteira[Valorização %],H41)),(LARGE(TbCarteira[Valorização %],H41)),0)</f>
        <v>0.9903235560931356</v>
      </c>
      <c r="K41" s="31">
        <f ca="1">MATCH(J41,TbCarteira[Valorização %],0)</f>
        <v>4</v>
      </c>
      <c r="M41" s="53">
        <v>2</v>
      </c>
      <c r="N41" s="31" t="str" cm="1">
        <f t="array" aca="1" ref="N41" ca="1">IF(ISNA(INDEX(TbCarteiraAções[Ativo],P41,1)),"-",INDEX(TbCarteiraAções[Ativo],P41,1))</f>
        <v>PETR4</v>
      </c>
      <c r="O41" s="55">
        <f ca="1">IF(ISNUMBER(LARGE(TbCarteiraAções[Valorização %],M41)),(LARGE(TbCarteiraAções[Valorização %],M41)),0)</f>
        <v>0.9903235560931356</v>
      </c>
      <c r="P41" s="31">
        <f ca="1">MATCH(O41,TbCarteiraAções[Valorização %],0)</f>
        <v>4</v>
      </c>
      <c r="R41" s="53">
        <v>2</v>
      </c>
      <c r="S41" s="31" t="str" cm="1">
        <f t="array" aca="1" ref="S41" ca="1">IF(ISNA(INDEX(TbCarteiraFII[Ativo],U41,1)),"-",INDEX(TbCarteiraFII[Ativo],U41,1))</f>
        <v>KNRI11</v>
      </c>
      <c r="T41" s="36">
        <f ca="1">IF(ISNUMBER(LARGE(TbCarteiraFII[Valorização %],R41)),(LARGE(TbCarteiraFII[Valorização %],R41)),0)</f>
        <v>-8.3026600387052785E-3</v>
      </c>
      <c r="U41" s="31">
        <f ca="1">MATCH(T41,TbCarteiraFII[Valorização %],0)</f>
        <v>4</v>
      </c>
    </row>
    <row r="42" spans="2:21" x14ac:dyDescent="0.25">
      <c r="B42" s="53">
        <v>1</v>
      </c>
      <c r="C42" s="31" t="str">
        <f t="shared" ca="1" si="2"/>
        <v>EMBR3</v>
      </c>
      <c r="D42" s="55">
        <f t="shared" ca="1" si="3"/>
        <v>2.8530655391120505</v>
      </c>
      <c r="H42" s="53">
        <v>1</v>
      </c>
      <c r="I42" s="31" t="str" cm="1">
        <f t="array" aca="1" ref="I42" ca="1">IF(ISNA(INDEX(TbCarteira[Ativo],K42,1)),"-",INDEX(TbCarteira[Ativo],K42,1))</f>
        <v>EMBR3</v>
      </c>
      <c r="J42" s="36">
        <f ca="1">IF(ISNUMBER(LARGE(TbCarteira[Valorização %],H42)),(LARGE(TbCarteira[Valorização %],H42)),0)</f>
        <v>2.8530655391120505</v>
      </c>
      <c r="K42" s="31">
        <f ca="1">MATCH(J42,TbCarteira[Valorização %],0)</f>
        <v>1</v>
      </c>
      <c r="M42" s="53">
        <v>1</v>
      </c>
      <c r="N42" s="31" t="str" cm="1">
        <f t="array" aca="1" ref="N42" ca="1">IF(ISNA(INDEX(TbCarteiraAções[Ativo],P42,1)),"-",INDEX(TbCarteiraAções[Ativo],P42,1))</f>
        <v>EMBR3</v>
      </c>
      <c r="O42" s="55">
        <f ca="1">IF(ISNUMBER(LARGE(TbCarteiraAções[Valorização %],M42)),(LARGE(TbCarteiraAções[Valorização %],M42)),0)</f>
        <v>2.8530655391120505</v>
      </c>
      <c r="P42" s="31">
        <f ca="1">MATCH(O42,TbCarteiraAções[Valorização %],0)</f>
        <v>1</v>
      </c>
      <c r="R42" s="53">
        <v>1</v>
      </c>
      <c r="S42" s="31" t="str" cm="1">
        <f t="array" aca="1" ref="S42" ca="1">IF(ISNA(INDEX(TbCarteiraFII[Ativo],U42,1)),"-",INDEX(TbCarteiraFII[Ativo],U42,1))</f>
        <v>HGLG11</v>
      </c>
      <c r="T42" s="36">
        <f ca="1">IF(ISNUMBER(LARGE(TbCarteiraFII[Valorização %],R42)),(LARGE(TbCarteiraFII[Valorização %],R42)),0)</f>
        <v>0.14301878926837985</v>
      </c>
      <c r="U42" s="31">
        <f ca="1">MATCH(T42,TbCarteiraFII[Valorização %],0)</f>
        <v>2</v>
      </c>
    </row>
  </sheetData>
  <mergeCells count="2">
    <mergeCell ref="G2:K2"/>
    <mergeCell ref="G10:K10"/>
  </mergeCells>
  <conditionalFormatting sqref="I7:K8">
    <cfRule type="cellIs" dxfId="6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E532-3445-4609-BFCB-A70E1546896A}">
  <dimension ref="B2:M12"/>
  <sheetViews>
    <sheetView workbookViewId="0">
      <selection activeCell="I5" sqref="I5"/>
    </sheetView>
  </sheetViews>
  <sheetFormatPr defaultRowHeight="15" x14ac:dyDescent="0.25"/>
  <cols>
    <col min="4" max="4" width="10.140625" customWidth="1"/>
    <col min="5" max="5" width="16.28515625" customWidth="1"/>
    <col min="6" max="6" width="12.140625" customWidth="1"/>
    <col min="7" max="7" width="12" customWidth="1"/>
    <col min="8" max="8" width="13.28515625" style="2" bestFit="1" customWidth="1"/>
    <col min="9" max="9" width="13.42578125" style="2" bestFit="1" customWidth="1"/>
    <col min="10" max="10" width="15.5703125" bestFit="1" customWidth="1"/>
    <col min="12" max="12" width="14" customWidth="1"/>
    <col min="13" max="13" width="10.7109375" bestFit="1" customWidth="1"/>
  </cols>
  <sheetData>
    <row r="2" spans="2:13" x14ac:dyDescent="0.25">
      <c r="B2" t="s">
        <v>25</v>
      </c>
      <c r="C2" t="s">
        <v>20</v>
      </c>
      <c r="D2" t="s">
        <v>50</v>
      </c>
      <c r="E2" t="s">
        <v>51</v>
      </c>
      <c r="F2" t="s">
        <v>52</v>
      </c>
      <c r="G2" t="s">
        <v>53</v>
      </c>
      <c r="H2" s="2" t="s">
        <v>54</v>
      </c>
      <c r="I2" s="2" t="s">
        <v>55</v>
      </c>
      <c r="J2" t="s">
        <v>56</v>
      </c>
      <c r="L2" s="3" t="s">
        <v>57</v>
      </c>
      <c r="M2" s="14">
        <f ca="1">IF(Dashboard!L2="",TODAY(),Dashboard!L2)</f>
        <v>43968</v>
      </c>
    </row>
    <row r="3" spans="2:13" x14ac:dyDescent="0.25">
      <c r="B3" s="1" t="s">
        <v>3</v>
      </c>
      <c r="C3" t="str">
        <f>VLOOKUP(TbCarteira[[#This Row],[Ativo]],TbAtivos[],2,FALSE)</f>
        <v>EMPRESA</v>
      </c>
      <c r="D3">
        <f>VLOOKUP(TbCarteira[[#This Row],[Ativo]],TbAtivos[],3,FALSE)</f>
        <v>72.900000000000006</v>
      </c>
      <c r="E3" s="2">
        <f ca="1">SUMIFS(TbAportes[Total],TbAportes[Ativos],TbCarteira[[#This Row],[Ativo]],TbAportes[Data],"&lt;="&amp;IF($M$2="",TODAY(),$M$2))</f>
        <v>5676</v>
      </c>
      <c r="F3">
        <f ca="1">SUMIFS(TbAportes[QTE],TbAportes[Ativos],TbCarteira[[#This Row],[Ativo]],TbAportes[Data],"&lt;="&amp;IF($M$2="",TODAY(),$M$2))</f>
        <v>300</v>
      </c>
      <c r="G3" s="2">
        <f ca="1">TbCarteira[[#This Row],[Total Aportado]]/TbCarteira[[#This Row],[Total qtde]]</f>
        <v>18.920000000000002</v>
      </c>
      <c r="H3" s="2">
        <f ca="1">TbCarteira[[#This Row],[Total qtde]]*TbCarteira[[#This Row],[Cotação]]</f>
        <v>21870</v>
      </c>
      <c r="I3" s="2">
        <f ca="1">TbCarteira[[#This Row],[Total Atual]]-TbCarteira[[#This Row],[Total Aportado]]</f>
        <v>16194</v>
      </c>
      <c r="J3" s="15">
        <f ca="1">TbCarteira[[#This Row],[Total Atual]]/TbCarteira[[#This Row],[Total Aportado]]-1</f>
        <v>2.8530655391120505</v>
      </c>
    </row>
    <row r="4" spans="2:13" x14ac:dyDescent="0.25">
      <c r="B4" s="1" t="s">
        <v>5</v>
      </c>
      <c r="C4" t="str">
        <f>VLOOKUP(TbCarteira[[#This Row],[Ativo]],TbAtivos[],2,FALSE)</f>
        <v>EMPRESA</v>
      </c>
      <c r="D4">
        <f>VLOOKUP(TbCarteira[[#This Row],[Ativo]],TbAtivos[],3,FALSE)</f>
        <v>13.47</v>
      </c>
      <c r="E4" s="2">
        <f ca="1">SUMIFS(TbAportes[Total],TbAportes[Ativos],TbCarteira[[#This Row],[Ativo]],TbAportes[Data],"&lt;="&amp;IF($M$2="",TODAY(),$M$2))</f>
        <v>4027</v>
      </c>
      <c r="F4">
        <f ca="1">SUMIFS(TbAportes[QTE],TbAportes[Ativos],TbCarteira[[#This Row],[Ativo]],TbAportes[Data],"&lt;="&amp;IF($M$2="",TODAY(),$M$2))</f>
        <v>200</v>
      </c>
      <c r="G4" s="2">
        <f ca="1">TbCarteira[[#This Row],[Total Aportado]]/TbCarteira[[#This Row],[Total qtde]]</f>
        <v>20.135000000000002</v>
      </c>
      <c r="H4" s="2">
        <f ca="1">TbCarteira[[#This Row],[Total qtde]]*TbCarteira[[#This Row],[Cotação]]</f>
        <v>2694</v>
      </c>
      <c r="I4" s="2">
        <f ca="1">TbCarteira[[#This Row],[Total Atual]]-TbCarteira[[#This Row],[Total Aportado]]</f>
        <v>-1333</v>
      </c>
      <c r="J4" s="15">
        <f ca="1">TbCarteira[[#This Row],[Total Atual]]/TbCarteira[[#This Row],[Total Aportado]]-1</f>
        <v>-0.33101564440029796</v>
      </c>
    </row>
    <row r="5" spans="2:13" x14ac:dyDescent="0.25">
      <c r="B5" s="1" t="s">
        <v>6</v>
      </c>
      <c r="C5" t="str">
        <f>VLOOKUP(TbCarteira[[#This Row],[Ativo]],TbAtivos[],2,FALSE)</f>
        <v>EMPRESA</v>
      </c>
      <c r="D5">
        <f>VLOOKUP(TbCarteira[[#This Row],[Ativo]],TbAtivos[],3,FALSE)</f>
        <v>10.88</v>
      </c>
      <c r="E5" s="2">
        <f ca="1">SUMIFS(TbAportes[Total],TbAportes[Ativos],TbCarteira[[#This Row],[Ativo]],TbAportes[Data],"&lt;="&amp;IF($M$2="",TODAY(),$M$2))</f>
        <v>2512</v>
      </c>
      <c r="F5">
        <f ca="1">SUMIFS(TbAportes[QTE],TbAportes[Ativos],TbCarteira[[#This Row],[Ativo]],TbAportes[Data],"&lt;="&amp;IF($M$2="",TODAY(),$M$2))</f>
        <v>300</v>
      </c>
      <c r="G5" s="2">
        <f ca="1">TbCarteira[[#This Row],[Total Aportado]]/TbCarteira[[#This Row],[Total qtde]]</f>
        <v>8.3733333333333331</v>
      </c>
      <c r="H5" s="2">
        <f ca="1">TbCarteira[[#This Row],[Total qtde]]*TbCarteira[[#This Row],[Cotação]]</f>
        <v>3264.0000000000005</v>
      </c>
      <c r="I5" s="2">
        <f ca="1">TbCarteira[[#This Row],[Total Atual]]-TbCarteira[[#This Row],[Total Aportado]]</f>
        <v>752.00000000000045</v>
      </c>
      <c r="J5" s="15">
        <f ca="1">TbCarteira[[#This Row],[Total Atual]]/TbCarteira[[#This Row],[Total Aportado]]-1</f>
        <v>0.29936305732484092</v>
      </c>
    </row>
    <row r="6" spans="2:13" x14ac:dyDescent="0.25">
      <c r="B6" s="1" t="s">
        <v>7</v>
      </c>
      <c r="C6" t="str">
        <f>VLOOKUP(TbCarteira[[#This Row],[Ativo]],TbAtivos[],2,FALSE)</f>
        <v>EMPRESA</v>
      </c>
      <c r="D6">
        <f>VLOOKUP(TbCarteira[[#This Row],[Ativo]],TbAtivos[],3,FALSE)</f>
        <v>32.909999999999997</v>
      </c>
      <c r="E6" s="2">
        <f ca="1">SUMIFS(TbAportes[Total],TbAportes[Ativos],TbCarteira[[#This Row],[Ativo]],TbAportes[Data],"&lt;="&amp;IF($M$2="",TODAY(),$M$2))</f>
        <v>6614</v>
      </c>
      <c r="F6">
        <f ca="1">SUMIFS(TbAportes[QTE],TbAportes[Ativos],TbCarteira[[#This Row],[Ativo]],TbAportes[Data],"&lt;="&amp;IF($M$2="",TODAY(),$M$2))</f>
        <v>400</v>
      </c>
      <c r="G6" s="2">
        <f ca="1">TbCarteira[[#This Row],[Total Aportado]]/TbCarteira[[#This Row],[Total qtde]]</f>
        <v>16.535</v>
      </c>
      <c r="H6" s="2">
        <f ca="1">TbCarteira[[#This Row],[Total qtde]]*TbCarteira[[#This Row],[Cotação]]</f>
        <v>13163.999999999998</v>
      </c>
      <c r="I6" s="2">
        <f ca="1">TbCarteira[[#This Row],[Total Atual]]-TbCarteira[[#This Row],[Total Aportado]]</f>
        <v>6549.9999999999982</v>
      </c>
      <c r="J6" s="15">
        <f ca="1">TbCarteira[[#This Row],[Total Atual]]/TbCarteira[[#This Row],[Total Aportado]]-1</f>
        <v>0.9903235560931356</v>
      </c>
    </row>
    <row r="7" spans="2:13" x14ac:dyDescent="0.25">
      <c r="B7" s="1" t="s">
        <v>8</v>
      </c>
      <c r="C7" t="str">
        <f>VLOOKUP(TbCarteira[[#This Row],[Ativo]],TbAtivos[],2,FALSE)</f>
        <v>FII</v>
      </c>
      <c r="D7">
        <f>VLOOKUP(TbCarteira[[#This Row],[Ativo]],TbAtivos[],3,FALSE)</f>
        <v>19.559999999999999</v>
      </c>
      <c r="E7" s="2">
        <f ca="1">SUMIFS(TbAportes[Total],TbAportes[Ativos],TbCarteira[[#This Row],[Ativo]],TbAportes[Data],"&lt;="&amp;IF($M$2="",TODAY(),$M$2))</f>
        <v>1714.35</v>
      </c>
      <c r="F7">
        <f ca="1">SUMIFS(TbAportes[QTE],TbAportes[Ativos],TbCarteira[[#This Row],[Ativo]],TbAportes[Data],"&lt;="&amp;IF($M$2="",TODAY(),$M$2))</f>
        <v>9</v>
      </c>
      <c r="G7" s="2">
        <f ca="1">TbCarteira[[#This Row],[Total Aportado]]/TbCarteira[[#This Row],[Total qtde]]</f>
        <v>190.48333333333332</v>
      </c>
      <c r="H7" s="2">
        <f ca="1">TbCarteira[[#This Row],[Total qtde]]*TbCarteira[[#This Row],[Cotação]]</f>
        <v>176.04</v>
      </c>
      <c r="I7" s="2">
        <f ca="1">TbCarteira[[#This Row],[Total Atual]]-TbCarteira[[#This Row],[Total Aportado]]</f>
        <v>-1538.31</v>
      </c>
      <c r="J7" s="15">
        <f ca="1">TbCarteira[[#This Row],[Total Atual]]/TbCarteira[[#This Row],[Total Aportado]]-1</f>
        <v>-0.89731385073059755</v>
      </c>
    </row>
    <row r="8" spans="2:13" x14ac:dyDescent="0.25">
      <c r="B8" s="1" t="s">
        <v>10</v>
      </c>
      <c r="C8" t="str">
        <f>VLOOKUP(TbCarteira[[#This Row],[Ativo]],TbAtivos[],2,FALSE)</f>
        <v>FII</v>
      </c>
      <c r="D8">
        <f>VLOOKUP(TbCarteira[[#This Row],[Ativo]],TbAtivos[],3,FALSE)</f>
        <v>158.06</v>
      </c>
      <c r="E8" s="2">
        <f ca="1">SUMIFS(TbAportes[Total],TbAportes[Ativos],TbCarteira[[#This Row],[Ativo]],TbAportes[Data],"&lt;="&amp;IF($M$2="",TODAY(),$M$2))</f>
        <v>2350.81</v>
      </c>
      <c r="F8">
        <f ca="1">SUMIFS(TbAportes[QTE],TbAportes[Ativos],TbCarteira[[#This Row],[Ativo]],TbAportes[Data],"&lt;="&amp;IF($M$2="",TODAY(),$M$2))</f>
        <v>17</v>
      </c>
      <c r="G8" s="2">
        <f ca="1">TbCarteira[[#This Row],[Total Aportado]]/TbCarteira[[#This Row],[Total qtde]]</f>
        <v>138.28294117647059</v>
      </c>
      <c r="H8" s="2">
        <f ca="1">TbCarteira[[#This Row],[Total qtde]]*TbCarteira[[#This Row],[Cotação]]</f>
        <v>2687.02</v>
      </c>
      <c r="I8" s="2">
        <f ca="1">TbCarteira[[#This Row],[Total Atual]]-TbCarteira[[#This Row],[Total Aportado]]</f>
        <v>336.21000000000004</v>
      </c>
      <c r="J8" s="15">
        <f ca="1">TbCarteira[[#This Row],[Total Atual]]/TbCarteira[[#This Row],[Total Aportado]]-1</f>
        <v>0.14301878926837985</v>
      </c>
    </row>
    <row r="9" spans="2:13" x14ac:dyDescent="0.25">
      <c r="B9" s="1" t="s">
        <v>11</v>
      </c>
      <c r="C9" t="str">
        <f>VLOOKUP(TbCarteira[[#This Row],[Ativo]],TbAtivos[],2,FALSE)</f>
        <v>FII</v>
      </c>
      <c r="D9">
        <f>VLOOKUP(TbCarteira[[#This Row],[Ativo]],TbAtivos[],3,FALSE)</f>
        <v>115.1</v>
      </c>
      <c r="E9" s="2">
        <f ca="1">SUMIFS(TbAportes[Total],TbAportes[Ativos],TbCarteira[[#This Row],[Ativo]],TbAportes[Data],"&lt;="&amp;IF($M$2="",TODAY(),$M$2))</f>
        <v>2492.5699999999997</v>
      </c>
      <c r="F9">
        <f ca="1">SUMIFS(TbAportes[QTE],TbAportes[Ativos],TbCarteira[[#This Row],[Ativo]],TbAportes[Data],"&lt;="&amp;IF($M$2="",TODAY(),$M$2))</f>
        <v>19</v>
      </c>
      <c r="G9" s="2">
        <f ca="1">TbCarteira[[#This Row],[Total Aportado]]/TbCarteira[[#This Row],[Total qtde]]</f>
        <v>131.18789473684208</v>
      </c>
      <c r="H9" s="2">
        <f ca="1">TbCarteira[[#This Row],[Total qtde]]*TbCarteira[[#This Row],[Cotação]]</f>
        <v>2186.9</v>
      </c>
      <c r="I9" s="2">
        <f ca="1">TbCarteira[[#This Row],[Total Atual]]-TbCarteira[[#This Row],[Total Aportado]]</f>
        <v>-305.66999999999962</v>
      </c>
      <c r="J9" s="15">
        <f ca="1">TbCarteira[[#This Row],[Total Atual]]/TbCarteira[[#This Row],[Total Aportado]]-1</f>
        <v>-0.12263246368206293</v>
      </c>
    </row>
    <row r="10" spans="2:13" x14ac:dyDescent="0.25">
      <c r="B10" s="1" t="s">
        <v>12</v>
      </c>
      <c r="C10" t="str">
        <f>VLOOKUP(TbCarteira[[#This Row],[Ativo]],TbAtivos[],2,FALSE)</f>
        <v>FII</v>
      </c>
      <c r="D10">
        <f>VLOOKUP(TbCarteira[[#This Row],[Ativo]],TbAtivos[],3,FALSE)</f>
        <v>145.19</v>
      </c>
      <c r="E10" s="2">
        <f ca="1">SUMIFS(TbAportes[Total],TbAportes[Ativos],TbCarteira[[#This Row],[Ativo]],TbAportes[Data],"&lt;="&amp;IF($M$2="",TODAY(),$M$2))</f>
        <v>2635.3</v>
      </c>
      <c r="F10">
        <f ca="1">SUMIFS(TbAportes[QTE],TbAportes[Ativos],TbCarteira[[#This Row],[Ativo]],TbAportes[Data],"&lt;="&amp;IF($M$2="",TODAY(),$M$2))</f>
        <v>18</v>
      </c>
      <c r="G10" s="2">
        <f ca="1">TbCarteira[[#This Row],[Total Aportado]]/TbCarteira[[#This Row],[Total qtde]]</f>
        <v>146.40555555555557</v>
      </c>
      <c r="H10" s="2">
        <f ca="1">TbCarteira[[#This Row],[Total qtde]]*TbCarteira[[#This Row],[Cotação]]</f>
        <v>2613.42</v>
      </c>
      <c r="I10" s="2">
        <f ca="1">TbCarteira[[#This Row],[Total Atual]]-TbCarteira[[#This Row],[Total Aportado]]</f>
        <v>-21.880000000000109</v>
      </c>
      <c r="J10" s="15">
        <f ca="1">TbCarteira[[#This Row],[Total Atual]]/TbCarteira[[#This Row],[Total Aportado]]-1</f>
        <v>-8.3026600387052785E-3</v>
      </c>
    </row>
    <row r="11" spans="2:13" x14ac:dyDescent="0.25">
      <c r="B11" s="1" t="s">
        <v>13</v>
      </c>
      <c r="C11" t="str">
        <f>VLOOKUP(TbCarteira[[#This Row],[Ativo]],TbAtivos[],2,FALSE)</f>
        <v>EMPRESA</v>
      </c>
      <c r="D11">
        <f>VLOOKUP(TbCarteira[[#This Row],[Ativo]],TbAtivos[],3,FALSE)</f>
        <v>11.44</v>
      </c>
      <c r="E11" s="2">
        <f ca="1">SUMIFS(TbAportes[Total],TbAportes[Ativos],TbCarteira[[#This Row],[Ativo]],TbAportes[Data],"&lt;="&amp;IF($M$2="",TODAY(),$M$2))</f>
        <v>1635</v>
      </c>
      <c r="F11">
        <f ca="1">SUMIFS(TbAportes[QTE],TbAportes[Ativos],TbCarteira[[#This Row],[Ativo]],TbAportes[Data],"&lt;="&amp;IF($M$2="",TODAY(),$M$2))</f>
        <v>200</v>
      </c>
      <c r="G11" s="2">
        <f ca="1">TbCarteira[[#This Row],[Total Aportado]]/TbCarteira[[#This Row],[Total qtde]]</f>
        <v>8.1750000000000007</v>
      </c>
      <c r="H11" s="2">
        <f ca="1">TbCarteira[[#This Row],[Total qtde]]*TbCarteira[[#This Row],[Cotação]]</f>
        <v>2288</v>
      </c>
      <c r="I11" s="2">
        <f ca="1">TbCarteira[[#This Row],[Total Atual]]-TbCarteira[[#This Row],[Total Aportado]]</f>
        <v>653</v>
      </c>
      <c r="J11" s="15">
        <f ca="1">TbCarteira[[#This Row],[Total Atual]]/TbCarteira[[#This Row],[Total Aportado]]-1</f>
        <v>0.3993883792048929</v>
      </c>
    </row>
    <row r="12" spans="2:13" x14ac:dyDescent="0.25">
      <c r="B12" t="s">
        <v>19</v>
      </c>
      <c r="E12" s="2">
        <f ca="1">SUBTOTAL(109,TbCarteira[Total Aportado])</f>
        <v>29657.03</v>
      </c>
      <c r="H12" s="2">
        <f ca="1">SUBTOTAL(109,TbCarteira[Total Atual])</f>
        <v>50943.38</v>
      </c>
      <c r="I12" s="2">
        <f ca="1">SUBTOTAL(109,TbCarteira[Valorização])</f>
        <v>21286.35</v>
      </c>
      <c r="J12" s="15">
        <f ca="1">TbCarteira[[#Totals],[Total Atual]]/TbCarteira[[#Totals],[Total Aportado]]</f>
        <v>1.7177505636943415</v>
      </c>
    </row>
  </sheetData>
  <conditionalFormatting sqref="I3:I11">
    <cfRule type="cellIs" dxfId="5" priority="2" operator="lessThan">
      <formula>0</formula>
    </cfRule>
  </conditionalFormatting>
  <conditionalFormatting sqref="J3:J11">
    <cfRule type="cellIs" dxfId="4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4839-A006-4150-AB92-3ADE004270D3}">
  <dimension ref="B2:M8"/>
  <sheetViews>
    <sheetView workbookViewId="0">
      <selection activeCell="B7" sqref="B7"/>
    </sheetView>
  </sheetViews>
  <sheetFormatPr defaultRowHeight="15" x14ac:dyDescent="0.25"/>
  <cols>
    <col min="4" max="4" width="10.140625" customWidth="1"/>
    <col min="5" max="5" width="16.28515625" customWidth="1"/>
    <col min="6" max="6" width="12.140625" customWidth="1"/>
    <col min="7" max="7" width="12" customWidth="1"/>
    <col min="8" max="8" width="13.28515625" style="2" bestFit="1" customWidth="1"/>
    <col min="9" max="9" width="13.42578125" style="2" bestFit="1" customWidth="1"/>
    <col min="10" max="10" width="15.5703125" bestFit="1" customWidth="1"/>
    <col min="12" max="12" width="14" customWidth="1"/>
    <col min="13" max="13" width="10.7109375" bestFit="1" customWidth="1"/>
  </cols>
  <sheetData>
    <row r="2" spans="2:13" x14ac:dyDescent="0.25">
      <c r="B2" t="s">
        <v>25</v>
      </c>
      <c r="C2" t="s">
        <v>20</v>
      </c>
      <c r="D2" t="s">
        <v>50</v>
      </c>
      <c r="E2" t="s">
        <v>51</v>
      </c>
      <c r="F2" t="s">
        <v>52</v>
      </c>
      <c r="G2" t="s">
        <v>53</v>
      </c>
      <c r="H2" s="2" t="s">
        <v>54</v>
      </c>
      <c r="I2" s="2" t="s">
        <v>55</v>
      </c>
      <c r="J2" t="s">
        <v>56</v>
      </c>
      <c r="L2" s="3" t="s">
        <v>57</v>
      </c>
      <c r="M2" s="14">
        <f ca="1">IF(Dashboard!L2="",TODAY(),Dashboard!L2)</f>
        <v>43968</v>
      </c>
    </row>
    <row r="3" spans="2:13" x14ac:dyDescent="0.25">
      <c r="B3" s="1" t="s">
        <v>3</v>
      </c>
      <c r="C3" t="str">
        <f>VLOOKUP(TbCarteiraAções[[#This Row],[Ativo]],TbAtivos[],2,FALSE)</f>
        <v>EMPRESA</v>
      </c>
      <c r="D3">
        <f>VLOOKUP(TbCarteiraAções[[#This Row],[Ativo]],TbAtivos[],3,FALSE)</f>
        <v>72.900000000000006</v>
      </c>
      <c r="E3" s="2">
        <f ca="1">SUMIFS(TbAportes[Total],TbAportes[Ativos],TbCarteiraAções[[#This Row],[Ativo]],TbAportes[Data],"&lt;="&amp;IF($M$2="",TODAY(),$M$2))</f>
        <v>5676</v>
      </c>
      <c r="F3">
        <f ca="1">SUMIFS(TbAportes[QTE],TbAportes[Ativos],TbCarteiraAções[[#This Row],[Ativo]],TbAportes[Data],"&lt;="&amp;IF($M$2="",TODAY(),$M$2))</f>
        <v>300</v>
      </c>
      <c r="G3" s="2">
        <f ca="1">TbCarteiraAções[[#This Row],[Total Aportado]]/TbCarteiraAções[[#This Row],[Total qtde]]</f>
        <v>18.920000000000002</v>
      </c>
      <c r="H3" s="2">
        <f ca="1">TbCarteiraAções[[#This Row],[Total qtde]]*TbCarteiraAções[[#This Row],[Cotação]]</f>
        <v>21870</v>
      </c>
      <c r="I3" s="2">
        <f ca="1">TbCarteiraAções[[#This Row],[Total Atual]]-TbCarteiraAções[[#This Row],[Total Aportado]]</f>
        <v>16194</v>
      </c>
      <c r="J3" s="15">
        <f ca="1">TbCarteiraAções[[#This Row],[Total Atual]]/TbCarteiraAções[[#This Row],[Total Aportado]]-1</f>
        <v>2.8530655391120505</v>
      </c>
    </row>
    <row r="4" spans="2:13" x14ac:dyDescent="0.25">
      <c r="B4" s="1" t="s">
        <v>5</v>
      </c>
      <c r="C4" t="str">
        <f>VLOOKUP(TbCarteiraAções[[#This Row],[Ativo]],TbAtivos[],2,FALSE)</f>
        <v>EMPRESA</v>
      </c>
      <c r="D4">
        <f>VLOOKUP(TbCarteiraAções[[#This Row],[Ativo]],TbAtivos[],3,FALSE)</f>
        <v>13.47</v>
      </c>
      <c r="E4" s="2">
        <f ca="1">SUMIFS(TbAportes[Total],TbAportes[Ativos],TbCarteiraAções[[#This Row],[Ativo]],TbAportes[Data],"&lt;="&amp;IF($M$2="",TODAY(),$M$2))</f>
        <v>4027</v>
      </c>
      <c r="F4">
        <f ca="1">SUMIFS(TbAportes[QTE],TbAportes[Ativos],TbCarteiraAções[[#This Row],[Ativo]],TbAportes[Data],"&lt;="&amp;IF($M$2="",TODAY(),$M$2))</f>
        <v>200</v>
      </c>
      <c r="G4" s="2">
        <f ca="1">TbCarteiraAções[[#This Row],[Total Aportado]]/TbCarteiraAções[[#This Row],[Total qtde]]</f>
        <v>20.135000000000002</v>
      </c>
      <c r="H4" s="2">
        <f ca="1">TbCarteiraAções[[#This Row],[Total qtde]]*TbCarteiraAções[[#This Row],[Cotação]]</f>
        <v>2694</v>
      </c>
      <c r="I4" s="2">
        <f ca="1">TbCarteiraAções[[#This Row],[Total Atual]]-TbCarteiraAções[[#This Row],[Total Aportado]]</f>
        <v>-1333</v>
      </c>
      <c r="J4" s="15">
        <f ca="1">TbCarteiraAções[[#This Row],[Total Atual]]/TbCarteiraAções[[#This Row],[Total Aportado]]-1</f>
        <v>-0.33101564440029796</v>
      </c>
    </row>
    <row r="5" spans="2:13" x14ac:dyDescent="0.25">
      <c r="B5" s="1" t="s">
        <v>6</v>
      </c>
      <c r="C5" t="str">
        <f>VLOOKUP(TbCarteiraAções[[#This Row],[Ativo]],TbAtivos[],2,FALSE)</f>
        <v>EMPRESA</v>
      </c>
      <c r="D5">
        <f>VLOOKUP(TbCarteiraAções[[#This Row],[Ativo]],TbAtivos[],3,FALSE)</f>
        <v>10.88</v>
      </c>
      <c r="E5" s="2">
        <f ca="1">SUMIFS(TbAportes[Total],TbAportes[Ativos],TbCarteiraAções[[#This Row],[Ativo]],TbAportes[Data],"&lt;="&amp;IF($M$2="",TODAY(),$M$2))</f>
        <v>2512</v>
      </c>
      <c r="F5">
        <f ca="1">SUMIFS(TbAportes[QTE],TbAportes[Ativos],TbCarteiraAções[[#This Row],[Ativo]],TbAportes[Data],"&lt;="&amp;IF($M$2="",TODAY(),$M$2))</f>
        <v>300</v>
      </c>
      <c r="G5" s="2">
        <f ca="1">TbCarteiraAções[[#This Row],[Total Aportado]]/TbCarteiraAções[[#This Row],[Total qtde]]</f>
        <v>8.3733333333333331</v>
      </c>
      <c r="H5" s="2">
        <f ca="1">TbCarteiraAções[[#This Row],[Total qtde]]*TbCarteiraAções[[#This Row],[Cotação]]</f>
        <v>3264.0000000000005</v>
      </c>
      <c r="I5" s="2">
        <f ca="1">TbCarteiraAções[[#This Row],[Total Atual]]-TbCarteiraAções[[#This Row],[Total Aportado]]</f>
        <v>752.00000000000045</v>
      </c>
      <c r="J5" s="15">
        <f ca="1">TbCarteiraAções[[#This Row],[Total Atual]]/TbCarteiraAções[[#This Row],[Total Aportado]]-1</f>
        <v>0.29936305732484092</v>
      </c>
    </row>
    <row r="6" spans="2:13" x14ac:dyDescent="0.25">
      <c r="B6" s="1" t="s">
        <v>7</v>
      </c>
      <c r="C6" t="str">
        <f>VLOOKUP(TbCarteiraAções[[#This Row],[Ativo]],TbAtivos[],2,FALSE)</f>
        <v>EMPRESA</v>
      </c>
      <c r="D6">
        <f>VLOOKUP(TbCarteiraAções[[#This Row],[Ativo]],TbAtivos[],3,FALSE)</f>
        <v>32.909999999999997</v>
      </c>
      <c r="E6" s="2">
        <f ca="1">SUMIFS(TbAportes[Total],TbAportes[Ativos],TbCarteiraAções[[#This Row],[Ativo]],TbAportes[Data],"&lt;="&amp;IF($M$2="",TODAY(),$M$2))</f>
        <v>6614</v>
      </c>
      <c r="F6">
        <f ca="1">SUMIFS(TbAportes[QTE],TbAportes[Ativos],TbCarteiraAções[[#This Row],[Ativo]],TbAportes[Data],"&lt;="&amp;IF($M$2="",TODAY(),$M$2))</f>
        <v>400</v>
      </c>
      <c r="G6" s="2">
        <f ca="1">TbCarteiraAções[[#This Row],[Total Aportado]]/TbCarteiraAções[[#This Row],[Total qtde]]</f>
        <v>16.535</v>
      </c>
      <c r="H6" s="2">
        <f ca="1">TbCarteiraAções[[#This Row],[Total qtde]]*TbCarteiraAções[[#This Row],[Cotação]]</f>
        <v>13163.999999999998</v>
      </c>
      <c r="I6" s="2">
        <f ca="1">TbCarteiraAções[[#This Row],[Total Atual]]-TbCarteiraAções[[#This Row],[Total Aportado]]</f>
        <v>6549.9999999999982</v>
      </c>
      <c r="J6" s="15">
        <f ca="1">TbCarteiraAções[[#This Row],[Total Atual]]/TbCarteiraAções[[#This Row],[Total Aportado]]-1</f>
        <v>0.9903235560931356</v>
      </c>
    </row>
    <row r="7" spans="2:13" x14ac:dyDescent="0.25">
      <c r="B7" s="1" t="s">
        <v>13</v>
      </c>
      <c r="C7" t="str">
        <f>VLOOKUP(TbCarteiraAções[[#This Row],[Ativo]],TbAtivos[],2,FALSE)</f>
        <v>EMPRESA</v>
      </c>
      <c r="D7">
        <f>VLOOKUP(TbCarteiraAções[[#This Row],[Ativo]],TbAtivos[],3,FALSE)</f>
        <v>11.44</v>
      </c>
      <c r="E7" s="2">
        <f ca="1">SUMIFS(TbAportes[Total],TbAportes[Ativos],TbCarteiraAções[[#This Row],[Ativo]],TbAportes[Data],"&lt;="&amp;IF($M$2="",TODAY(),$M$2))</f>
        <v>1635</v>
      </c>
      <c r="F7">
        <f ca="1">SUMIFS(TbAportes[QTE],TbAportes[Ativos],TbCarteiraAções[[#This Row],[Ativo]],TbAportes[Data],"&lt;="&amp;IF($M$2="",TODAY(),$M$2))</f>
        <v>200</v>
      </c>
      <c r="G7" s="2">
        <f ca="1">TbCarteiraAções[[#This Row],[Total Aportado]]/TbCarteiraAções[[#This Row],[Total qtde]]</f>
        <v>8.1750000000000007</v>
      </c>
      <c r="H7" s="2">
        <f ca="1">TbCarteiraAções[[#This Row],[Total qtde]]*TbCarteiraAções[[#This Row],[Cotação]]</f>
        <v>2288</v>
      </c>
      <c r="I7" s="2">
        <f ca="1">TbCarteiraAções[[#This Row],[Total Atual]]-TbCarteiraAções[[#This Row],[Total Aportado]]</f>
        <v>653</v>
      </c>
      <c r="J7" s="15">
        <f ca="1">TbCarteiraAções[[#This Row],[Total Atual]]/TbCarteiraAções[[#This Row],[Total Aportado]]-1</f>
        <v>0.3993883792048929</v>
      </c>
    </row>
    <row r="8" spans="2:13" x14ac:dyDescent="0.25">
      <c r="B8" t="s">
        <v>19</v>
      </c>
      <c r="E8" s="2">
        <f ca="1">SUBTOTAL(109,TbCarteiraAções[Total Aportado])</f>
        <v>20464</v>
      </c>
      <c r="H8" s="2">
        <f ca="1">SUBTOTAL(109,TbCarteiraAções[Total Atual])</f>
        <v>43280</v>
      </c>
      <c r="I8" s="2">
        <f ca="1">SUBTOTAL(109,TbCarteiraAções[Valorização])</f>
        <v>22816</v>
      </c>
      <c r="J8" s="15">
        <f ca="1">TbCarteiraAções[[#Totals],[Total Atual]]/TbCarteiraAções[[#Totals],[Total Aportado]]</f>
        <v>2.1149335418295543</v>
      </c>
    </row>
  </sheetData>
  <conditionalFormatting sqref="I3:J7">
    <cfRule type="cellIs" dxfId="3" priority="2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F600-202C-4780-B711-7DD3BAAF3EE5}">
  <dimension ref="B2:M7"/>
  <sheetViews>
    <sheetView workbookViewId="0">
      <selection activeCell="I5" sqref="I5"/>
    </sheetView>
  </sheetViews>
  <sheetFormatPr defaultRowHeight="15" x14ac:dyDescent="0.25"/>
  <cols>
    <col min="4" max="4" width="10.140625" customWidth="1"/>
    <col min="5" max="5" width="16.28515625" customWidth="1"/>
    <col min="6" max="6" width="12.140625" customWidth="1"/>
    <col min="7" max="7" width="12" customWidth="1"/>
    <col min="8" max="8" width="13.28515625" style="2" bestFit="1" customWidth="1"/>
    <col min="9" max="9" width="13.42578125" style="2" bestFit="1" customWidth="1"/>
    <col min="10" max="10" width="15.5703125" bestFit="1" customWidth="1"/>
    <col min="12" max="12" width="14" customWidth="1"/>
    <col min="13" max="13" width="10.7109375" bestFit="1" customWidth="1"/>
  </cols>
  <sheetData>
    <row r="2" spans="2:13" x14ac:dyDescent="0.25">
      <c r="B2" t="s">
        <v>25</v>
      </c>
      <c r="C2" t="s">
        <v>20</v>
      </c>
      <c r="D2" t="s">
        <v>50</v>
      </c>
      <c r="E2" t="s">
        <v>51</v>
      </c>
      <c r="F2" t="s">
        <v>52</v>
      </c>
      <c r="G2" t="s">
        <v>53</v>
      </c>
      <c r="H2" s="2" t="s">
        <v>54</v>
      </c>
      <c r="I2" s="2" t="s">
        <v>55</v>
      </c>
      <c r="J2" t="s">
        <v>56</v>
      </c>
      <c r="L2" s="3" t="s">
        <v>57</v>
      </c>
      <c r="M2" s="14">
        <f ca="1">IF(Dashboard!L2="",TODAY(),Dashboard!L2)</f>
        <v>43968</v>
      </c>
    </row>
    <row r="3" spans="2:13" x14ac:dyDescent="0.25">
      <c r="B3" s="1" t="s">
        <v>8</v>
      </c>
      <c r="C3" t="str">
        <f>VLOOKUP(TbCarteiraFII[[#This Row],[Ativo]],TbAtivos[],2,FALSE)</f>
        <v>FII</v>
      </c>
      <c r="D3">
        <f>VLOOKUP(TbCarteiraFII[[#This Row],[Ativo]],TbAtivos[],3,FALSE)</f>
        <v>19.559999999999999</v>
      </c>
      <c r="E3" s="2">
        <f ca="1">SUMIFS(TbAportes[Total],TbAportes[Ativos],TbCarteiraFII[[#This Row],[Ativo]],TbAportes[Data],"&lt;="&amp;IF($M$2="",TODAY(),$M$2))</f>
        <v>1714.35</v>
      </c>
      <c r="F3">
        <f ca="1">SUMIFS(TbAportes[QTE],TbAportes[Ativos],TbCarteiraFII[[#This Row],[Ativo]],TbAportes[Data],"&lt;="&amp;IF($M$2="",TODAY(),$M$2))</f>
        <v>9</v>
      </c>
      <c r="G3" s="2">
        <f ca="1">TbCarteiraFII[[#This Row],[Total Aportado]]/TbCarteiraFII[[#This Row],[Total qtde]]</f>
        <v>190.48333333333332</v>
      </c>
      <c r="H3" s="2">
        <f ca="1">TbCarteiraFII[[#This Row],[Total qtde]]*TbCarteiraFII[[#This Row],[Cotação]]</f>
        <v>176.04</v>
      </c>
      <c r="I3" s="2">
        <f ca="1">TbCarteiraFII[[#This Row],[Total Atual]]-TbCarteiraFII[[#This Row],[Total Aportado]]</f>
        <v>-1538.31</v>
      </c>
      <c r="J3" s="15">
        <f ca="1">TbCarteiraFII[[#This Row],[Total Atual]]/TbCarteiraFII[[#This Row],[Total Aportado]]-1</f>
        <v>-0.89731385073059755</v>
      </c>
    </row>
    <row r="4" spans="2:13" x14ac:dyDescent="0.25">
      <c r="B4" s="1" t="s">
        <v>10</v>
      </c>
      <c r="C4" t="str">
        <f>VLOOKUP(TbCarteiraFII[[#This Row],[Ativo]],TbAtivos[],2,FALSE)</f>
        <v>FII</v>
      </c>
      <c r="D4">
        <f>VLOOKUP(TbCarteiraFII[[#This Row],[Ativo]],TbAtivos[],3,FALSE)</f>
        <v>158.06</v>
      </c>
      <c r="E4" s="2">
        <f ca="1">SUMIFS(TbAportes[Total],TbAportes[Ativos],TbCarteiraFII[[#This Row],[Ativo]],TbAportes[Data],"&lt;="&amp;IF($M$2="",TODAY(),$M$2))</f>
        <v>2350.81</v>
      </c>
      <c r="F4">
        <f ca="1">SUMIFS(TbAportes[QTE],TbAportes[Ativos],TbCarteiraFII[[#This Row],[Ativo]],TbAportes[Data],"&lt;="&amp;IF($M$2="",TODAY(),$M$2))</f>
        <v>17</v>
      </c>
      <c r="G4" s="2">
        <f ca="1">TbCarteiraFII[[#This Row],[Total Aportado]]/TbCarteiraFII[[#This Row],[Total qtde]]</f>
        <v>138.28294117647059</v>
      </c>
      <c r="H4" s="2">
        <f ca="1">TbCarteiraFII[[#This Row],[Total qtde]]*TbCarteiraFII[[#This Row],[Cotação]]</f>
        <v>2687.02</v>
      </c>
      <c r="I4" s="2">
        <f ca="1">TbCarteiraFII[[#This Row],[Total Atual]]-TbCarteiraFII[[#This Row],[Total Aportado]]</f>
        <v>336.21000000000004</v>
      </c>
      <c r="J4" s="15">
        <f ca="1">TbCarteiraFII[[#This Row],[Total Atual]]/TbCarteiraFII[[#This Row],[Total Aportado]]-1</f>
        <v>0.14301878926837985</v>
      </c>
    </row>
    <row r="5" spans="2:13" x14ac:dyDescent="0.25">
      <c r="B5" s="1" t="s">
        <v>11</v>
      </c>
      <c r="C5" t="str">
        <f>VLOOKUP(TbCarteiraFII[[#This Row],[Ativo]],TbAtivos[],2,FALSE)</f>
        <v>FII</v>
      </c>
      <c r="D5">
        <f>VLOOKUP(TbCarteiraFII[[#This Row],[Ativo]],TbAtivos[],3,FALSE)</f>
        <v>115.1</v>
      </c>
      <c r="E5" s="2">
        <f ca="1">SUMIFS(TbAportes[Total],TbAportes[Ativos],TbCarteiraFII[[#This Row],[Ativo]],TbAportes[Data],"&lt;="&amp;IF($M$2="",TODAY(),$M$2))</f>
        <v>2492.5699999999997</v>
      </c>
      <c r="F5">
        <f ca="1">SUMIFS(TbAportes[QTE],TbAportes[Ativos],TbCarteiraFII[[#This Row],[Ativo]],TbAportes[Data],"&lt;="&amp;IF($M$2="",TODAY(),$M$2))</f>
        <v>19</v>
      </c>
      <c r="G5" s="2">
        <f ca="1">TbCarteiraFII[[#This Row],[Total Aportado]]/TbCarteiraFII[[#This Row],[Total qtde]]</f>
        <v>131.18789473684208</v>
      </c>
      <c r="H5" s="2">
        <f ca="1">TbCarteiraFII[[#This Row],[Total qtde]]*TbCarteiraFII[[#This Row],[Cotação]]</f>
        <v>2186.9</v>
      </c>
      <c r="I5" s="2">
        <f ca="1">TbCarteiraFII[[#This Row],[Total Atual]]-TbCarteiraFII[[#This Row],[Total Aportado]]</f>
        <v>-305.66999999999962</v>
      </c>
      <c r="J5" s="15">
        <f ca="1">TbCarteiraFII[[#This Row],[Total Atual]]/TbCarteiraFII[[#This Row],[Total Aportado]]-1</f>
        <v>-0.12263246368206293</v>
      </c>
    </row>
    <row r="6" spans="2:13" x14ac:dyDescent="0.25">
      <c r="B6" s="1" t="s">
        <v>12</v>
      </c>
      <c r="C6" t="str">
        <f>VLOOKUP(TbCarteiraFII[[#This Row],[Ativo]],TbAtivos[],2,FALSE)</f>
        <v>FII</v>
      </c>
      <c r="D6">
        <f>VLOOKUP(TbCarteiraFII[[#This Row],[Ativo]],TbAtivos[],3,FALSE)</f>
        <v>145.19</v>
      </c>
      <c r="E6" s="2">
        <f ca="1">SUMIFS(TbAportes[Total],TbAportes[Ativos],TbCarteiraFII[[#This Row],[Ativo]],TbAportes[Data],"&lt;="&amp;IF($M$2="",TODAY(),$M$2))</f>
        <v>2635.3</v>
      </c>
      <c r="F6">
        <f ca="1">SUMIFS(TbAportes[QTE],TbAportes[Ativos],TbCarteiraFII[[#This Row],[Ativo]],TbAportes[Data],"&lt;="&amp;IF($M$2="",TODAY(),$M$2))</f>
        <v>18</v>
      </c>
      <c r="G6" s="2">
        <f ca="1">TbCarteiraFII[[#This Row],[Total Aportado]]/TbCarteiraFII[[#This Row],[Total qtde]]</f>
        <v>146.40555555555557</v>
      </c>
      <c r="H6" s="2">
        <f ca="1">TbCarteiraFII[[#This Row],[Total qtde]]*TbCarteiraFII[[#This Row],[Cotação]]</f>
        <v>2613.42</v>
      </c>
      <c r="I6" s="2">
        <f ca="1">TbCarteiraFII[[#This Row],[Total Atual]]-TbCarteiraFII[[#This Row],[Total Aportado]]</f>
        <v>-21.880000000000109</v>
      </c>
      <c r="J6" s="15">
        <f ca="1">TbCarteiraFII[[#This Row],[Total Atual]]/TbCarteiraFII[[#This Row],[Total Aportado]]-1</f>
        <v>-8.3026600387052785E-3</v>
      </c>
    </row>
    <row r="7" spans="2:13" x14ac:dyDescent="0.25">
      <c r="B7" t="s">
        <v>19</v>
      </c>
      <c r="E7" s="2">
        <f ca="1">SUBTOTAL(109,TbCarteiraFII[Total Aportado])</f>
        <v>9193.0299999999988</v>
      </c>
      <c r="H7" s="2">
        <f ca="1">SUBTOTAL(109,TbCarteiraFII[Total Atual])</f>
        <v>7663.38</v>
      </c>
      <c r="I7" s="2">
        <f ca="1">SUBTOTAL(109,TbCarteiraFII[Valorização])</f>
        <v>-1529.6499999999996</v>
      </c>
      <c r="J7" s="15">
        <f ca="1">TbCarteiraFII[[#Totals],[Total Atual]]/TbCarteiraFII[[#Totals],[Total Aportado]]</f>
        <v>0.83360763534982496</v>
      </c>
    </row>
  </sheetData>
  <conditionalFormatting sqref="I3:J6">
    <cfRule type="cellIs" dxfId="2" priority="2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F22C-62B3-4B4E-9091-B9294B854B36}">
  <dimension ref="A3:N16"/>
  <sheetViews>
    <sheetView workbookViewId="0">
      <selection activeCell="L11" sqref="L11"/>
    </sheetView>
  </sheetViews>
  <sheetFormatPr defaultRowHeight="15" x14ac:dyDescent="0.25"/>
  <cols>
    <col min="1" max="1" width="21" bestFit="1" customWidth="1"/>
    <col min="2" max="2" width="19.5703125" bestFit="1" customWidth="1"/>
    <col min="3" max="11" width="7.85546875" bestFit="1" customWidth="1"/>
    <col min="12" max="12" width="8.5703125" bestFit="1" customWidth="1"/>
    <col min="13" max="13" width="7.85546875" bestFit="1" customWidth="1"/>
    <col min="14" max="14" width="10.7109375" bestFit="1" customWidth="1"/>
  </cols>
  <sheetData>
    <row r="3" spans="1:14" x14ac:dyDescent="0.25">
      <c r="A3" s="10" t="s">
        <v>49</v>
      </c>
      <c r="B3" s="10" t="s">
        <v>33</v>
      </c>
    </row>
    <row r="4" spans="1:14" x14ac:dyDescent="0.25">
      <c r="A4" s="10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47</v>
      </c>
      <c r="N4" t="s">
        <v>32</v>
      </c>
    </row>
    <row r="5" spans="1:14" x14ac:dyDescent="0.25">
      <c r="A5" s="11" t="s">
        <v>4</v>
      </c>
      <c r="B5" s="13">
        <v>39.479999999999997</v>
      </c>
      <c r="C5" s="13">
        <v>61</v>
      </c>
      <c r="D5" s="13">
        <v>65.430000000000007</v>
      </c>
      <c r="E5" s="13">
        <v>163.66</v>
      </c>
      <c r="F5" s="13">
        <v>162.75</v>
      </c>
      <c r="G5" s="13">
        <v>156.13999999999999</v>
      </c>
      <c r="H5" s="13">
        <v>166</v>
      </c>
      <c r="I5" s="13">
        <v>162.75</v>
      </c>
      <c r="J5" s="13">
        <v>156.13999999999999</v>
      </c>
      <c r="K5" s="13">
        <v>166</v>
      </c>
      <c r="L5" s="13">
        <v>484.89</v>
      </c>
      <c r="M5" s="13">
        <v>162.75</v>
      </c>
      <c r="N5" s="13">
        <v>1946.99</v>
      </c>
    </row>
    <row r="6" spans="1:14" x14ac:dyDescent="0.25">
      <c r="A6" s="12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>
        <v>166</v>
      </c>
      <c r="L6" s="13"/>
      <c r="M6" s="13"/>
      <c r="N6" s="13">
        <v>166</v>
      </c>
    </row>
    <row r="7" spans="1:14" x14ac:dyDescent="0.25">
      <c r="A7" s="12" t="s">
        <v>5</v>
      </c>
      <c r="B7" s="13"/>
      <c r="C7" s="13"/>
      <c r="D7" s="13"/>
      <c r="E7" s="13">
        <v>163.66</v>
      </c>
      <c r="F7" s="13"/>
      <c r="G7" s="13"/>
      <c r="H7" s="13"/>
      <c r="I7" s="13"/>
      <c r="J7" s="13">
        <v>156.13999999999999</v>
      </c>
      <c r="K7" s="13"/>
      <c r="L7" s="13"/>
      <c r="M7" s="13"/>
      <c r="N7" s="13">
        <v>319.79999999999995</v>
      </c>
    </row>
    <row r="8" spans="1:14" x14ac:dyDescent="0.25">
      <c r="A8" s="12" t="s">
        <v>6</v>
      </c>
      <c r="B8" s="13">
        <v>39.479999999999997</v>
      </c>
      <c r="C8" s="13"/>
      <c r="D8" s="13">
        <v>65.430000000000007</v>
      </c>
      <c r="E8" s="13"/>
      <c r="F8" s="13">
        <v>162.75</v>
      </c>
      <c r="G8" s="13"/>
      <c r="H8" s="13">
        <v>166</v>
      </c>
      <c r="I8" s="13"/>
      <c r="J8" s="13"/>
      <c r="K8" s="13"/>
      <c r="L8" s="13">
        <v>328.75</v>
      </c>
      <c r="M8" s="13"/>
      <c r="N8" s="13">
        <v>762.41</v>
      </c>
    </row>
    <row r="9" spans="1:14" x14ac:dyDescent="0.25">
      <c r="A9" s="12" t="s">
        <v>7</v>
      </c>
      <c r="B9" s="13"/>
      <c r="C9" s="13">
        <v>61</v>
      </c>
      <c r="D9" s="13"/>
      <c r="E9" s="13"/>
      <c r="F9" s="13"/>
      <c r="G9" s="13"/>
      <c r="H9" s="13"/>
      <c r="I9" s="13">
        <v>162.75</v>
      </c>
      <c r="J9" s="13"/>
      <c r="K9" s="13"/>
      <c r="L9" s="13"/>
      <c r="M9" s="13"/>
      <c r="N9" s="13">
        <v>223.75</v>
      </c>
    </row>
    <row r="10" spans="1:14" x14ac:dyDescent="0.25">
      <c r="A10" s="12" t="s">
        <v>13</v>
      </c>
      <c r="B10" s="13"/>
      <c r="C10" s="13"/>
      <c r="D10" s="13"/>
      <c r="E10" s="13"/>
      <c r="F10" s="13"/>
      <c r="G10" s="13">
        <v>156.13999999999999</v>
      </c>
      <c r="H10" s="13"/>
      <c r="I10" s="13"/>
      <c r="J10" s="13"/>
      <c r="K10" s="13"/>
      <c r="L10" s="13">
        <v>156.13999999999999</v>
      </c>
      <c r="M10" s="13">
        <v>162.75</v>
      </c>
      <c r="N10" s="13">
        <v>475.03</v>
      </c>
    </row>
    <row r="11" spans="1:14" x14ac:dyDescent="0.25">
      <c r="A11" s="11" t="s">
        <v>9</v>
      </c>
      <c r="B11" s="13">
        <v>217.66</v>
      </c>
      <c r="C11" s="13">
        <v>228.62</v>
      </c>
      <c r="D11" s="13">
        <v>358.32</v>
      </c>
      <c r="E11" s="13">
        <v>271.27999999999997</v>
      </c>
      <c r="F11" s="13">
        <v>433.18</v>
      </c>
      <c r="G11" s="13">
        <v>358.32</v>
      </c>
      <c r="H11" s="13">
        <v>308.72000000000003</v>
      </c>
      <c r="I11" s="13">
        <v>433.18</v>
      </c>
      <c r="J11" s="13">
        <v>357.29</v>
      </c>
      <c r="K11" s="13">
        <v>308.72000000000003</v>
      </c>
      <c r="L11" s="13">
        <v>1100.22</v>
      </c>
      <c r="M11" s="13">
        <v>433.18</v>
      </c>
      <c r="N11" s="13">
        <v>4808.6900000000005</v>
      </c>
    </row>
    <row r="12" spans="1:14" x14ac:dyDescent="0.25">
      <c r="A12" s="12" t="s">
        <v>8</v>
      </c>
      <c r="B12" s="13">
        <v>63</v>
      </c>
      <c r="C12" s="13">
        <v>75.709999999999994</v>
      </c>
      <c r="D12" s="13">
        <v>61</v>
      </c>
      <c r="E12" s="13"/>
      <c r="F12" s="13">
        <v>61</v>
      </c>
      <c r="G12" s="13">
        <v>61</v>
      </c>
      <c r="H12" s="13">
        <v>37.44</v>
      </c>
      <c r="I12" s="13">
        <v>61</v>
      </c>
      <c r="J12" s="13">
        <v>59.97</v>
      </c>
      <c r="K12" s="13">
        <v>37.44</v>
      </c>
      <c r="L12" s="13">
        <v>159.44</v>
      </c>
      <c r="M12" s="13">
        <v>61</v>
      </c>
      <c r="N12" s="13">
        <v>738</v>
      </c>
    </row>
    <row r="13" spans="1:14" x14ac:dyDescent="0.25">
      <c r="A13" s="12" t="s">
        <v>10</v>
      </c>
      <c r="B13" s="13">
        <v>81</v>
      </c>
      <c r="C13" s="13">
        <v>39.36</v>
      </c>
      <c r="D13" s="13">
        <v>99</v>
      </c>
      <c r="E13" s="13">
        <v>52.02</v>
      </c>
      <c r="F13" s="13">
        <v>180.6</v>
      </c>
      <c r="G13" s="13">
        <v>99</v>
      </c>
      <c r="H13" s="13">
        <v>52.02</v>
      </c>
      <c r="I13" s="13">
        <v>180.6</v>
      </c>
      <c r="J13" s="13">
        <v>99</v>
      </c>
      <c r="K13" s="13">
        <v>52.02</v>
      </c>
      <c r="L13" s="13">
        <v>331.62</v>
      </c>
      <c r="M13" s="13">
        <v>180.6</v>
      </c>
      <c r="N13" s="13">
        <v>1446.84</v>
      </c>
    </row>
    <row r="14" spans="1:14" x14ac:dyDescent="0.25">
      <c r="A14" s="12" t="s">
        <v>11</v>
      </c>
      <c r="B14" s="13">
        <v>38.89</v>
      </c>
      <c r="C14" s="13">
        <v>51.8</v>
      </c>
      <c r="D14" s="13">
        <v>99.9</v>
      </c>
      <c r="E14" s="13">
        <v>42.14</v>
      </c>
      <c r="F14" s="13">
        <v>38.4</v>
      </c>
      <c r="G14" s="13">
        <v>99.9</v>
      </c>
      <c r="H14" s="13">
        <v>42.14</v>
      </c>
      <c r="I14" s="13">
        <v>38.4</v>
      </c>
      <c r="J14" s="13">
        <v>99.9</v>
      </c>
      <c r="K14" s="13">
        <v>42.14</v>
      </c>
      <c r="L14" s="13">
        <v>180.44</v>
      </c>
      <c r="M14" s="13">
        <v>38.4</v>
      </c>
      <c r="N14" s="13">
        <v>812.44999999999993</v>
      </c>
    </row>
    <row r="15" spans="1:14" x14ac:dyDescent="0.25">
      <c r="A15" s="12" t="s">
        <v>12</v>
      </c>
      <c r="B15" s="13">
        <v>34.770000000000003</v>
      </c>
      <c r="C15" s="13">
        <v>61.75</v>
      </c>
      <c r="D15" s="13">
        <v>98.42</v>
      </c>
      <c r="E15" s="13">
        <v>177.12</v>
      </c>
      <c r="F15" s="13">
        <v>153.18</v>
      </c>
      <c r="G15" s="13">
        <v>98.42</v>
      </c>
      <c r="H15" s="13">
        <v>177.12</v>
      </c>
      <c r="I15" s="13">
        <v>153.18</v>
      </c>
      <c r="J15" s="13">
        <v>98.42</v>
      </c>
      <c r="K15" s="13">
        <v>177.12</v>
      </c>
      <c r="L15" s="13">
        <v>428.72</v>
      </c>
      <c r="M15" s="13">
        <v>153.18</v>
      </c>
      <c r="N15" s="13">
        <v>1811.4</v>
      </c>
    </row>
    <row r="16" spans="1:14" x14ac:dyDescent="0.25">
      <c r="A16" s="11" t="s">
        <v>32</v>
      </c>
      <c r="B16" s="13">
        <v>257.14</v>
      </c>
      <c r="C16" s="13">
        <v>289.62</v>
      </c>
      <c r="D16" s="13">
        <v>423.75000000000006</v>
      </c>
      <c r="E16" s="13">
        <v>434.94</v>
      </c>
      <c r="F16" s="13">
        <v>595.93000000000006</v>
      </c>
      <c r="G16" s="13">
        <v>514.45999999999992</v>
      </c>
      <c r="H16" s="13">
        <v>474.72</v>
      </c>
      <c r="I16" s="13">
        <v>595.93000000000006</v>
      </c>
      <c r="J16" s="13">
        <v>513.42999999999995</v>
      </c>
      <c r="K16" s="13">
        <v>474.72</v>
      </c>
      <c r="L16" s="13">
        <v>1585.11</v>
      </c>
      <c r="M16" s="13">
        <v>595.93000000000006</v>
      </c>
      <c r="N16" s="13">
        <v>6755.68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0597-BB3A-4170-A882-B7827473B714}">
  <dimension ref="A3:P16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19.5703125" bestFit="1" customWidth="1"/>
    <col min="3" max="5" width="8.5703125" bestFit="1" customWidth="1"/>
    <col min="6" max="6" width="7.85546875" bestFit="1" customWidth="1"/>
    <col min="7" max="15" width="8.5703125" bestFit="1" customWidth="1"/>
    <col min="16" max="16" width="10.7109375" bestFit="1" customWidth="1"/>
  </cols>
  <sheetData>
    <row r="3" spans="1:16" x14ac:dyDescent="0.25">
      <c r="A3" s="10" t="s">
        <v>48</v>
      </c>
      <c r="B3" s="10" t="s">
        <v>33</v>
      </c>
    </row>
    <row r="4" spans="1:16" x14ac:dyDescent="0.25">
      <c r="A4" s="10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32</v>
      </c>
    </row>
    <row r="5" spans="1:16" x14ac:dyDescent="0.25">
      <c r="A5" s="11" t="s">
        <v>4</v>
      </c>
      <c r="B5" s="13">
        <v>2666</v>
      </c>
      <c r="C5" s="13">
        <v>1644</v>
      </c>
      <c r="D5" s="13">
        <v>788</v>
      </c>
      <c r="E5" s="13">
        <v>1985</v>
      </c>
      <c r="F5" s="13"/>
      <c r="G5" s="13">
        <v>2688</v>
      </c>
      <c r="H5" s="13">
        <v>1591</v>
      </c>
      <c r="I5" s="13">
        <v>2042</v>
      </c>
      <c r="J5" s="13">
        <v>1765.9999999999998</v>
      </c>
      <c r="K5" s="13">
        <v>1849</v>
      </c>
      <c r="L5" s="13">
        <v>1613</v>
      </c>
      <c r="M5" s="13">
        <v>962.99999999999989</v>
      </c>
      <c r="N5" s="13">
        <v>869</v>
      </c>
      <c r="O5" s="13"/>
      <c r="P5" s="13">
        <v>20464</v>
      </c>
    </row>
    <row r="6" spans="1:16" x14ac:dyDescent="0.25">
      <c r="A6" s="12" t="s">
        <v>3</v>
      </c>
      <c r="B6" s="13">
        <v>1905</v>
      </c>
      <c r="C6" s="13"/>
      <c r="D6" s="13"/>
      <c r="E6" s="13"/>
      <c r="F6" s="13"/>
      <c r="G6" s="13">
        <v>1922</v>
      </c>
      <c r="H6" s="13"/>
      <c r="I6" s="13"/>
      <c r="J6" s="13"/>
      <c r="K6" s="13">
        <v>1849</v>
      </c>
      <c r="L6" s="13"/>
      <c r="M6" s="13"/>
      <c r="N6" s="13"/>
      <c r="O6" s="13"/>
      <c r="P6" s="13">
        <v>5676</v>
      </c>
    </row>
    <row r="7" spans="1:16" x14ac:dyDescent="0.25">
      <c r="A7" s="12" t="s">
        <v>5</v>
      </c>
      <c r="B7" s="13"/>
      <c r="C7" s="13"/>
      <c r="D7" s="13"/>
      <c r="E7" s="13">
        <v>1985</v>
      </c>
      <c r="F7" s="13"/>
      <c r="G7" s="13"/>
      <c r="H7" s="13"/>
      <c r="I7" s="13">
        <v>2042</v>
      </c>
      <c r="J7" s="13"/>
      <c r="K7" s="13"/>
      <c r="L7" s="13"/>
      <c r="M7" s="13"/>
      <c r="N7" s="13"/>
      <c r="O7" s="13"/>
      <c r="P7" s="13">
        <v>4027</v>
      </c>
    </row>
    <row r="8" spans="1:16" x14ac:dyDescent="0.25">
      <c r="A8" s="12" t="s">
        <v>6</v>
      </c>
      <c r="B8" s="13">
        <v>761</v>
      </c>
      <c r="C8" s="13"/>
      <c r="D8" s="13">
        <v>788</v>
      </c>
      <c r="E8" s="13"/>
      <c r="F8" s="13"/>
      <c r="G8" s="13"/>
      <c r="H8" s="13"/>
      <c r="I8" s="13"/>
      <c r="J8" s="13"/>
      <c r="K8" s="13"/>
      <c r="L8" s="13"/>
      <c r="M8" s="13">
        <v>962.99999999999989</v>
      </c>
      <c r="N8" s="13"/>
      <c r="O8" s="13"/>
      <c r="P8" s="13">
        <v>2512</v>
      </c>
    </row>
    <row r="9" spans="1:16" x14ac:dyDescent="0.25">
      <c r="A9" s="12" t="s">
        <v>7</v>
      </c>
      <c r="B9" s="13"/>
      <c r="C9" s="13">
        <v>1644</v>
      </c>
      <c r="D9" s="13"/>
      <c r="E9" s="13"/>
      <c r="F9" s="13"/>
      <c r="G9" s="13"/>
      <c r="H9" s="13">
        <v>1591</v>
      </c>
      <c r="I9" s="13"/>
      <c r="J9" s="13">
        <v>1765.9999999999998</v>
      </c>
      <c r="K9" s="13"/>
      <c r="L9" s="13">
        <v>1613</v>
      </c>
      <c r="M9" s="13"/>
      <c r="N9" s="13"/>
      <c r="O9" s="13"/>
      <c r="P9" s="13">
        <v>6614</v>
      </c>
    </row>
    <row r="10" spans="1:16" x14ac:dyDescent="0.25">
      <c r="A10" s="12" t="s">
        <v>13</v>
      </c>
      <c r="B10" s="13"/>
      <c r="C10" s="13"/>
      <c r="D10" s="13"/>
      <c r="E10" s="13"/>
      <c r="F10" s="13"/>
      <c r="G10" s="13">
        <v>766</v>
      </c>
      <c r="H10" s="13"/>
      <c r="I10" s="13"/>
      <c r="J10" s="13"/>
      <c r="K10" s="13"/>
      <c r="L10" s="13"/>
      <c r="M10" s="13"/>
      <c r="N10" s="13">
        <v>869</v>
      </c>
      <c r="O10" s="13"/>
      <c r="P10" s="13">
        <v>1635</v>
      </c>
    </row>
    <row r="11" spans="1:16" x14ac:dyDescent="0.25">
      <c r="A11" s="11" t="s">
        <v>9</v>
      </c>
      <c r="B11" s="13"/>
      <c r="C11" s="13">
        <v>704.9</v>
      </c>
      <c r="D11" s="13">
        <v>991.52</v>
      </c>
      <c r="E11" s="13">
        <v>551.46</v>
      </c>
      <c r="F11" s="13">
        <v>635.83000000000004</v>
      </c>
      <c r="G11" s="13"/>
      <c r="H11" s="13">
        <v>679.05</v>
      </c>
      <c r="I11" s="13">
        <v>191.74</v>
      </c>
      <c r="J11" s="13">
        <v>972.57999999999993</v>
      </c>
      <c r="K11" s="13">
        <v>268.2</v>
      </c>
      <c r="L11" s="13">
        <v>971.15</v>
      </c>
      <c r="M11" s="13">
        <v>430.65000000000003</v>
      </c>
      <c r="N11" s="13">
        <v>716.15</v>
      </c>
      <c r="O11" s="13">
        <v>2079.8000000000002</v>
      </c>
      <c r="P11" s="13">
        <v>9193.0299999999988</v>
      </c>
    </row>
    <row r="12" spans="1:16" x14ac:dyDescent="0.25">
      <c r="A12" s="12" t="s">
        <v>8</v>
      </c>
      <c r="B12" s="13"/>
      <c r="C12" s="13"/>
      <c r="D12" s="13"/>
      <c r="E12" s="13">
        <v>551.46</v>
      </c>
      <c r="F12" s="13"/>
      <c r="G12" s="13"/>
      <c r="H12" s="13"/>
      <c r="I12" s="13">
        <v>191.74</v>
      </c>
      <c r="J12" s="13"/>
      <c r="K12" s="13"/>
      <c r="L12" s="13">
        <v>971.15</v>
      </c>
      <c r="M12" s="13"/>
      <c r="N12" s="13"/>
      <c r="O12" s="13"/>
      <c r="P12" s="13">
        <v>1714.35</v>
      </c>
    </row>
    <row r="13" spans="1:16" x14ac:dyDescent="0.25">
      <c r="A13" s="12" t="s">
        <v>10</v>
      </c>
      <c r="B13" s="13"/>
      <c r="C13" s="13">
        <v>704.9</v>
      </c>
      <c r="D13" s="13"/>
      <c r="E13" s="13"/>
      <c r="F13" s="13">
        <v>242.68</v>
      </c>
      <c r="G13" s="13"/>
      <c r="H13" s="13"/>
      <c r="I13" s="13"/>
      <c r="J13" s="13">
        <v>972.57999999999993</v>
      </c>
      <c r="K13" s="13"/>
      <c r="L13" s="13"/>
      <c r="M13" s="13">
        <v>430.65000000000003</v>
      </c>
      <c r="N13" s="13"/>
      <c r="O13" s="13"/>
      <c r="P13" s="13">
        <v>2350.81</v>
      </c>
    </row>
    <row r="14" spans="1:16" x14ac:dyDescent="0.25">
      <c r="A14" s="12" t="s">
        <v>11</v>
      </c>
      <c r="B14" s="13"/>
      <c r="C14" s="13"/>
      <c r="D14" s="13">
        <v>991.52</v>
      </c>
      <c r="E14" s="13"/>
      <c r="F14" s="13"/>
      <c r="G14" s="13"/>
      <c r="H14" s="13">
        <v>679.05</v>
      </c>
      <c r="I14" s="13"/>
      <c r="J14" s="13"/>
      <c r="K14" s="13">
        <v>268.2</v>
      </c>
      <c r="L14" s="13"/>
      <c r="M14" s="13"/>
      <c r="N14" s="13"/>
      <c r="O14" s="13">
        <v>553.79999999999995</v>
      </c>
      <c r="P14" s="13">
        <v>2492.5699999999997</v>
      </c>
    </row>
    <row r="15" spans="1:16" x14ac:dyDescent="0.25">
      <c r="A15" s="12" t="s">
        <v>12</v>
      </c>
      <c r="B15" s="13"/>
      <c r="C15" s="13"/>
      <c r="D15" s="13"/>
      <c r="E15" s="13"/>
      <c r="F15" s="13">
        <v>393.15000000000003</v>
      </c>
      <c r="G15" s="13"/>
      <c r="H15" s="13"/>
      <c r="I15" s="13"/>
      <c r="J15" s="13"/>
      <c r="K15" s="13"/>
      <c r="L15" s="13"/>
      <c r="M15" s="13"/>
      <c r="N15" s="13">
        <v>716.15</v>
      </c>
      <c r="O15" s="13">
        <v>1526</v>
      </c>
      <c r="P15" s="13">
        <v>2635.3</v>
      </c>
    </row>
    <row r="16" spans="1:16" x14ac:dyDescent="0.25">
      <c r="A16" s="11" t="s">
        <v>32</v>
      </c>
      <c r="B16" s="13">
        <v>2666</v>
      </c>
      <c r="C16" s="13">
        <v>2348.9</v>
      </c>
      <c r="D16" s="13">
        <v>1779.52</v>
      </c>
      <c r="E16" s="13">
        <v>2536.46</v>
      </c>
      <c r="F16" s="13">
        <v>635.83000000000004</v>
      </c>
      <c r="G16" s="13">
        <v>2688</v>
      </c>
      <c r="H16" s="13">
        <v>2270.0500000000002</v>
      </c>
      <c r="I16" s="13">
        <v>2233.7399999999998</v>
      </c>
      <c r="J16" s="13">
        <v>2738.58</v>
      </c>
      <c r="K16" s="13">
        <v>2117.1999999999998</v>
      </c>
      <c r="L16" s="13">
        <v>2584.15</v>
      </c>
      <c r="M16" s="13">
        <v>1393.6499999999999</v>
      </c>
      <c r="N16" s="13">
        <v>1585.15</v>
      </c>
      <c r="O16" s="13">
        <v>2079.8000000000002</v>
      </c>
      <c r="P16" s="13">
        <v>29657.03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70B8-F0F3-4018-A825-1789F0A45556}">
  <dimension ref="B2:K30"/>
  <sheetViews>
    <sheetView topLeftCell="A4" workbookViewId="0">
      <selection activeCell="E22" sqref="E22"/>
    </sheetView>
  </sheetViews>
  <sheetFormatPr defaultRowHeight="20.100000000000001" customHeight="1" x14ac:dyDescent="0.25"/>
  <cols>
    <col min="1" max="1" width="5.7109375" style="4" customWidth="1"/>
    <col min="2" max="2" width="10.7109375" style="4" bestFit="1" customWidth="1"/>
    <col min="3" max="4" width="9.140625" style="4"/>
    <col min="5" max="5" width="17" style="5" customWidth="1"/>
    <col min="6" max="6" width="9.5703125" style="5" bestFit="1" customWidth="1"/>
    <col min="7" max="7" width="13.28515625" style="5" bestFit="1" customWidth="1"/>
    <col min="8" max="8" width="9.28515625" style="4" bestFit="1" customWidth="1"/>
    <col min="9" max="9" width="9.140625" style="4"/>
    <col min="10" max="10" width="8.5703125" style="4" bestFit="1" customWidth="1"/>
    <col min="11" max="11" width="11.42578125" style="4" customWidth="1"/>
    <col min="12" max="16384" width="9.140625" style="4"/>
  </cols>
  <sheetData>
    <row r="2" spans="2:11" ht="20.100000000000001" customHeight="1" x14ac:dyDescent="0.25">
      <c r="B2" s="4" t="s">
        <v>14</v>
      </c>
      <c r="C2" s="4" t="s">
        <v>15</v>
      </c>
      <c r="D2" s="4" t="s">
        <v>16</v>
      </c>
      <c r="E2" s="5" t="s">
        <v>18</v>
      </c>
      <c r="F2" s="5" t="s">
        <v>17</v>
      </c>
      <c r="G2" s="5" t="s">
        <v>19</v>
      </c>
      <c r="H2" s="4" t="s">
        <v>20</v>
      </c>
      <c r="I2" s="4" t="s">
        <v>21</v>
      </c>
      <c r="J2" s="4" t="s">
        <v>22</v>
      </c>
      <c r="K2" s="4" t="s">
        <v>23</v>
      </c>
    </row>
    <row r="3" spans="2:11" ht="20.100000000000001" customHeight="1" x14ac:dyDescent="0.25">
      <c r="B3" s="6">
        <v>43444</v>
      </c>
      <c r="C3" s="4" t="s">
        <v>6</v>
      </c>
      <c r="D3" s="4">
        <v>100</v>
      </c>
      <c r="E3" s="5">
        <v>7.51</v>
      </c>
      <c r="F3" s="5">
        <v>10</v>
      </c>
      <c r="G3" s="7">
        <f>TbAportes[[#This Row],[Valor Unitário]]*TbAportes[[#This Row],[QTE]]+TbAportes[[#This Row],[Custo]]</f>
        <v>761</v>
      </c>
      <c r="H3" s="8" t="str">
        <f>VLOOKUP(TbAportes[[#This Row],[Ativos]],TbAtivos[],2,FALSE)</f>
        <v>EMPRESA</v>
      </c>
      <c r="I3" s="8">
        <f>YEAR(TbAportes[[#This Row],[Data]])</f>
        <v>2018</v>
      </c>
      <c r="J3" s="8">
        <f>MONTH(TbAportes[[#This Row],[Data]])</f>
        <v>12</v>
      </c>
      <c r="K3" s="8" t="str">
        <f>CONCATENATE(TbAportes[[#This Row],[Ano]],"/",IF(TbAportes[[#This Row],[Mês]]&lt;10,"0",""),TbAportes[[#This Row],[Mês]])</f>
        <v>2018/12</v>
      </c>
    </row>
    <row r="4" spans="2:11" ht="20.100000000000001" customHeight="1" x14ac:dyDescent="0.25">
      <c r="B4" s="6">
        <v>43444</v>
      </c>
      <c r="C4" s="4" t="s">
        <v>3</v>
      </c>
      <c r="D4" s="4">
        <v>100</v>
      </c>
      <c r="E4" s="5">
        <v>18.95</v>
      </c>
      <c r="F4" s="5">
        <v>10</v>
      </c>
      <c r="G4" s="7">
        <f>TbAportes[[#This Row],[Valor Unitário]]*TbAportes[[#This Row],[QTE]]+TbAportes[[#This Row],[Custo]]</f>
        <v>1905</v>
      </c>
      <c r="H4" s="8" t="str">
        <f>VLOOKUP(TbAportes[[#This Row],[Ativos]],TbAtivos[],2,FALSE)</f>
        <v>EMPRESA</v>
      </c>
      <c r="I4" s="8">
        <f>YEAR(TbAportes[[#This Row],[Data]])</f>
        <v>2018</v>
      </c>
      <c r="J4" s="8">
        <f>MONTH(TbAportes[[#This Row],[Data]])</f>
        <v>12</v>
      </c>
      <c r="K4" s="8" t="str">
        <f>CONCATENATE(TbAportes[[#This Row],[Ano]],"/",IF(TbAportes[[#This Row],[Mês]]&lt;10,"0",""),TbAportes[[#This Row],[Mês]])</f>
        <v>2018/12</v>
      </c>
    </row>
    <row r="5" spans="2:11" ht="20.100000000000001" customHeight="1" x14ac:dyDescent="0.25">
      <c r="B5" s="6">
        <v>43475</v>
      </c>
      <c r="C5" s="4" t="s">
        <v>7</v>
      </c>
      <c r="D5" s="4">
        <v>100</v>
      </c>
      <c r="E5" s="5">
        <v>16.34</v>
      </c>
      <c r="F5" s="5">
        <v>10</v>
      </c>
      <c r="G5" s="7">
        <f>TbAportes[[#This Row],[Valor Unitário]]*TbAportes[[#This Row],[QTE]]+TbAportes[[#This Row],[Custo]]</f>
        <v>1644</v>
      </c>
      <c r="H5" s="8" t="str">
        <f>VLOOKUP(TbAportes[[#This Row],[Ativos]],TbAtivos[],2,FALSE)</f>
        <v>EMPRESA</v>
      </c>
      <c r="I5" s="8">
        <f>YEAR(TbAportes[[#This Row],[Data]])</f>
        <v>2019</v>
      </c>
      <c r="J5" s="8">
        <f>MONTH(TbAportes[[#This Row],[Data]])</f>
        <v>1</v>
      </c>
      <c r="K5" s="8" t="str">
        <f>CONCATENATE(TbAportes[[#This Row],[Ano]],"/",IF(TbAportes[[#This Row],[Mês]]&lt;10,"0",""),TbAportes[[#This Row],[Mês]])</f>
        <v>2019/01</v>
      </c>
    </row>
    <row r="6" spans="2:11" ht="20.100000000000001" customHeight="1" x14ac:dyDescent="0.25">
      <c r="B6" s="6">
        <v>43475</v>
      </c>
      <c r="C6" s="4" t="s">
        <v>10</v>
      </c>
      <c r="D6" s="4">
        <v>5</v>
      </c>
      <c r="E6" s="5">
        <v>140.97999999999999</v>
      </c>
      <c r="F6" s="5">
        <v>0</v>
      </c>
      <c r="G6" s="7">
        <f>TbAportes[[#This Row],[Valor Unitário]]*TbAportes[[#This Row],[QTE]]+TbAportes[[#This Row],[Custo]]</f>
        <v>704.9</v>
      </c>
      <c r="H6" s="8" t="str">
        <f>VLOOKUP(TbAportes[[#This Row],[Ativos]],TbAtivos[],2,FALSE)</f>
        <v>FII</v>
      </c>
      <c r="I6" s="8">
        <f>YEAR(TbAportes[[#This Row],[Data]])</f>
        <v>2019</v>
      </c>
      <c r="J6" s="8">
        <f>MONTH(TbAportes[[#This Row],[Data]])</f>
        <v>1</v>
      </c>
      <c r="K6" s="8" t="str">
        <f>CONCATENATE(TbAportes[[#This Row],[Ano]],"/",IF(TbAportes[[#This Row],[Mês]]&lt;10,"0",""),TbAportes[[#This Row],[Mês]])</f>
        <v>2019/01</v>
      </c>
    </row>
    <row r="7" spans="2:11" ht="20.100000000000001" customHeight="1" x14ac:dyDescent="0.25">
      <c r="B7" s="6">
        <v>43506</v>
      </c>
      <c r="C7" s="4" t="s">
        <v>6</v>
      </c>
      <c r="D7" s="4">
        <v>100</v>
      </c>
      <c r="E7" s="5">
        <v>7.78</v>
      </c>
      <c r="F7" s="5">
        <v>10</v>
      </c>
      <c r="G7" s="7">
        <f>TbAportes[[#This Row],[Valor Unitário]]*TbAportes[[#This Row],[QTE]]+TbAportes[[#This Row],[Custo]]</f>
        <v>788</v>
      </c>
      <c r="H7" s="8" t="str">
        <f>VLOOKUP(TbAportes[[#This Row],[Ativos]],TbAtivos[],2,FALSE)</f>
        <v>EMPRESA</v>
      </c>
      <c r="I7" s="8">
        <f>YEAR(TbAportes[[#This Row],[Data]])</f>
        <v>2019</v>
      </c>
      <c r="J7" s="8">
        <f>MONTH(TbAportes[[#This Row],[Data]])</f>
        <v>2</v>
      </c>
      <c r="K7" s="8" t="str">
        <f>CONCATENATE(TbAportes[[#This Row],[Ano]],"/",IF(TbAportes[[#This Row],[Mês]]&lt;10,"0",""),TbAportes[[#This Row],[Mês]])</f>
        <v>2019/02</v>
      </c>
    </row>
    <row r="8" spans="2:11" ht="20.100000000000001" customHeight="1" x14ac:dyDescent="0.25">
      <c r="B8" s="6">
        <v>43506</v>
      </c>
      <c r="C8" s="4" t="s">
        <v>11</v>
      </c>
      <c r="D8" s="4">
        <v>8</v>
      </c>
      <c r="E8" s="5">
        <v>123.94</v>
      </c>
      <c r="F8" s="5">
        <v>0</v>
      </c>
      <c r="G8" s="7">
        <f>TbAportes[[#This Row],[Valor Unitário]]*TbAportes[[#This Row],[QTE]]+TbAportes[[#This Row],[Custo]]</f>
        <v>991.52</v>
      </c>
      <c r="H8" s="8" t="str">
        <f>VLOOKUP(TbAportes[[#This Row],[Ativos]],TbAtivos[],2,FALSE)</f>
        <v>FII</v>
      </c>
      <c r="I8" s="8">
        <f>YEAR(TbAportes[[#This Row],[Data]])</f>
        <v>2019</v>
      </c>
      <c r="J8" s="8">
        <f>MONTH(TbAportes[[#This Row],[Data]])</f>
        <v>2</v>
      </c>
      <c r="K8" s="8" t="str">
        <f>CONCATENATE(TbAportes[[#This Row],[Ano]],"/",IF(TbAportes[[#This Row],[Mês]]&lt;10,"0",""),TbAportes[[#This Row],[Mês]])</f>
        <v>2019/02</v>
      </c>
    </row>
    <row r="9" spans="2:11" ht="20.100000000000001" customHeight="1" x14ac:dyDescent="0.25">
      <c r="B9" s="6">
        <v>43534</v>
      </c>
      <c r="C9" s="4" t="s">
        <v>5</v>
      </c>
      <c r="D9" s="4">
        <v>100</v>
      </c>
      <c r="E9" s="5">
        <v>19.75</v>
      </c>
      <c r="F9" s="5">
        <v>10</v>
      </c>
      <c r="G9" s="7">
        <f>TbAportes[[#This Row],[Valor Unitário]]*TbAportes[[#This Row],[QTE]]+TbAportes[[#This Row],[Custo]]</f>
        <v>1985</v>
      </c>
      <c r="H9" s="8" t="str">
        <f>VLOOKUP(TbAportes[[#This Row],[Ativos]],TbAtivos[],2,FALSE)</f>
        <v>EMPRESA</v>
      </c>
      <c r="I9" s="8">
        <f>YEAR(TbAportes[[#This Row],[Data]])</f>
        <v>2019</v>
      </c>
      <c r="J9" s="8">
        <f>MONTH(TbAportes[[#This Row],[Data]])</f>
        <v>3</v>
      </c>
      <c r="K9" s="8" t="str">
        <f>CONCATENATE(TbAportes[[#This Row],[Ano]],"/",IF(TbAportes[[#This Row],[Mês]]&lt;10,"0",""),TbAportes[[#This Row],[Mês]])</f>
        <v>2019/03</v>
      </c>
    </row>
    <row r="10" spans="2:11" ht="20.100000000000001" customHeight="1" x14ac:dyDescent="0.25">
      <c r="B10" s="6">
        <v>43534</v>
      </c>
      <c r="C10" s="4" t="s">
        <v>8</v>
      </c>
      <c r="D10" s="4">
        <v>3</v>
      </c>
      <c r="E10" s="5">
        <v>183.82</v>
      </c>
      <c r="F10" s="5">
        <v>0</v>
      </c>
      <c r="G10" s="7">
        <f>TbAportes[[#This Row],[Valor Unitário]]*TbAportes[[#This Row],[QTE]]+TbAportes[[#This Row],[Custo]]</f>
        <v>551.46</v>
      </c>
      <c r="H10" s="8" t="str">
        <f>VLOOKUP(TbAportes[[#This Row],[Ativos]],TbAtivos[],2,FALSE)</f>
        <v>FII</v>
      </c>
      <c r="I10" s="8">
        <f>YEAR(TbAportes[[#This Row],[Data]])</f>
        <v>2019</v>
      </c>
      <c r="J10" s="8">
        <f>MONTH(TbAportes[[#This Row],[Data]])</f>
        <v>3</v>
      </c>
      <c r="K10" s="8" t="str">
        <f>CONCATENATE(TbAportes[[#This Row],[Ano]],"/",IF(TbAportes[[#This Row],[Mês]]&lt;10,"0",""),TbAportes[[#This Row],[Mês]])</f>
        <v>2019/03</v>
      </c>
    </row>
    <row r="11" spans="2:11" ht="20.100000000000001" customHeight="1" x14ac:dyDescent="0.25">
      <c r="B11" s="6">
        <v>43565</v>
      </c>
      <c r="C11" s="4" t="s">
        <v>10</v>
      </c>
      <c r="D11" s="4">
        <v>2</v>
      </c>
      <c r="E11" s="5">
        <v>121.34</v>
      </c>
      <c r="F11" s="5">
        <v>0</v>
      </c>
      <c r="G11" s="7">
        <f>TbAportes[[#This Row],[Valor Unitário]]*TbAportes[[#This Row],[QTE]]+TbAportes[[#This Row],[Custo]]</f>
        <v>242.68</v>
      </c>
      <c r="H11" s="8" t="str">
        <f>VLOOKUP(TbAportes[[#This Row],[Ativos]],TbAtivos[],2,FALSE)</f>
        <v>FII</v>
      </c>
      <c r="I11" s="8">
        <f>YEAR(TbAportes[[#This Row],[Data]])</f>
        <v>2019</v>
      </c>
      <c r="J11" s="8">
        <f>MONTH(TbAportes[[#This Row],[Data]])</f>
        <v>4</v>
      </c>
      <c r="K11" s="8" t="str">
        <f>CONCATENATE(TbAportes[[#This Row],[Ano]],"/",IF(TbAportes[[#This Row],[Mês]]&lt;10,"0",""),TbAportes[[#This Row],[Mês]])</f>
        <v>2019/04</v>
      </c>
    </row>
    <row r="12" spans="2:11" ht="20.100000000000001" customHeight="1" x14ac:dyDescent="0.25">
      <c r="B12" s="6">
        <v>43565</v>
      </c>
      <c r="C12" s="4" t="s">
        <v>12</v>
      </c>
      <c r="D12" s="4">
        <v>3</v>
      </c>
      <c r="E12" s="5">
        <v>131.05000000000001</v>
      </c>
      <c r="F12" s="5">
        <v>0</v>
      </c>
      <c r="G12" s="7">
        <f>TbAportes[[#This Row],[Valor Unitário]]*TbAportes[[#This Row],[QTE]]+TbAportes[[#This Row],[Custo]]</f>
        <v>393.15000000000003</v>
      </c>
      <c r="H12" s="8" t="str">
        <f>VLOOKUP(TbAportes[[#This Row],[Ativos]],TbAtivos[],2,FALSE)</f>
        <v>FII</v>
      </c>
      <c r="I12" s="8">
        <f>YEAR(TbAportes[[#This Row],[Data]])</f>
        <v>2019</v>
      </c>
      <c r="J12" s="8">
        <f>MONTH(TbAportes[[#This Row],[Data]])</f>
        <v>4</v>
      </c>
      <c r="K12" s="8" t="str">
        <f>CONCATENATE(TbAportes[[#This Row],[Ano]],"/",IF(TbAportes[[#This Row],[Mês]]&lt;10,"0",""),TbAportes[[#This Row],[Mês]])</f>
        <v>2019/04</v>
      </c>
    </row>
    <row r="13" spans="2:11" ht="20.100000000000001" customHeight="1" x14ac:dyDescent="0.25">
      <c r="B13" s="6">
        <v>43595</v>
      </c>
      <c r="C13" s="4" t="s">
        <v>3</v>
      </c>
      <c r="D13" s="4">
        <v>100</v>
      </c>
      <c r="E13" s="5">
        <v>19.12</v>
      </c>
      <c r="F13" s="5">
        <v>10</v>
      </c>
      <c r="G13" s="7">
        <f>TbAportes[[#This Row],[Valor Unitário]]*TbAportes[[#This Row],[QTE]]+TbAportes[[#This Row],[Custo]]</f>
        <v>1922</v>
      </c>
      <c r="H13" s="8" t="str">
        <f>VLOOKUP(TbAportes[[#This Row],[Ativos]],TbAtivos[],2,FALSE)</f>
        <v>EMPRESA</v>
      </c>
      <c r="I13" s="8">
        <f>YEAR(TbAportes[[#This Row],[Data]])</f>
        <v>2019</v>
      </c>
      <c r="J13" s="8">
        <f>MONTH(TbAportes[[#This Row],[Data]])</f>
        <v>5</v>
      </c>
      <c r="K13" s="8" t="str">
        <f>CONCATENATE(TbAportes[[#This Row],[Ano]],"/",IF(TbAportes[[#This Row],[Mês]]&lt;10,"0",""),TbAportes[[#This Row],[Mês]])</f>
        <v>2019/05</v>
      </c>
    </row>
    <row r="14" spans="2:11" ht="20.100000000000001" customHeight="1" x14ac:dyDescent="0.25">
      <c r="B14" s="6">
        <v>43595</v>
      </c>
      <c r="C14" s="4" t="s">
        <v>13</v>
      </c>
      <c r="D14" s="4">
        <v>100</v>
      </c>
      <c r="E14" s="5">
        <v>7.56</v>
      </c>
      <c r="F14" s="5">
        <v>10</v>
      </c>
      <c r="G14" s="7">
        <f>TbAportes[[#This Row],[Valor Unitário]]*TbAportes[[#This Row],[QTE]]+TbAportes[[#This Row],[Custo]]</f>
        <v>766</v>
      </c>
      <c r="H14" s="8" t="str">
        <f>VLOOKUP(TbAportes[[#This Row],[Ativos]],TbAtivos[],2,FALSE)</f>
        <v>EMPRESA</v>
      </c>
      <c r="I14" s="8">
        <f>YEAR(TbAportes[[#This Row],[Data]])</f>
        <v>2019</v>
      </c>
      <c r="J14" s="8">
        <f>MONTH(TbAportes[[#This Row],[Data]])</f>
        <v>5</v>
      </c>
      <c r="K14" s="8" t="str">
        <f>CONCATENATE(TbAportes[[#This Row],[Ano]],"/",IF(TbAportes[[#This Row],[Mês]]&lt;10,"0",""),TbAportes[[#This Row],[Mês]])</f>
        <v>2019/05</v>
      </c>
    </row>
    <row r="15" spans="2:11" ht="20.100000000000001" customHeight="1" x14ac:dyDescent="0.25">
      <c r="B15" s="6">
        <v>43626</v>
      </c>
      <c r="C15" s="4" t="s">
        <v>11</v>
      </c>
      <c r="D15" s="4">
        <v>5</v>
      </c>
      <c r="E15" s="5">
        <v>135.81</v>
      </c>
      <c r="F15" s="5">
        <v>0</v>
      </c>
      <c r="G15" s="7">
        <f>TbAportes[[#This Row],[Valor Unitário]]*TbAportes[[#This Row],[QTE]]+TbAportes[[#This Row],[Custo]]</f>
        <v>679.05</v>
      </c>
      <c r="H15" s="8" t="str">
        <f>VLOOKUP(TbAportes[[#This Row],[Ativos]],TbAtivos[],2,FALSE)</f>
        <v>FII</v>
      </c>
      <c r="I15" s="8">
        <f>YEAR(TbAportes[[#This Row],[Data]])</f>
        <v>2019</v>
      </c>
      <c r="J15" s="8">
        <f>MONTH(TbAportes[[#This Row],[Data]])</f>
        <v>6</v>
      </c>
      <c r="K15" s="8" t="str">
        <f>CONCATENATE(TbAportes[[#This Row],[Ano]],"/",IF(TbAportes[[#This Row],[Mês]]&lt;10,"0",""),TbAportes[[#This Row],[Mês]])</f>
        <v>2019/06</v>
      </c>
    </row>
    <row r="16" spans="2:11" ht="20.100000000000001" customHeight="1" x14ac:dyDescent="0.25">
      <c r="B16" s="6">
        <v>43626</v>
      </c>
      <c r="C16" s="4" t="s">
        <v>7</v>
      </c>
      <c r="D16" s="4">
        <v>100</v>
      </c>
      <c r="E16" s="5">
        <v>15.81</v>
      </c>
      <c r="F16" s="5">
        <v>10</v>
      </c>
      <c r="G16" s="7">
        <f>TbAportes[[#This Row],[Valor Unitário]]*TbAportes[[#This Row],[QTE]]+TbAportes[[#This Row],[Custo]]</f>
        <v>1591</v>
      </c>
      <c r="H16" s="8" t="str">
        <f>VLOOKUP(TbAportes[[#This Row],[Ativos]],TbAtivos[],2,FALSE)</f>
        <v>EMPRESA</v>
      </c>
      <c r="I16" s="8">
        <f>YEAR(TbAportes[[#This Row],[Data]])</f>
        <v>2019</v>
      </c>
      <c r="J16" s="8">
        <f>MONTH(TbAportes[[#This Row],[Data]])</f>
        <v>6</v>
      </c>
      <c r="K16" s="8" t="str">
        <f>CONCATENATE(TbAportes[[#This Row],[Ano]],"/",IF(TbAportes[[#This Row],[Mês]]&lt;10,"0",""),TbAportes[[#This Row],[Mês]])</f>
        <v>2019/06</v>
      </c>
    </row>
    <row r="17" spans="2:11" ht="20.100000000000001" customHeight="1" x14ac:dyDescent="0.25">
      <c r="B17" s="6">
        <v>43656</v>
      </c>
      <c r="C17" s="4" t="s">
        <v>5</v>
      </c>
      <c r="D17" s="4">
        <v>100</v>
      </c>
      <c r="E17" s="5">
        <v>20.32</v>
      </c>
      <c r="F17" s="5">
        <v>10</v>
      </c>
      <c r="G17" s="7">
        <f>TbAportes[[#This Row],[Valor Unitário]]*TbAportes[[#This Row],[QTE]]+TbAportes[[#This Row],[Custo]]</f>
        <v>2042</v>
      </c>
      <c r="H17" s="8" t="str">
        <f>VLOOKUP(TbAportes[[#This Row],[Ativos]],TbAtivos[],2,FALSE)</f>
        <v>EMPRESA</v>
      </c>
      <c r="I17" s="8">
        <f>YEAR(TbAportes[[#This Row],[Data]])</f>
        <v>2019</v>
      </c>
      <c r="J17" s="8">
        <f>MONTH(TbAportes[[#This Row],[Data]])</f>
        <v>7</v>
      </c>
      <c r="K17" s="8" t="str">
        <f>CONCATENATE(TbAportes[[#This Row],[Ano]],"/",IF(TbAportes[[#This Row],[Mês]]&lt;10,"0",""),TbAportes[[#This Row],[Mês]])</f>
        <v>2019/07</v>
      </c>
    </row>
    <row r="18" spans="2:11" ht="20.100000000000001" customHeight="1" x14ac:dyDescent="0.25">
      <c r="B18" s="6">
        <v>43656</v>
      </c>
      <c r="C18" s="4" t="s">
        <v>8</v>
      </c>
      <c r="D18" s="4">
        <v>1</v>
      </c>
      <c r="E18" s="5">
        <v>191.74</v>
      </c>
      <c r="F18" s="5">
        <v>0</v>
      </c>
      <c r="G18" s="7">
        <f>TbAportes[[#This Row],[Valor Unitário]]*TbAportes[[#This Row],[QTE]]+TbAportes[[#This Row],[Custo]]</f>
        <v>191.74</v>
      </c>
      <c r="H18" s="8" t="str">
        <f>VLOOKUP(TbAportes[[#This Row],[Ativos]],TbAtivos[],2,FALSE)</f>
        <v>FII</v>
      </c>
      <c r="I18" s="8">
        <f>YEAR(TbAportes[[#This Row],[Data]])</f>
        <v>2019</v>
      </c>
      <c r="J18" s="8">
        <f>MONTH(TbAportes[[#This Row],[Data]])</f>
        <v>7</v>
      </c>
      <c r="K18" s="8" t="str">
        <f>CONCATENATE(TbAportes[[#This Row],[Ano]],"/",IF(TbAportes[[#This Row],[Mês]]&lt;10,"0",""),TbAportes[[#This Row],[Mês]])</f>
        <v>2019/07</v>
      </c>
    </row>
    <row r="19" spans="2:11" ht="20.100000000000001" customHeight="1" x14ac:dyDescent="0.25">
      <c r="B19" s="6">
        <v>43687</v>
      </c>
      <c r="C19" s="4" t="s">
        <v>10</v>
      </c>
      <c r="D19" s="4">
        <v>7</v>
      </c>
      <c r="E19" s="5">
        <v>138.94</v>
      </c>
      <c r="F19" s="5">
        <v>0</v>
      </c>
      <c r="G19" s="7">
        <f>TbAportes[[#This Row],[Valor Unitário]]*TbAportes[[#This Row],[QTE]]+TbAportes[[#This Row],[Custo]]</f>
        <v>972.57999999999993</v>
      </c>
      <c r="H19" s="8" t="str">
        <f>VLOOKUP(TbAportes[[#This Row],[Ativos]],TbAtivos[],2,FALSE)</f>
        <v>FII</v>
      </c>
      <c r="I19" s="8">
        <f>YEAR(TbAportes[[#This Row],[Data]])</f>
        <v>2019</v>
      </c>
      <c r="J19" s="8">
        <f>MONTH(TbAportes[[#This Row],[Data]])</f>
        <v>8</v>
      </c>
      <c r="K19" s="8" t="str">
        <f>CONCATENATE(TbAportes[[#This Row],[Ano]],"/",IF(TbAportes[[#This Row],[Mês]]&lt;10,"0",""),TbAportes[[#This Row],[Mês]])</f>
        <v>2019/08</v>
      </c>
    </row>
    <row r="20" spans="2:11" ht="20.100000000000001" customHeight="1" x14ac:dyDescent="0.25">
      <c r="B20" s="6">
        <v>43687</v>
      </c>
      <c r="C20" s="4" t="s">
        <v>7</v>
      </c>
      <c r="D20" s="4">
        <v>100</v>
      </c>
      <c r="E20" s="5">
        <v>17.559999999999999</v>
      </c>
      <c r="F20" s="5">
        <v>10</v>
      </c>
      <c r="G20" s="7">
        <f>TbAportes[[#This Row],[Valor Unitário]]*TbAportes[[#This Row],[QTE]]+TbAportes[[#This Row],[Custo]]</f>
        <v>1765.9999999999998</v>
      </c>
      <c r="H20" s="8" t="str">
        <f>VLOOKUP(TbAportes[[#This Row],[Ativos]],TbAtivos[],2,FALSE)</f>
        <v>EMPRESA</v>
      </c>
      <c r="I20" s="8">
        <f>YEAR(TbAportes[[#This Row],[Data]])</f>
        <v>2019</v>
      </c>
      <c r="J20" s="8">
        <f>MONTH(TbAportes[[#This Row],[Data]])</f>
        <v>8</v>
      </c>
      <c r="K20" s="8" t="str">
        <f>CONCATENATE(TbAportes[[#This Row],[Ano]],"/",IF(TbAportes[[#This Row],[Mês]]&lt;10,"0",""),TbAportes[[#This Row],[Mês]])</f>
        <v>2019/08</v>
      </c>
    </row>
    <row r="21" spans="2:11" ht="20.100000000000001" customHeight="1" x14ac:dyDescent="0.25">
      <c r="B21" s="6">
        <v>43718</v>
      </c>
      <c r="C21" s="4" t="s">
        <v>3</v>
      </c>
      <c r="D21" s="4">
        <v>100</v>
      </c>
      <c r="E21" s="5">
        <v>18.39</v>
      </c>
      <c r="F21" s="5">
        <v>10</v>
      </c>
      <c r="G21" s="7">
        <f>TbAportes[[#This Row],[Valor Unitário]]*TbAportes[[#This Row],[QTE]]+TbAportes[[#This Row],[Custo]]</f>
        <v>1849</v>
      </c>
      <c r="H21" s="8" t="str">
        <f>VLOOKUP(TbAportes[[#This Row],[Ativos]],TbAtivos[],2,FALSE)</f>
        <v>EMPRESA</v>
      </c>
      <c r="I21" s="8">
        <f>YEAR(TbAportes[[#This Row],[Data]])</f>
        <v>2019</v>
      </c>
      <c r="J21" s="8">
        <f>MONTH(TbAportes[[#This Row],[Data]])</f>
        <v>9</v>
      </c>
      <c r="K21" s="8" t="str">
        <f>CONCATENATE(TbAportes[[#This Row],[Ano]],"/",IF(TbAportes[[#This Row],[Mês]]&lt;10,"0",""),TbAportes[[#This Row],[Mês]])</f>
        <v>2019/09</v>
      </c>
    </row>
    <row r="22" spans="2:11" ht="20.100000000000001" customHeight="1" x14ac:dyDescent="0.25">
      <c r="B22" s="6">
        <v>43718</v>
      </c>
      <c r="C22" s="4" t="s">
        <v>11</v>
      </c>
      <c r="D22" s="4">
        <v>2</v>
      </c>
      <c r="E22" s="5">
        <v>134.1</v>
      </c>
      <c r="F22" s="5">
        <v>0</v>
      </c>
      <c r="G22" s="7">
        <f>TbAportes[[#This Row],[Valor Unitário]]*TbAportes[[#This Row],[QTE]]+TbAportes[[#This Row],[Custo]]</f>
        <v>268.2</v>
      </c>
      <c r="H22" s="8" t="str">
        <f>VLOOKUP(TbAportes[[#This Row],[Ativos]],TbAtivos[],2,FALSE)</f>
        <v>FII</v>
      </c>
      <c r="I22" s="8">
        <f>YEAR(TbAportes[[#This Row],[Data]])</f>
        <v>2019</v>
      </c>
      <c r="J22" s="8">
        <f>MONTH(TbAportes[[#This Row],[Data]])</f>
        <v>9</v>
      </c>
      <c r="K22" s="8" t="str">
        <f>CONCATENATE(TbAportes[[#This Row],[Ano]],"/",IF(TbAportes[[#This Row],[Mês]]&lt;10,"0",""),TbAportes[[#This Row],[Mês]])</f>
        <v>2019/09</v>
      </c>
    </row>
    <row r="23" spans="2:11" ht="20.100000000000001" customHeight="1" x14ac:dyDescent="0.25">
      <c r="B23" s="6">
        <v>43748</v>
      </c>
      <c r="C23" s="4" t="s">
        <v>7</v>
      </c>
      <c r="D23" s="4">
        <v>100</v>
      </c>
      <c r="E23" s="5">
        <v>16.03</v>
      </c>
      <c r="F23" s="5">
        <v>10</v>
      </c>
      <c r="G23" s="7">
        <f>TbAportes[[#This Row],[Valor Unitário]]*TbAportes[[#This Row],[QTE]]+TbAportes[[#This Row],[Custo]]</f>
        <v>1613</v>
      </c>
      <c r="H23" s="8" t="str">
        <f>VLOOKUP(TbAportes[[#This Row],[Ativos]],TbAtivos[],2,FALSE)</f>
        <v>EMPRESA</v>
      </c>
      <c r="I23" s="8">
        <f>YEAR(TbAportes[[#This Row],[Data]])</f>
        <v>2019</v>
      </c>
      <c r="J23" s="8">
        <f>MONTH(TbAportes[[#This Row],[Data]])</f>
        <v>10</v>
      </c>
      <c r="K23" s="8" t="str">
        <f>CONCATENATE(TbAportes[[#This Row],[Ano]],"/",IF(TbAportes[[#This Row],[Mês]]&lt;10,"0",""),TbAportes[[#This Row],[Mês]])</f>
        <v>2019/10</v>
      </c>
    </row>
    <row r="24" spans="2:11" ht="20.100000000000001" customHeight="1" x14ac:dyDescent="0.25">
      <c r="B24" s="6">
        <v>43748</v>
      </c>
      <c r="C24" s="4" t="s">
        <v>8</v>
      </c>
      <c r="D24" s="4">
        <v>5</v>
      </c>
      <c r="E24" s="5">
        <v>194.23</v>
      </c>
      <c r="F24" s="5">
        <v>0</v>
      </c>
      <c r="G24" s="7">
        <f>TbAportes[[#This Row],[Valor Unitário]]*TbAportes[[#This Row],[QTE]]+TbAportes[[#This Row],[Custo]]</f>
        <v>971.15</v>
      </c>
      <c r="H24" s="8" t="str">
        <f>VLOOKUP(TbAportes[[#This Row],[Ativos]],TbAtivos[],2,FALSE)</f>
        <v>FII</v>
      </c>
      <c r="I24" s="8">
        <f>YEAR(TbAportes[[#This Row],[Data]])</f>
        <v>2019</v>
      </c>
      <c r="J24" s="8">
        <f>MONTH(TbAportes[[#This Row],[Data]])</f>
        <v>10</v>
      </c>
      <c r="K24" s="8" t="str">
        <f>CONCATENATE(TbAportes[[#This Row],[Ano]],"/",IF(TbAportes[[#This Row],[Mês]]&lt;10,"0",""),TbAportes[[#This Row],[Mês]])</f>
        <v>2019/10</v>
      </c>
    </row>
    <row r="25" spans="2:11" ht="20.100000000000001" customHeight="1" x14ac:dyDescent="0.25">
      <c r="B25" s="6">
        <v>43779</v>
      </c>
      <c r="C25" s="4" t="s">
        <v>6</v>
      </c>
      <c r="D25" s="4">
        <v>100</v>
      </c>
      <c r="E25" s="5">
        <v>9.5299999999999994</v>
      </c>
      <c r="F25" s="5">
        <v>10</v>
      </c>
      <c r="G25" s="7">
        <f>TbAportes[[#This Row],[Valor Unitário]]*TbAportes[[#This Row],[QTE]]+TbAportes[[#This Row],[Custo]]</f>
        <v>962.99999999999989</v>
      </c>
      <c r="H25" s="8" t="str">
        <f>VLOOKUP(TbAportes[[#This Row],[Ativos]],TbAtivos[],2,FALSE)</f>
        <v>EMPRESA</v>
      </c>
      <c r="I25" s="8">
        <f>YEAR(TbAportes[[#This Row],[Data]])</f>
        <v>2019</v>
      </c>
      <c r="J25" s="8">
        <f>MONTH(TbAportes[[#This Row],[Data]])</f>
        <v>11</v>
      </c>
      <c r="K25" s="8" t="str">
        <f>CONCATENATE(TbAportes[[#This Row],[Ano]],"/",IF(TbAportes[[#This Row],[Mês]]&lt;10,"0",""),TbAportes[[#This Row],[Mês]])</f>
        <v>2019/11</v>
      </c>
    </row>
    <row r="26" spans="2:11" ht="20.100000000000001" customHeight="1" x14ac:dyDescent="0.25">
      <c r="B26" s="6">
        <v>43779</v>
      </c>
      <c r="C26" s="4" t="s">
        <v>10</v>
      </c>
      <c r="D26" s="4">
        <v>3</v>
      </c>
      <c r="E26" s="5">
        <v>143.55000000000001</v>
      </c>
      <c r="F26" s="5">
        <v>0</v>
      </c>
      <c r="G26" s="7">
        <f>TbAportes[[#This Row],[Valor Unitário]]*TbAportes[[#This Row],[QTE]]+TbAportes[[#This Row],[Custo]]</f>
        <v>430.65000000000003</v>
      </c>
      <c r="H26" s="8" t="str">
        <f>VLOOKUP(TbAportes[[#This Row],[Ativos]],TbAtivos[],2,FALSE)</f>
        <v>FII</v>
      </c>
      <c r="I26" s="8">
        <f>YEAR(TbAportes[[#This Row],[Data]])</f>
        <v>2019</v>
      </c>
      <c r="J26" s="8">
        <f>MONTH(TbAportes[[#This Row],[Data]])</f>
        <v>11</v>
      </c>
      <c r="K26" s="8" t="str">
        <f>CONCATENATE(TbAportes[[#This Row],[Ano]],"/",IF(TbAportes[[#This Row],[Mês]]&lt;10,"0",""),TbAportes[[#This Row],[Mês]])</f>
        <v>2019/11</v>
      </c>
    </row>
    <row r="27" spans="2:11" ht="20.100000000000001" customHeight="1" x14ac:dyDescent="0.25">
      <c r="B27" s="6">
        <v>43809</v>
      </c>
      <c r="C27" s="4" t="s">
        <v>12</v>
      </c>
      <c r="D27" s="4">
        <v>5</v>
      </c>
      <c r="E27" s="5">
        <v>143.22999999999999</v>
      </c>
      <c r="F27" s="5">
        <v>0</v>
      </c>
      <c r="G27" s="7">
        <f>TbAportes[[#This Row],[Valor Unitário]]*TbAportes[[#This Row],[QTE]]+TbAportes[[#This Row],[Custo]]</f>
        <v>716.15</v>
      </c>
      <c r="H27" s="8" t="str">
        <f>VLOOKUP(TbAportes[[#This Row],[Ativos]],TbAtivos[],2,FALSE)</f>
        <v>FII</v>
      </c>
      <c r="I27" s="8">
        <f>YEAR(TbAportes[[#This Row],[Data]])</f>
        <v>2019</v>
      </c>
      <c r="J27" s="8">
        <f>MONTH(TbAportes[[#This Row],[Data]])</f>
        <v>12</v>
      </c>
      <c r="K27" s="8" t="str">
        <f>CONCATENATE(TbAportes[[#This Row],[Ano]],"/",IF(TbAportes[[#This Row],[Mês]]&lt;10,"0",""),TbAportes[[#This Row],[Mês]])</f>
        <v>2019/12</v>
      </c>
    </row>
    <row r="28" spans="2:11" ht="20.100000000000001" customHeight="1" x14ac:dyDescent="0.25">
      <c r="B28" s="6">
        <v>43809</v>
      </c>
      <c r="C28" s="4" t="s">
        <v>13</v>
      </c>
      <c r="D28" s="4">
        <v>100</v>
      </c>
      <c r="E28" s="5">
        <v>8.59</v>
      </c>
      <c r="F28" s="5">
        <v>10</v>
      </c>
      <c r="G28" s="7">
        <f>TbAportes[[#This Row],[Valor Unitário]]*TbAportes[[#This Row],[QTE]]+TbAportes[[#This Row],[Custo]]</f>
        <v>869</v>
      </c>
      <c r="H28" s="8" t="str">
        <f>VLOOKUP(TbAportes[[#This Row],[Ativos]],TbAtivos[],2,FALSE)</f>
        <v>EMPRESA</v>
      </c>
      <c r="I28" s="8">
        <f>YEAR(TbAportes[[#This Row],[Data]])</f>
        <v>2019</v>
      </c>
      <c r="J28" s="8">
        <f>MONTH(TbAportes[[#This Row],[Data]])</f>
        <v>12</v>
      </c>
      <c r="K28" s="8" t="str">
        <f>CONCATENATE(TbAportes[[#This Row],[Ano]],"/",IF(TbAportes[[#This Row],[Mês]]&lt;10,"0",""),TbAportes[[#This Row],[Mês]])</f>
        <v>2019/12</v>
      </c>
    </row>
    <row r="29" spans="2:11" ht="20.100000000000001" customHeight="1" x14ac:dyDescent="0.25">
      <c r="B29" s="6">
        <v>43840</v>
      </c>
      <c r="C29" s="4" t="s">
        <v>12</v>
      </c>
      <c r="D29" s="4">
        <v>10</v>
      </c>
      <c r="E29" s="5">
        <v>152.6</v>
      </c>
      <c r="F29" s="5">
        <v>0</v>
      </c>
      <c r="G29" s="7">
        <f>TbAportes[[#This Row],[Valor Unitário]]*TbAportes[[#This Row],[QTE]]+TbAportes[[#This Row],[Custo]]</f>
        <v>1526</v>
      </c>
      <c r="H29" s="8" t="str">
        <f>VLOOKUP(TbAportes[[#This Row],[Ativos]],TbAtivos[],2,FALSE)</f>
        <v>FII</v>
      </c>
      <c r="I29" s="8">
        <f>YEAR(TbAportes[[#This Row],[Data]])</f>
        <v>2020</v>
      </c>
      <c r="J29" s="8">
        <f>MONTH(TbAportes[[#This Row],[Data]])</f>
        <v>1</v>
      </c>
      <c r="K29" s="8" t="str">
        <f>CONCATENATE(TbAportes[[#This Row],[Ano]],"/",IF(TbAportes[[#This Row],[Mês]]&lt;10,"0",""),TbAportes[[#This Row],[Mês]])</f>
        <v>2020/01</v>
      </c>
    </row>
    <row r="30" spans="2:11" ht="20.100000000000001" customHeight="1" x14ac:dyDescent="0.25">
      <c r="B30" s="6">
        <v>43840</v>
      </c>
      <c r="C30" s="4" t="s">
        <v>11</v>
      </c>
      <c r="D30" s="4">
        <v>4</v>
      </c>
      <c r="E30" s="5">
        <v>138.44999999999999</v>
      </c>
      <c r="F30" s="5">
        <v>0</v>
      </c>
      <c r="G30" s="7">
        <f>TbAportes[[#This Row],[Valor Unitário]]*TbAportes[[#This Row],[QTE]]+TbAportes[[#This Row],[Custo]]</f>
        <v>553.79999999999995</v>
      </c>
      <c r="H30" s="8" t="str">
        <f>VLOOKUP(TbAportes[[#This Row],[Ativos]],TbAtivos[],2,FALSE)</f>
        <v>FII</v>
      </c>
      <c r="I30" s="8">
        <f>YEAR(TbAportes[[#This Row],[Data]])</f>
        <v>2020</v>
      </c>
      <c r="J30" s="8">
        <f>MONTH(TbAportes[[#This Row],[Data]])</f>
        <v>1</v>
      </c>
      <c r="K30" s="8" t="str">
        <f>CONCATENATE(TbAportes[[#This Row],[Ano]],"/",IF(TbAportes[[#This Row],[Mês]]&lt;10,"0",""),TbAportes[[#This Row],[Mês]])</f>
        <v>2020/01</v>
      </c>
    </row>
  </sheetData>
  <dataValidations count="1">
    <dataValidation type="list" allowBlank="1" showInputMessage="1" showErrorMessage="1" sqref="C3:C30" xr:uid="{5B1CC238-DC33-4DE0-9798-DC0F2B7F00B7}">
      <formula1>TbAtivos_Ativo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492B-5DCD-49F3-A051-4B5B6A7DBA9D}">
  <dimension ref="B2:K73"/>
  <sheetViews>
    <sheetView workbookViewId="0">
      <selection activeCell="C21" sqref="C21"/>
    </sheetView>
  </sheetViews>
  <sheetFormatPr defaultRowHeight="20.100000000000001" customHeight="1" x14ac:dyDescent="0.25"/>
  <cols>
    <col min="1" max="1" width="5.7109375" style="4" customWidth="1"/>
    <col min="2" max="4" width="9.140625" style="4"/>
    <col min="5" max="5" width="14.5703125" style="4" customWidth="1"/>
    <col min="6" max="6" width="8.140625" style="4" bestFit="1" customWidth="1"/>
    <col min="7" max="7" width="16.28515625" style="4" customWidth="1"/>
    <col min="8" max="8" width="10.7109375" style="4" bestFit="1" customWidth="1"/>
    <col min="9" max="9" width="12.85546875" style="4" customWidth="1"/>
    <col min="10" max="16384" width="9.140625" style="4"/>
  </cols>
  <sheetData>
    <row r="2" spans="2:11" ht="20.100000000000001" customHeight="1" x14ac:dyDescent="0.25">
      <c r="B2" s="4" t="s">
        <v>24</v>
      </c>
      <c r="C2" s="4" t="s">
        <v>25</v>
      </c>
      <c r="D2" s="4" t="s">
        <v>26</v>
      </c>
      <c r="E2" s="9" t="s">
        <v>27</v>
      </c>
      <c r="F2" s="9" t="s">
        <v>28</v>
      </c>
      <c r="G2" s="9" t="s">
        <v>29</v>
      </c>
      <c r="H2" s="6" t="s">
        <v>14</v>
      </c>
      <c r="I2" s="9" t="s">
        <v>23</v>
      </c>
      <c r="J2" s="9" t="s">
        <v>20</v>
      </c>
      <c r="K2" s="9"/>
    </row>
    <row r="3" spans="2:11" ht="20.100000000000001" customHeight="1" x14ac:dyDescent="0.25">
      <c r="B3" s="4">
        <v>13</v>
      </c>
      <c r="C3" s="4" t="s">
        <v>6</v>
      </c>
      <c r="D3" s="4">
        <v>100</v>
      </c>
      <c r="E3" s="9">
        <v>39.479999999999997</v>
      </c>
      <c r="F3" s="9">
        <v>0</v>
      </c>
      <c r="G3" s="9">
        <v>39.479999999999997</v>
      </c>
      <c r="H3" s="6">
        <v>43449</v>
      </c>
      <c r="I3" s="4" t="str">
        <f>CONCATENATE(YEAR(TbProventos[[#This Row],[Data]]),"/",IF(MONTH(TbProventos[[#This Row],[Data]])&lt;10,"0",""),MONTH(TbProventos[[#This Row],[Data]]))</f>
        <v>2018/12</v>
      </c>
      <c r="J3" s="4" t="str">
        <f>VLOOKUP(TbProventos[[#This Row],[Ativo]],TbAtivos[],2,FALSE)</f>
        <v>EMPRESA</v>
      </c>
    </row>
    <row r="4" spans="2:11" ht="20.100000000000001" customHeight="1" x14ac:dyDescent="0.25">
      <c r="B4" s="4">
        <v>14</v>
      </c>
      <c r="C4" s="4" t="s">
        <v>8</v>
      </c>
      <c r="D4" s="4">
        <v>100</v>
      </c>
      <c r="E4" s="9">
        <v>63</v>
      </c>
      <c r="F4" s="9">
        <v>0</v>
      </c>
      <c r="G4" s="9">
        <v>63</v>
      </c>
      <c r="H4" s="6">
        <v>43451</v>
      </c>
      <c r="I4" s="4" t="str">
        <f>CONCATENATE(YEAR(TbProventos[[#This Row],[Data]]),"/",IF(MONTH(TbProventos[[#This Row],[Data]])&lt;10,"0",""),MONTH(TbProventos[[#This Row],[Data]]))</f>
        <v>2018/12</v>
      </c>
      <c r="J4" s="4" t="str">
        <f>VLOOKUP(TbProventos[[#This Row],[Ativo]],TbAtivos[],2,FALSE)</f>
        <v>FII</v>
      </c>
    </row>
    <row r="5" spans="2:11" ht="20.100000000000001" customHeight="1" x14ac:dyDescent="0.25">
      <c r="B5" s="4">
        <v>14</v>
      </c>
      <c r="C5" s="4" t="s">
        <v>10</v>
      </c>
      <c r="D5" s="4">
        <v>100</v>
      </c>
      <c r="E5" s="9">
        <v>81</v>
      </c>
      <c r="F5" s="9">
        <v>0</v>
      </c>
      <c r="G5" s="9">
        <v>81</v>
      </c>
      <c r="H5" s="6">
        <v>43451</v>
      </c>
      <c r="I5" s="4" t="str">
        <f>CONCATENATE(YEAR(TbProventos[[#This Row],[Data]]),"/",IF(MONTH(TbProventos[[#This Row],[Data]])&lt;10,"0",""),MONTH(TbProventos[[#This Row],[Data]]))</f>
        <v>2018/12</v>
      </c>
      <c r="J5" s="4" t="str">
        <f>VLOOKUP(TbProventos[[#This Row],[Ativo]],TbAtivos[],2,FALSE)</f>
        <v>FII</v>
      </c>
    </row>
    <row r="6" spans="2:11" ht="20.100000000000001" customHeight="1" x14ac:dyDescent="0.25">
      <c r="B6" s="4">
        <v>14</v>
      </c>
      <c r="C6" s="4" t="s">
        <v>11</v>
      </c>
      <c r="D6" s="4">
        <v>100</v>
      </c>
      <c r="E6" s="9">
        <v>38.89</v>
      </c>
      <c r="F6" s="9">
        <v>0</v>
      </c>
      <c r="G6" s="9">
        <v>38.89</v>
      </c>
      <c r="H6" s="6">
        <v>43451</v>
      </c>
      <c r="I6" s="4" t="str">
        <f>CONCATENATE(YEAR(TbProventos[[#This Row],[Data]]),"/",IF(MONTH(TbProventos[[#This Row],[Data]])&lt;10,"0",""),MONTH(TbProventos[[#This Row],[Data]]))</f>
        <v>2018/12</v>
      </c>
      <c r="J6" s="4" t="str">
        <f>VLOOKUP(TbProventos[[#This Row],[Ativo]],TbAtivos[],2,FALSE)</f>
        <v>FII</v>
      </c>
    </row>
    <row r="7" spans="2:11" ht="20.100000000000001" customHeight="1" x14ac:dyDescent="0.25">
      <c r="B7" s="4">
        <v>14</v>
      </c>
      <c r="C7" s="4" t="s">
        <v>12</v>
      </c>
      <c r="D7" s="4">
        <v>100</v>
      </c>
      <c r="E7" s="9">
        <v>34.770000000000003</v>
      </c>
      <c r="F7" s="9">
        <v>0</v>
      </c>
      <c r="G7" s="9">
        <v>34.770000000000003</v>
      </c>
      <c r="H7" s="6">
        <v>43451</v>
      </c>
      <c r="I7" s="4" t="str">
        <f>CONCATENATE(YEAR(TbProventos[[#This Row],[Data]]),"/",IF(MONTH(TbProventos[[#This Row],[Data]])&lt;10,"0",""),MONTH(TbProventos[[#This Row],[Data]]))</f>
        <v>2018/12</v>
      </c>
      <c r="J7" s="4" t="str">
        <f>VLOOKUP(TbProventos[[#This Row],[Ativo]],TbAtivos[],2,FALSE)</f>
        <v>FII</v>
      </c>
    </row>
    <row r="8" spans="2:11" ht="20.100000000000001" customHeight="1" x14ac:dyDescent="0.25">
      <c r="B8" s="4">
        <v>13</v>
      </c>
      <c r="C8" s="4" t="s">
        <v>7</v>
      </c>
      <c r="D8" s="4">
        <v>100</v>
      </c>
      <c r="E8" s="9">
        <v>67</v>
      </c>
      <c r="F8" s="9">
        <v>6</v>
      </c>
      <c r="G8" s="9">
        <v>61</v>
      </c>
      <c r="H8" s="6">
        <v>43480</v>
      </c>
      <c r="I8" s="4" t="str">
        <f>CONCATENATE(YEAR(TbProventos[[#This Row],[Data]]),"/",IF(MONTH(TbProventos[[#This Row],[Data]])&lt;10,"0",""),MONTH(TbProventos[[#This Row],[Data]]))</f>
        <v>2019/01</v>
      </c>
      <c r="J8" s="4" t="str">
        <f>VLOOKUP(TbProventos[[#This Row],[Ativo]],TbAtivos[],2,FALSE)</f>
        <v>EMPRESA</v>
      </c>
    </row>
    <row r="9" spans="2:11" ht="20.100000000000001" customHeight="1" x14ac:dyDescent="0.25">
      <c r="B9" s="4">
        <v>14</v>
      </c>
      <c r="C9" s="4" t="s">
        <v>8</v>
      </c>
      <c r="D9" s="4">
        <v>100</v>
      </c>
      <c r="E9" s="9">
        <v>75.709999999999994</v>
      </c>
      <c r="F9" s="9">
        <v>0</v>
      </c>
      <c r="G9" s="9">
        <v>75.709999999999994</v>
      </c>
      <c r="H9" s="6">
        <v>43482</v>
      </c>
      <c r="I9" s="4" t="str">
        <f>CONCATENATE(YEAR(TbProventos[[#This Row],[Data]]),"/",IF(MONTH(TbProventos[[#This Row],[Data]])&lt;10,"0",""),MONTH(TbProventos[[#This Row],[Data]]))</f>
        <v>2019/01</v>
      </c>
      <c r="J9" s="4" t="str">
        <f>VLOOKUP(TbProventos[[#This Row],[Ativo]],TbAtivos[],2,FALSE)</f>
        <v>FII</v>
      </c>
    </row>
    <row r="10" spans="2:11" ht="20.100000000000001" customHeight="1" x14ac:dyDescent="0.25">
      <c r="B10" s="4">
        <v>14</v>
      </c>
      <c r="C10" s="4" t="s">
        <v>10</v>
      </c>
      <c r="D10" s="4">
        <v>100</v>
      </c>
      <c r="E10" s="9">
        <v>39.36</v>
      </c>
      <c r="F10" s="9">
        <v>0</v>
      </c>
      <c r="G10" s="9">
        <v>39.36</v>
      </c>
      <c r="H10" s="6">
        <v>43482</v>
      </c>
      <c r="I10" s="4" t="str">
        <f>CONCATENATE(YEAR(TbProventos[[#This Row],[Data]]),"/",IF(MONTH(TbProventos[[#This Row],[Data]])&lt;10,"0",""),MONTH(TbProventos[[#This Row],[Data]]))</f>
        <v>2019/01</v>
      </c>
      <c r="J10" s="4" t="str">
        <f>VLOOKUP(TbProventos[[#This Row],[Ativo]],TbAtivos[],2,FALSE)</f>
        <v>FII</v>
      </c>
    </row>
    <row r="11" spans="2:11" ht="20.100000000000001" customHeight="1" x14ac:dyDescent="0.25">
      <c r="B11" s="4">
        <v>14</v>
      </c>
      <c r="C11" s="4" t="s">
        <v>11</v>
      </c>
      <c r="D11" s="4">
        <v>100</v>
      </c>
      <c r="E11" s="9">
        <v>51.8</v>
      </c>
      <c r="F11" s="9">
        <v>0</v>
      </c>
      <c r="G11" s="9">
        <v>51.8</v>
      </c>
      <c r="H11" s="6">
        <v>43482</v>
      </c>
      <c r="I11" s="4" t="str">
        <f>CONCATENATE(YEAR(TbProventos[[#This Row],[Data]]),"/",IF(MONTH(TbProventos[[#This Row],[Data]])&lt;10,"0",""),MONTH(TbProventos[[#This Row],[Data]]))</f>
        <v>2019/01</v>
      </c>
      <c r="J11" s="4" t="str">
        <f>VLOOKUP(TbProventos[[#This Row],[Ativo]],TbAtivos[],2,FALSE)</f>
        <v>FII</v>
      </c>
    </row>
    <row r="12" spans="2:11" ht="20.100000000000001" customHeight="1" x14ac:dyDescent="0.25">
      <c r="B12" s="4">
        <v>14</v>
      </c>
      <c r="C12" s="4" t="s">
        <v>12</v>
      </c>
      <c r="D12" s="4">
        <v>100</v>
      </c>
      <c r="E12" s="9">
        <v>61.75</v>
      </c>
      <c r="F12" s="9">
        <v>0</v>
      </c>
      <c r="G12" s="9">
        <v>61.75</v>
      </c>
      <c r="H12" s="6">
        <v>43482</v>
      </c>
      <c r="I12" s="4" t="str">
        <f>CONCATENATE(YEAR(TbProventos[[#This Row],[Data]]),"/",IF(MONTH(TbProventos[[#This Row],[Data]])&lt;10,"0",""),MONTH(TbProventos[[#This Row],[Data]]))</f>
        <v>2019/01</v>
      </c>
      <c r="J12" s="4" t="str">
        <f>VLOOKUP(TbProventos[[#This Row],[Ativo]],TbAtivos[],2,FALSE)</f>
        <v>FII</v>
      </c>
    </row>
    <row r="13" spans="2:11" ht="20.100000000000001" customHeight="1" x14ac:dyDescent="0.25">
      <c r="B13" s="4">
        <v>13</v>
      </c>
      <c r="C13" s="4" t="s">
        <v>6</v>
      </c>
      <c r="D13" s="4">
        <v>100</v>
      </c>
      <c r="E13" s="9">
        <v>65.430000000000007</v>
      </c>
      <c r="F13" s="9">
        <v>0</v>
      </c>
      <c r="G13" s="9">
        <v>65.430000000000007</v>
      </c>
      <c r="H13" s="6">
        <v>43511</v>
      </c>
      <c r="I13" s="4" t="str">
        <f>CONCATENATE(YEAR(TbProventos[[#This Row],[Data]]),"/",IF(MONTH(TbProventos[[#This Row],[Data]])&lt;10,"0",""),MONTH(TbProventos[[#This Row],[Data]]))</f>
        <v>2019/02</v>
      </c>
      <c r="J13" s="4" t="str">
        <f>VLOOKUP(TbProventos[[#This Row],[Ativo]],TbAtivos[],2,FALSE)</f>
        <v>EMPRESA</v>
      </c>
    </row>
    <row r="14" spans="2:11" ht="20.100000000000001" customHeight="1" x14ac:dyDescent="0.25">
      <c r="B14" s="4">
        <v>50</v>
      </c>
      <c r="C14" s="4" t="s">
        <v>8</v>
      </c>
      <c r="D14" s="4">
        <v>100</v>
      </c>
      <c r="E14" s="9">
        <v>0</v>
      </c>
      <c r="F14" s="9">
        <v>0</v>
      </c>
      <c r="G14" s="9">
        <v>0</v>
      </c>
      <c r="H14" s="6">
        <v>43511</v>
      </c>
      <c r="I14" s="4" t="str">
        <f>CONCATENATE(YEAR(TbProventos[[#This Row],[Data]]),"/",IF(MONTH(TbProventos[[#This Row],[Data]])&lt;10,"0",""),MONTH(TbProventos[[#This Row],[Data]]))</f>
        <v>2019/02</v>
      </c>
      <c r="J14" s="4" t="str">
        <f>VLOOKUP(TbProventos[[#This Row],[Ativo]],TbAtivos[],2,FALSE)</f>
        <v>FII</v>
      </c>
    </row>
    <row r="15" spans="2:11" ht="20.100000000000001" customHeight="1" x14ac:dyDescent="0.25">
      <c r="B15" s="4">
        <v>14</v>
      </c>
      <c r="C15" s="4" t="s">
        <v>8</v>
      </c>
      <c r="D15" s="4">
        <v>100</v>
      </c>
      <c r="E15" s="9">
        <v>61</v>
      </c>
      <c r="F15" s="9">
        <v>0</v>
      </c>
      <c r="G15" s="9">
        <v>61</v>
      </c>
      <c r="H15" s="6">
        <v>43513</v>
      </c>
      <c r="I15" s="4" t="str">
        <f>CONCATENATE(YEAR(TbProventos[[#This Row],[Data]]),"/",IF(MONTH(TbProventos[[#This Row],[Data]])&lt;10,"0",""),MONTH(TbProventos[[#This Row],[Data]]))</f>
        <v>2019/02</v>
      </c>
      <c r="J15" s="4" t="str">
        <f>VLOOKUP(TbProventos[[#This Row],[Ativo]],TbAtivos[],2,FALSE)</f>
        <v>FII</v>
      </c>
    </row>
    <row r="16" spans="2:11" ht="20.100000000000001" customHeight="1" x14ac:dyDescent="0.25">
      <c r="B16" s="4">
        <v>14</v>
      </c>
      <c r="C16" s="4" t="s">
        <v>10</v>
      </c>
      <c r="D16" s="4">
        <v>100</v>
      </c>
      <c r="E16" s="9">
        <v>99</v>
      </c>
      <c r="F16" s="9">
        <v>0</v>
      </c>
      <c r="G16" s="9">
        <v>99</v>
      </c>
      <c r="H16" s="6">
        <v>43513</v>
      </c>
      <c r="I16" s="4" t="str">
        <f>CONCATENATE(YEAR(TbProventos[[#This Row],[Data]]),"/",IF(MONTH(TbProventos[[#This Row],[Data]])&lt;10,"0",""),MONTH(TbProventos[[#This Row],[Data]]))</f>
        <v>2019/02</v>
      </c>
      <c r="J16" s="4" t="str">
        <f>VLOOKUP(TbProventos[[#This Row],[Ativo]],TbAtivos[],2,FALSE)</f>
        <v>FII</v>
      </c>
    </row>
    <row r="17" spans="2:10" ht="20.100000000000001" customHeight="1" x14ac:dyDescent="0.25">
      <c r="B17" s="4">
        <v>14</v>
      </c>
      <c r="C17" s="4" t="s">
        <v>11</v>
      </c>
      <c r="D17" s="4">
        <v>100</v>
      </c>
      <c r="E17" s="9">
        <v>99.9</v>
      </c>
      <c r="F17" s="9">
        <v>0</v>
      </c>
      <c r="G17" s="9">
        <v>99.9</v>
      </c>
      <c r="H17" s="6">
        <v>43513</v>
      </c>
      <c r="I17" s="4" t="str">
        <f>CONCATENATE(YEAR(TbProventos[[#This Row],[Data]]),"/",IF(MONTH(TbProventos[[#This Row],[Data]])&lt;10,"0",""),MONTH(TbProventos[[#This Row],[Data]]))</f>
        <v>2019/02</v>
      </c>
      <c r="J17" s="4" t="str">
        <f>VLOOKUP(TbProventos[[#This Row],[Ativo]],TbAtivos[],2,FALSE)</f>
        <v>FII</v>
      </c>
    </row>
    <row r="18" spans="2:10" ht="20.100000000000001" customHeight="1" x14ac:dyDescent="0.25">
      <c r="B18" s="4">
        <v>14</v>
      </c>
      <c r="C18" s="4" t="s">
        <v>12</v>
      </c>
      <c r="D18" s="4">
        <v>100</v>
      </c>
      <c r="E18" s="9">
        <v>98.42</v>
      </c>
      <c r="F18" s="9">
        <v>0</v>
      </c>
      <c r="G18" s="9">
        <v>98.42</v>
      </c>
      <c r="H18" s="6">
        <v>43513</v>
      </c>
      <c r="I18" s="4" t="str">
        <f>CONCATENATE(YEAR(TbProventos[[#This Row],[Data]]),"/",IF(MONTH(TbProventos[[#This Row],[Data]])&lt;10,"0",""),MONTH(TbProventos[[#This Row],[Data]]))</f>
        <v>2019/02</v>
      </c>
      <c r="J18" s="4" t="str">
        <f>VLOOKUP(TbProventos[[#This Row],[Ativo]],TbAtivos[],2,FALSE)</f>
        <v>FII</v>
      </c>
    </row>
    <row r="19" spans="2:10" ht="20.100000000000001" customHeight="1" x14ac:dyDescent="0.25">
      <c r="B19" s="4">
        <v>13</v>
      </c>
      <c r="C19" s="4" t="s">
        <v>5</v>
      </c>
      <c r="D19" s="4">
        <v>100</v>
      </c>
      <c r="E19" s="9">
        <v>166</v>
      </c>
      <c r="F19" s="9">
        <v>2.34</v>
      </c>
      <c r="G19" s="9">
        <v>163.66</v>
      </c>
      <c r="H19" s="6">
        <v>43539</v>
      </c>
      <c r="I19" s="4" t="str">
        <f>CONCATENATE(YEAR(TbProventos[[#This Row],[Data]]),"/",IF(MONTH(TbProventos[[#This Row],[Data]])&lt;10,"0",""),MONTH(TbProventos[[#This Row],[Data]]))</f>
        <v>2019/03</v>
      </c>
      <c r="J19" s="4" t="str">
        <f>VLOOKUP(TbProventos[[#This Row],[Ativo]],TbAtivos[],2,FALSE)</f>
        <v>EMPRESA</v>
      </c>
    </row>
    <row r="20" spans="2:10" ht="20.100000000000001" customHeight="1" x14ac:dyDescent="0.25">
      <c r="B20" s="4">
        <v>14</v>
      </c>
      <c r="C20" s="4" t="s">
        <v>30</v>
      </c>
      <c r="D20" s="4">
        <v>100</v>
      </c>
      <c r="E20" s="9">
        <v>37.44</v>
      </c>
      <c r="F20" s="9">
        <v>0</v>
      </c>
      <c r="G20" s="9">
        <v>37.44</v>
      </c>
      <c r="H20" s="6">
        <v>43541</v>
      </c>
      <c r="I20" s="4" t="str">
        <f>CONCATENATE(YEAR(TbProventos[[#This Row],[Data]]),"/",IF(MONTH(TbProventos[[#This Row],[Data]])&lt;10,"0",""),MONTH(TbProventos[[#This Row],[Data]]))</f>
        <v>2019/03</v>
      </c>
      <c r="J20" s="4" t="e">
        <f>VLOOKUP(TbProventos[[#This Row],[Ativo]],TbAtivos[],2,FALSE)</f>
        <v>#N/A</v>
      </c>
    </row>
    <row r="21" spans="2:10" ht="20.100000000000001" customHeight="1" x14ac:dyDescent="0.25">
      <c r="B21" s="4">
        <v>14</v>
      </c>
      <c r="C21" s="4" t="s">
        <v>10</v>
      </c>
      <c r="D21" s="4">
        <v>100</v>
      </c>
      <c r="E21" s="9">
        <v>52.02</v>
      </c>
      <c r="F21" s="9">
        <v>0</v>
      </c>
      <c r="G21" s="9">
        <v>52.02</v>
      </c>
      <c r="H21" s="6">
        <v>43541</v>
      </c>
      <c r="I21" s="4" t="str">
        <f>CONCATENATE(YEAR(TbProventos[[#This Row],[Data]]),"/",IF(MONTH(TbProventos[[#This Row],[Data]])&lt;10,"0",""),MONTH(TbProventos[[#This Row],[Data]]))</f>
        <v>2019/03</v>
      </c>
      <c r="J21" s="4" t="str">
        <f>VLOOKUP(TbProventos[[#This Row],[Ativo]],TbAtivos[],2,FALSE)</f>
        <v>FII</v>
      </c>
    </row>
    <row r="22" spans="2:10" ht="20.100000000000001" customHeight="1" x14ac:dyDescent="0.25">
      <c r="B22" s="4">
        <v>14</v>
      </c>
      <c r="C22" s="4" t="s">
        <v>11</v>
      </c>
      <c r="D22" s="4">
        <v>100</v>
      </c>
      <c r="E22" s="9">
        <v>42.14</v>
      </c>
      <c r="F22" s="9">
        <v>0</v>
      </c>
      <c r="G22" s="9">
        <v>42.14</v>
      </c>
      <c r="H22" s="6">
        <v>43541</v>
      </c>
      <c r="I22" s="4" t="str">
        <f>CONCATENATE(YEAR(TbProventos[[#This Row],[Data]]),"/",IF(MONTH(TbProventos[[#This Row],[Data]])&lt;10,"0",""),MONTH(TbProventos[[#This Row],[Data]]))</f>
        <v>2019/03</v>
      </c>
      <c r="J22" s="4" t="str">
        <f>VLOOKUP(TbProventos[[#This Row],[Ativo]],TbAtivos[],2,FALSE)</f>
        <v>FII</v>
      </c>
    </row>
    <row r="23" spans="2:10" ht="20.100000000000001" customHeight="1" x14ac:dyDescent="0.25">
      <c r="B23" s="4">
        <v>14</v>
      </c>
      <c r="C23" s="4" t="s">
        <v>12</v>
      </c>
      <c r="D23" s="4">
        <v>100</v>
      </c>
      <c r="E23" s="9">
        <v>177.12</v>
      </c>
      <c r="F23" s="9">
        <v>0</v>
      </c>
      <c r="G23" s="9">
        <v>177.12</v>
      </c>
      <c r="H23" s="6">
        <v>43541</v>
      </c>
      <c r="I23" s="4" t="str">
        <f>CONCATENATE(YEAR(TbProventos[[#This Row],[Data]]),"/",IF(MONTH(TbProventos[[#This Row],[Data]])&lt;10,"0",""),MONTH(TbProventos[[#This Row],[Data]]))</f>
        <v>2019/03</v>
      </c>
      <c r="J23" s="4" t="str">
        <f>VLOOKUP(TbProventos[[#This Row],[Ativo]],TbAtivos[],2,FALSE)</f>
        <v>FII</v>
      </c>
    </row>
    <row r="24" spans="2:10" ht="20.100000000000001" customHeight="1" x14ac:dyDescent="0.25">
      <c r="B24" s="4">
        <v>13</v>
      </c>
      <c r="C24" s="4" t="s">
        <v>6</v>
      </c>
      <c r="D24" s="4">
        <v>100</v>
      </c>
      <c r="E24" s="9">
        <v>162.75</v>
      </c>
      <c r="F24" s="9">
        <v>0</v>
      </c>
      <c r="G24" s="9">
        <v>162.75</v>
      </c>
      <c r="H24" s="6">
        <v>43570</v>
      </c>
      <c r="I24" s="4" t="str">
        <f>CONCATENATE(YEAR(TbProventos[[#This Row],[Data]]),"/",IF(MONTH(TbProventos[[#This Row],[Data]])&lt;10,"0",""),MONTH(TbProventos[[#This Row],[Data]]))</f>
        <v>2019/04</v>
      </c>
      <c r="J24" s="4" t="str">
        <f>VLOOKUP(TbProventos[[#This Row],[Ativo]],TbAtivos[],2,FALSE)</f>
        <v>EMPRESA</v>
      </c>
    </row>
    <row r="25" spans="2:10" ht="20.100000000000001" customHeight="1" x14ac:dyDescent="0.25">
      <c r="B25" s="4">
        <v>14</v>
      </c>
      <c r="C25" s="4" t="s">
        <v>8</v>
      </c>
      <c r="D25" s="4">
        <v>100</v>
      </c>
      <c r="E25" s="9">
        <v>61</v>
      </c>
      <c r="F25" s="9">
        <v>0</v>
      </c>
      <c r="G25" s="9">
        <v>61</v>
      </c>
      <c r="H25" s="6">
        <v>43572</v>
      </c>
      <c r="I25" s="4" t="str">
        <f>CONCATENATE(YEAR(TbProventos[[#This Row],[Data]]),"/",IF(MONTH(TbProventos[[#This Row],[Data]])&lt;10,"0",""),MONTH(TbProventos[[#This Row],[Data]]))</f>
        <v>2019/04</v>
      </c>
      <c r="J25" s="4" t="str">
        <f>VLOOKUP(TbProventos[[#This Row],[Ativo]],TbAtivos[],2,FALSE)</f>
        <v>FII</v>
      </c>
    </row>
    <row r="26" spans="2:10" ht="20.100000000000001" customHeight="1" x14ac:dyDescent="0.25">
      <c r="B26" s="4">
        <v>14</v>
      </c>
      <c r="C26" s="4" t="s">
        <v>10</v>
      </c>
      <c r="D26" s="4">
        <v>100</v>
      </c>
      <c r="E26" s="9">
        <v>180.6</v>
      </c>
      <c r="F26" s="9">
        <v>0</v>
      </c>
      <c r="G26" s="9">
        <v>180.6</v>
      </c>
      <c r="H26" s="6">
        <v>43572</v>
      </c>
      <c r="I26" s="4" t="str">
        <f>CONCATENATE(YEAR(TbProventos[[#This Row],[Data]]),"/",IF(MONTH(TbProventos[[#This Row],[Data]])&lt;10,"0",""),MONTH(TbProventos[[#This Row],[Data]]))</f>
        <v>2019/04</v>
      </c>
      <c r="J26" s="4" t="str">
        <f>VLOOKUP(TbProventos[[#This Row],[Ativo]],TbAtivos[],2,FALSE)</f>
        <v>FII</v>
      </c>
    </row>
    <row r="27" spans="2:10" ht="20.100000000000001" customHeight="1" x14ac:dyDescent="0.25">
      <c r="B27" s="4">
        <v>14</v>
      </c>
      <c r="C27" s="4" t="s">
        <v>11</v>
      </c>
      <c r="D27" s="4">
        <v>100</v>
      </c>
      <c r="E27" s="9">
        <v>38.4</v>
      </c>
      <c r="F27" s="9">
        <v>0</v>
      </c>
      <c r="G27" s="9">
        <v>38.4</v>
      </c>
      <c r="H27" s="6">
        <v>43572</v>
      </c>
      <c r="I27" s="4" t="str">
        <f>CONCATENATE(YEAR(TbProventos[[#This Row],[Data]]),"/",IF(MONTH(TbProventos[[#This Row],[Data]])&lt;10,"0",""),MONTH(TbProventos[[#This Row],[Data]]))</f>
        <v>2019/04</v>
      </c>
      <c r="J27" s="4" t="str">
        <f>VLOOKUP(TbProventos[[#This Row],[Ativo]],TbAtivos[],2,FALSE)</f>
        <v>FII</v>
      </c>
    </row>
    <row r="28" spans="2:10" ht="20.100000000000001" customHeight="1" x14ac:dyDescent="0.25">
      <c r="B28" s="4">
        <v>14</v>
      </c>
      <c r="C28" s="4" t="s">
        <v>12</v>
      </c>
      <c r="D28" s="4">
        <v>100</v>
      </c>
      <c r="E28" s="9">
        <v>153.18</v>
      </c>
      <c r="F28" s="9">
        <v>0</v>
      </c>
      <c r="G28" s="9">
        <v>153.18</v>
      </c>
      <c r="H28" s="6">
        <v>43572</v>
      </c>
      <c r="I28" s="4" t="str">
        <f>CONCATENATE(YEAR(TbProventos[[#This Row],[Data]]),"/",IF(MONTH(TbProventos[[#This Row],[Data]])&lt;10,"0",""),MONTH(TbProventos[[#This Row],[Data]]))</f>
        <v>2019/04</v>
      </c>
      <c r="J28" s="4" t="str">
        <f>VLOOKUP(TbProventos[[#This Row],[Ativo]],TbAtivos[],2,FALSE)</f>
        <v>FII</v>
      </c>
    </row>
    <row r="29" spans="2:10" ht="20.100000000000001" customHeight="1" x14ac:dyDescent="0.25">
      <c r="B29" s="4">
        <v>13</v>
      </c>
      <c r="C29" s="4" t="s">
        <v>13</v>
      </c>
      <c r="D29" s="4">
        <v>100</v>
      </c>
      <c r="E29" s="9">
        <v>156.13999999999999</v>
      </c>
      <c r="F29" s="9">
        <v>0</v>
      </c>
      <c r="G29" s="9">
        <v>156.13999999999999</v>
      </c>
      <c r="H29" s="6">
        <v>43600</v>
      </c>
      <c r="I29" s="4" t="str">
        <f>CONCATENATE(YEAR(TbProventos[[#This Row],[Data]]),"/",IF(MONTH(TbProventos[[#This Row],[Data]])&lt;10,"0",""),MONTH(TbProventos[[#This Row],[Data]]))</f>
        <v>2019/05</v>
      </c>
      <c r="J29" s="4" t="str">
        <f>VLOOKUP(TbProventos[[#This Row],[Ativo]],TbAtivos[],2,FALSE)</f>
        <v>EMPRESA</v>
      </c>
    </row>
    <row r="30" spans="2:10" ht="20.100000000000001" customHeight="1" x14ac:dyDescent="0.25">
      <c r="B30" s="4">
        <v>14</v>
      </c>
      <c r="C30" s="4" t="s">
        <v>8</v>
      </c>
      <c r="D30" s="4">
        <v>100</v>
      </c>
      <c r="E30" s="9">
        <v>61</v>
      </c>
      <c r="F30" s="9">
        <v>0</v>
      </c>
      <c r="G30" s="9">
        <v>61</v>
      </c>
      <c r="H30" s="6">
        <v>43602</v>
      </c>
      <c r="I30" s="4" t="str">
        <f>CONCATENATE(YEAR(TbProventos[[#This Row],[Data]]),"/",IF(MONTH(TbProventos[[#This Row],[Data]])&lt;10,"0",""),MONTH(TbProventos[[#This Row],[Data]]))</f>
        <v>2019/05</v>
      </c>
      <c r="J30" s="4" t="str">
        <f>VLOOKUP(TbProventos[[#This Row],[Ativo]],TbAtivos[],2,FALSE)</f>
        <v>FII</v>
      </c>
    </row>
    <row r="31" spans="2:10" ht="20.100000000000001" customHeight="1" x14ac:dyDescent="0.25">
      <c r="B31" s="4">
        <v>14</v>
      </c>
      <c r="C31" s="4" t="s">
        <v>10</v>
      </c>
      <c r="D31" s="4">
        <v>100</v>
      </c>
      <c r="E31" s="9">
        <v>99</v>
      </c>
      <c r="F31" s="9">
        <v>0</v>
      </c>
      <c r="G31" s="9">
        <v>99</v>
      </c>
      <c r="H31" s="6">
        <v>43602</v>
      </c>
      <c r="I31" s="4" t="str">
        <f>CONCATENATE(YEAR(TbProventos[[#This Row],[Data]]),"/",IF(MONTH(TbProventos[[#This Row],[Data]])&lt;10,"0",""),MONTH(TbProventos[[#This Row],[Data]]))</f>
        <v>2019/05</v>
      </c>
      <c r="J31" s="4" t="str">
        <f>VLOOKUP(TbProventos[[#This Row],[Ativo]],TbAtivos[],2,FALSE)</f>
        <v>FII</v>
      </c>
    </row>
    <row r="32" spans="2:10" ht="20.100000000000001" customHeight="1" x14ac:dyDescent="0.25">
      <c r="B32" s="4">
        <v>14</v>
      </c>
      <c r="C32" s="4" t="s">
        <v>11</v>
      </c>
      <c r="D32" s="4">
        <v>100</v>
      </c>
      <c r="E32" s="9">
        <v>99.9</v>
      </c>
      <c r="F32" s="9">
        <v>0</v>
      </c>
      <c r="G32" s="9">
        <v>99.9</v>
      </c>
      <c r="H32" s="6">
        <v>43602</v>
      </c>
      <c r="I32" s="4" t="str">
        <f>CONCATENATE(YEAR(TbProventos[[#This Row],[Data]]),"/",IF(MONTH(TbProventos[[#This Row],[Data]])&lt;10,"0",""),MONTH(TbProventos[[#This Row],[Data]]))</f>
        <v>2019/05</v>
      </c>
      <c r="J32" s="4" t="str">
        <f>VLOOKUP(TbProventos[[#This Row],[Ativo]],TbAtivos[],2,FALSE)</f>
        <v>FII</v>
      </c>
    </row>
    <row r="33" spans="2:10" ht="20.100000000000001" customHeight="1" x14ac:dyDescent="0.25">
      <c r="B33" s="4">
        <v>14</v>
      </c>
      <c r="C33" s="4" t="s">
        <v>12</v>
      </c>
      <c r="D33" s="4">
        <v>100</v>
      </c>
      <c r="E33" s="9">
        <v>98.42</v>
      </c>
      <c r="F33" s="9">
        <v>0</v>
      </c>
      <c r="G33" s="9">
        <v>98.42</v>
      </c>
      <c r="H33" s="6">
        <v>43602</v>
      </c>
      <c r="I33" s="4" t="str">
        <f>CONCATENATE(YEAR(TbProventos[[#This Row],[Data]]),"/",IF(MONTH(TbProventos[[#This Row],[Data]])&lt;10,"0",""),MONTH(TbProventos[[#This Row],[Data]]))</f>
        <v>2019/05</v>
      </c>
      <c r="J33" s="4" t="str">
        <f>VLOOKUP(TbProventos[[#This Row],[Ativo]],TbAtivos[],2,FALSE)</f>
        <v>FII</v>
      </c>
    </row>
    <row r="34" spans="2:10" ht="20.100000000000001" customHeight="1" x14ac:dyDescent="0.25">
      <c r="B34" s="4">
        <v>13</v>
      </c>
      <c r="C34" s="4" t="s">
        <v>6</v>
      </c>
      <c r="D34" s="4">
        <v>100</v>
      </c>
      <c r="E34" s="9">
        <v>166</v>
      </c>
      <c r="F34" s="9">
        <v>0</v>
      </c>
      <c r="G34" s="9">
        <v>166</v>
      </c>
      <c r="H34" s="6">
        <v>43631</v>
      </c>
      <c r="I34" s="4" t="str">
        <f>CONCATENATE(YEAR(TbProventos[[#This Row],[Data]]),"/",IF(MONTH(TbProventos[[#This Row],[Data]])&lt;10,"0",""),MONTH(TbProventos[[#This Row],[Data]]))</f>
        <v>2019/06</v>
      </c>
      <c r="J34" s="4" t="str">
        <f>VLOOKUP(TbProventos[[#This Row],[Ativo]],TbAtivos[],2,FALSE)</f>
        <v>EMPRESA</v>
      </c>
    </row>
    <row r="35" spans="2:10" ht="20.100000000000001" customHeight="1" x14ac:dyDescent="0.25">
      <c r="B35" s="4">
        <v>14</v>
      </c>
      <c r="C35" s="4" t="s">
        <v>8</v>
      </c>
      <c r="D35" s="4">
        <v>100</v>
      </c>
      <c r="E35" s="9">
        <v>37.44</v>
      </c>
      <c r="F35" s="9">
        <v>0</v>
      </c>
      <c r="G35" s="9">
        <v>37.44</v>
      </c>
      <c r="H35" s="6">
        <v>43633</v>
      </c>
      <c r="I35" s="4" t="str">
        <f>CONCATENATE(YEAR(TbProventos[[#This Row],[Data]]),"/",IF(MONTH(TbProventos[[#This Row],[Data]])&lt;10,"0",""),MONTH(TbProventos[[#This Row],[Data]]))</f>
        <v>2019/06</v>
      </c>
      <c r="J35" s="4" t="str">
        <f>VLOOKUP(TbProventos[[#This Row],[Ativo]],TbAtivos[],2,FALSE)</f>
        <v>FII</v>
      </c>
    </row>
    <row r="36" spans="2:10" ht="20.100000000000001" customHeight="1" x14ac:dyDescent="0.25">
      <c r="B36" s="4">
        <v>14</v>
      </c>
      <c r="C36" s="4" t="s">
        <v>10</v>
      </c>
      <c r="D36" s="4">
        <v>100</v>
      </c>
      <c r="E36" s="9">
        <v>52.02</v>
      </c>
      <c r="F36" s="9">
        <v>0</v>
      </c>
      <c r="G36" s="9">
        <v>52.02</v>
      </c>
      <c r="H36" s="6">
        <v>43633</v>
      </c>
      <c r="I36" s="4" t="str">
        <f>CONCATENATE(YEAR(TbProventos[[#This Row],[Data]]),"/",IF(MONTH(TbProventos[[#This Row],[Data]])&lt;10,"0",""),MONTH(TbProventos[[#This Row],[Data]]))</f>
        <v>2019/06</v>
      </c>
      <c r="J36" s="4" t="str">
        <f>VLOOKUP(TbProventos[[#This Row],[Ativo]],TbAtivos[],2,FALSE)</f>
        <v>FII</v>
      </c>
    </row>
    <row r="37" spans="2:10" ht="20.100000000000001" customHeight="1" x14ac:dyDescent="0.25">
      <c r="B37" s="4">
        <v>14</v>
      </c>
      <c r="C37" s="4" t="s">
        <v>11</v>
      </c>
      <c r="D37" s="4">
        <v>100</v>
      </c>
      <c r="E37" s="9">
        <v>42.14</v>
      </c>
      <c r="F37" s="9">
        <v>0</v>
      </c>
      <c r="G37" s="9">
        <v>42.14</v>
      </c>
      <c r="H37" s="6">
        <v>43633</v>
      </c>
      <c r="I37" s="4" t="str">
        <f>CONCATENATE(YEAR(TbProventos[[#This Row],[Data]]),"/",IF(MONTH(TbProventos[[#This Row],[Data]])&lt;10,"0",""),MONTH(TbProventos[[#This Row],[Data]]))</f>
        <v>2019/06</v>
      </c>
      <c r="J37" s="4" t="str">
        <f>VLOOKUP(TbProventos[[#This Row],[Ativo]],TbAtivos[],2,FALSE)</f>
        <v>FII</v>
      </c>
    </row>
    <row r="38" spans="2:10" ht="20.100000000000001" customHeight="1" x14ac:dyDescent="0.25">
      <c r="B38" s="4">
        <v>14</v>
      </c>
      <c r="C38" s="4" t="s">
        <v>12</v>
      </c>
      <c r="D38" s="4">
        <v>100</v>
      </c>
      <c r="E38" s="9">
        <v>177.12</v>
      </c>
      <c r="F38" s="9">
        <v>0</v>
      </c>
      <c r="G38" s="9">
        <v>177.12</v>
      </c>
      <c r="H38" s="6">
        <v>43633</v>
      </c>
      <c r="I38" s="4" t="str">
        <f>CONCATENATE(YEAR(TbProventos[[#This Row],[Data]]),"/",IF(MONTH(TbProventos[[#This Row],[Data]])&lt;10,"0",""),MONTH(TbProventos[[#This Row],[Data]]))</f>
        <v>2019/06</v>
      </c>
      <c r="J38" s="4" t="str">
        <f>VLOOKUP(TbProventos[[#This Row],[Ativo]],TbAtivos[],2,FALSE)</f>
        <v>FII</v>
      </c>
    </row>
    <row r="39" spans="2:10" ht="20.100000000000001" customHeight="1" x14ac:dyDescent="0.25">
      <c r="B39" s="4">
        <v>13</v>
      </c>
      <c r="C39" s="4" t="s">
        <v>7</v>
      </c>
      <c r="D39" s="4">
        <v>100</v>
      </c>
      <c r="E39" s="9">
        <v>162.75</v>
      </c>
      <c r="F39" s="9">
        <v>0</v>
      </c>
      <c r="G39" s="9">
        <v>162.75</v>
      </c>
      <c r="H39" s="6">
        <v>43661</v>
      </c>
      <c r="I39" s="4" t="str">
        <f>CONCATENATE(YEAR(TbProventos[[#This Row],[Data]]),"/",IF(MONTH(TbProventos[[#This Row],[Data]])&lt;10,"0",""),MONTH(TbProventos[[#This Row],[Data]]))</f>
        <v>2019/07</v>
      </c>
      <c r="J39" s="4" t="str">
        <f>VLOOKUP(TbProventos[[#This Row],[Ativo]],TbAtivos[],2,FALSE)</f>
        <v>EMPRESA</v>
      </c>
    </row>
    <row r="40" spans="2:10" ht="20.100000000000001" customHeight="1" x14ac:dyDescent="0.25">
      <c r="B40" s="4">
        <v>14</v>
      </c>
      <c r="C40" s="4" t="s">
        <v>8</v>
      </c>
      <c r="D40" s="4">
        <v>100</v>
      </c>
      <c r="E40" s="9">
        <v>61</v>
      </c>
      <c r="F40" s="9">
        <v>0</v>
      </c>
      <c r="G40" s="9">
        <v>61</v>
      </c>
      <c r="H40" s="6">
        <v>43663</v>
      </c>
      <c r="I40" s="4" t="str">
        <f>CONCATENATE(YEAR(TbProventos[[#This Row],[Data]]),"/",IF(MONTH(TbProventos[[#This Row],[Data]])&lt;10,"0",""),MONTH(TbProventos[[#This Row],[Data]]))</f>
        <v>2019/07</v>
      </c>
      <c r="J40" s="4" t="str">
        <f>VLOOKUP(TbProventos[[#This Row],[Ativo]],TbAtivos[],2,FALSE)</f>
        <v>FII</v>
      </c>
    </row>
    <row r="41" spans="2:10" ht="20.100000000000001" customHeight="1" x14ac:dyDescent="0.25">
      <c r="B41" s="4">
        <v>14</v>
      </c>
      <c r="C41" s="4" t="s">
        <v>10</v>
      </c>
      <c r="D41" s="4">
        <v>100</v>
      </c>
      <c r="E41" s="9">
        <v>180.6</v>
      </c>
      <c r="F41" s="9">
        <v>0</v>
      </c>
      <c r="G41" s="9">
        <v>180.6</v>
      </c>
      <c r="H41" s="6">
        <v>43663</v>
      </c>
      <c r="I41" s="4" t="str">
        <f>CONCATENATE(YEAR(TbProventos[[#This Row],[Data]]),"/",IF(MONTH(TbProventos[[#This Row],[Data]])&lt;10,"0",""),MONTH(TbProventos[[#This Row],[Data]]))</f>
        <v>2019/07</v>
      </c>
      <c r="J41" s="4" t="str">
        <f>VLOOKUP(TbProventos[[#This Row],[Ativo]],TbAtivos[],2,FALSE)</f>
        <v>FII</v>
      </c>
    </row>
    <row r="42" spans="2:10" ht="20.100000000000001" customHeight="1" x14ac:dyDescent="0.25">
      <c r="B42" s="4">
        <v>14</v>
      </c>
      <c r="C42" s="4" t="s">
        <v>11</v>
      </c>
      <c r="D42" s="4">
        <v>100</v>
      </c>
      <c r="E42" s="9">
        <v>38.4</v>
      </c>
      <c r="F42" s="9">
        <v>0</v>
      </c>
      <c r="G42" s="9">
        <v>38.4</v>
      </c>
      <c r="H42" s="6">
        <v>43663</v>
      </c>
      <c r="I42" s="4" t="str">
        <f>CONCATENATE(YEAR(TbProventos[[#This Row],[Data]]),"/",IF(MONTH(TbProventos[[#This Row],[Data]])&lt;10,"0",""),MONTH(TbProventos[[#This Row],[Data]]))</f>
        <v>2019/07</v>
      </c>
      <c r="J42" s="4" t="str">
        <f>VLOOKUP(TbProventos[[#This Row],[Ativo]],TbAtivos[],2,FALSE)</f>
        <v>FII</v>
      </c>
    </row>
    <row r="43" spans="2:10" ht="20.100000000000001" customHeight="1" x14ac:dyDescent="0.25">
      <c r="B43" s="4">
        <v>14</v>
      </c>
      <c r="C43" s="4" t="s">
        <v>12</v>
      </c>
      <c r="D43" s="4">
        <v>100</v>
      </c>
      <c r="E43" s="9">
        <v>153.18</v>
      </c>
      <c r="F43" s="9">
        <v>0</v>
      </c>
      <c r="G43" s="9">
        <v>153.18</v>
      </c>
      <c r="H43" s="6">
        <v>43663</v>
      </c>
      <c r="I43" s="4" t="str">
        <f>CONCATENATE(YEAR(TbProventos[[#This Row],[Data]]),"/",IF(MONTH(TbProventos[[#This Row],[Data]])&lt;10,"0",""),MONTH(TbProventos[[#This Row],[Data]]))</f>
        <v>2019/07</v>
      </c>
      <c r="J43" s="4" t="str">
        <f>VLOOKUP(TbProventos[[#This Row],[Ativo]],TbAtivos[],2,FALSE)</f>
        <v>FII</v>
      </c>
    </row>
    <row r="44" spans="2:10" ht="20.100000000000001" customHeight="1" x14ac:dyDescent="0.25">
      <c r="B44" s="4">
        <v>13</v>
      </c>
      <c r="C44" s="4" t="s">
        <v>5</v>
      </c>
      <c r="D44" s="4">
        <v>100</v>
      </c>
      <c r="E44" s="9">
        <v>156.13999999999999</v>
      </c>
      <c r="F44" s="9">
        <v>0</v>
      </c>
      <c r="G44" s="9">
        <v>156.13999999999999</v>
      </c>
      <c r="H44" s="6">
        <v>43692</v>
      </c>
      <c r="I44" s="4" t="str">
        <f>CONCATENATE(YEAR(TbProventos[[#This Row],[Data]]),"/",IF(MONTH(TbProventos[[#This Row],[Data]])&lt;10,"0",""),MONTH(TbProventos[[#This Row],[Data]]))</f>
        <v>2019/08</v>
      </c>
      <c r="J44" s="4" t="str">
        <f>VLOOKUP(TbProventos[[#This Row],[Ativo]],TbAtivos[],2,FALSE)</f>
        <v>EMPRESA</v>
      </c>
    </row>
    <row r="45" spans="2:10" ht="20.100000000000001" customHeight="1" x14ac:dyDescent="0.25">
      <c r="B45" s="4">
        <v>14</v>
      </c>
      <c r="C45" s="4" t="s">
        <v>8</v>
      </c>
      <c r="D45" s="4">
        <v>100</v>
      </c>
      <c r="E45" s="9">
        <v>61</v>
      </c>
      <c r="F45" s="9">
        <v>1.03</v>
      </c>
      <c r="G45" s="9">
        <v>59.97</v>
      </c>
      <c r="H45" s="6">
        <v>43694</v>
      </c>
      <c r="I45" s="4" t="str">
        <f>CONCATENATE(YEAR(TbProventos[[#This Row],[Data]]),"/",IF(MONTH(TbProventos[[#This Row],[Data]])&lt;10,"0",""),MONTH(TbProventos[[#This Row],[Data]]))</f>
        <v>2019/08</v>
      </c>
      <c r="J45" s="4" t="str">
        <f>VLOOKUP(TbProventos[[#This Row],[Ativo]],TbAtivos[],2,FALSE)</f>
        <v>FII</v>
      </c>
    </row>
    <row r="46" spans="2:10" ht="20.100000000000001" customHeight="1" x14ac:dyDescent="0.25">
      <c r="B46" s="4">
        <v>14</v>
      </c>
      <c r="C46" s="4" t="s">
        <v>10</v>
      </c>
      <c r="D46" s="4">
        <v>100</v>
      </c>
      <c r="E46" s="9">
        <v>99</v>
      </c>
      <c r="F46" s="9">
        <v>0</v>
      </c>
      <c r="G46" s="9">
        <v>99</v>
      </c>
      <c r="H46" s="6">
        <v>43694</v>
      </c>
      <c r="I46" s="4" t="str">
        <f>CONCATENATE(YEAR(TbProventos[[#This Row],[Data]]),"/",IF(MONTH(TbProventos[[#This Row],[Data]])&lt;10,"0",""),MONTH(TbProventos[[#This Row],[Data]]))</f>
        <v>2019/08</v>
      </c>
      <c r="J46" s="4" t="str">
        <f>VLOOKUP(TbProventos[[#This Row],[Ativo]],TbAtivos[],2,FALSE)</f>
        <v>FII</v>
      </c>
    </row>
    <row r="47" spans="2:10" ht="20.100000000000001" customHeight="1" x14ac:dyDescent="0.25">
      <c r="B47" s="4">
        <v>14</v>
      </c>
      <c r="C47" s="4" t="s">
        <v>11</v>
      </c>
      <c r="D47" s="4">
        <v>100</v>
      </c>
      <c r="E47" s="9">
        <v>99.9</v>
      </c>
      <c r="F47" s="9">
        <v>0</v>
      </c>
      <c r="G47" s="9">
        <v>99.9</v>
      </c>
      <c r="H47" s="6">
        <v>43694</v>
      </c>
      <c r="I47" s="4" t="str">
        <f>CONCATENATE(YEAR(TbProventos[[#This Row],[Data]]),"/",IF(MONTH(TbProventos[[#This Row],[Data]])&lt;10,"0",""),MONTH(TbProventos[[#This Row],[Data]]))</f>
        <v>2019/08</v>
      </c>
      <c r="J47" s="4" t="str">
        <f>VLOOKUP(TbProventos[[#This Row],[Ativo]],TbAtivos[],2,FALSE)</f>
        <v>FII</v>
      </c>
    </row>
    <row r="48" spans="2:10" ht="20.100000000000001" customHeight="1" x14ac:dyDescent="0.25">
      <c r="B48" s="4">
        <v>14</v>
      </c>
      <c r="C48" s="4" t="s">
        <v>12</v>
      </c>
      <c r="D48" s="4">
        <v>100</v>
      </c>
      <c r="E48" s="9">
        <v>98.42</v>
      </c>
      <c r="F48" s="9">
        <v>0</v>
      </c>
      <c r="G48" s="9">
        <v>98.42</v>
      </c>
      <c r="H48" s="6">
        <v>43694</v>
      </c>
      <c r="I48" s="4" t="str">
        <f>CONCATENATE(YEAR(TbProventos[[#This Row],[Data]]),"/",IF(MONTH(TbProventos[[#This Row],[Data]])&lt;10,"0",""),MONTH(TbProventos[[#This Row],[Data]]))</f>
        <v>2019/08</v>
      </c>
      <c r="J48" s="4" t="str">
        <f>VLOOKUP(TbProventos[[#This Row],[Ativo]],TbAtivos[],2,FALSE)</f>
        <v>FII</v>
      </c>
    </row>
    <row r="49" spans="2:10" ht="20.100000000000001" customHeight="1" x14ac:dyDescent="0.25">
      <c r="B49" s="4">
        <v>13</v>
      </c>
      <c r="C49" s="4" t="s">
        <v>3</v>
      </c>
      <c r="D49" s="4">
        <v>100</v>
      </c>
      <c r="E49" s="9">
        <v>166</v>
      </c>
      <c r="F49" s="9">
        <v>0</v>
      </c>
      <c r="G49" s="9">
        <v>166</v>
      </c>
      <c r="H49" s="6">
        <v>43723</v>
      </c>
      <c r="I49" s="4" t="str">
        <f>CONCATENATE(YEAR(TbProventos[[#This Row],[Data]]),"/",IF(MONTH(TbProventos[[#This Row],[Data]])&lt;10,"0",""),MONTH(TbProventos[[#This Row],[Data]]))</f>
        <v>2019/09</v>
      </c>
      <c r="J49" s="4" t="str">
        <f>VLOOKUP(TbProventos[[#This Row],[Ativo]],TbAtivos[],2,FALSE)</f>
        <v>EMPRESA</v>
      </c>
    </row>
    <row r="50" spans="2:10" ht="20.100000000000001" customHeight="1" x14ac:dyDescent="0.25">
      <c r="B50" s="4">
        <v>14</v>
      </c>
      <c r="C50" s="4" t="s">
        <v>8</v>
      </c>
      <c r="D50" s="4">
        <v>100</v>
      </c>
      <c r="E50" s="9">
        <v>37.44</v>
      </c>
      <c r="F50" s="9">
        <v>0</v>
      </c>
      <c r="G50" s="9">
        <v>37.44</v>
      </c>
      <c r="H50" s="6">
        <v>43725</v>
      </c>
      <c r="I50" s="4" t="str">
        <f>CONCATENATE(YEAR(TbProventos[[#This Row],[Data]]),"/",IF(MONTH(TbProventos[[#This Row],[Data]])&lt;10,"0",""),MONTH(TbProventos[[#This Row],[Data]]))</f>
        <v>2019/09</v>
      </c>
      <c r="J50" s="4" t="str">
        <f>VLOOKUP(TbProventos[[#This Row],[Ativo]],TbAtivos[],2,FALSE)</f>
        <v>FII</v>
      </c>
    </row>
    <row r="51" spans="2:10" ht="20.100000000000001" customHeight="1" x14ac:dyDescent="0.25">
      <c r="B51" s="4">
        <v>14</v>
      </c>
      <c r="C51" s="4" t="s">
        <v>10</v>
      </c>
      <c r="D51" s="4">
        <v>100</v>
      </c>
      <c r="E51" s="9">
        <v>52.02</v>
      </c>
      <c r="F51" s="9">
        <v>0</v>
      </c>
      <c r="G51" s="9">
        <v>52.02</v>
      </c>
      <c r="H51" s="6">
        <v>43725</v>
      </c>
      <c r="I51" s="4" t="str">
        <f>CONCATENATE(YEAR(TbProventos[[#This Row],[Data]]),"/",IF(MONTH(TbProventos[[#This Row],[Data]])&lt;10,"0",""),MONTH(TbProventos[[#This Row],[Data]]))</f>
        <v>2019/09</v>
      </c>
      <c r="J51" s="4" t="str">
        <f>VLOOKUP(TbProventos[[#This Row],[Ativo]],TbAtivos[],2,FALSE)</f>
        <v>FII</v>
      </c>
    </row>
    <row r="52" spans="2:10" ht="20.100000000000001" customHeight="1" x14ac:dyDescent="0.25">
      <c r="B52" s="4">
        <v>14</v>
      </c>
      <c r="C52" s="4" t="s">
        <v>11</v>
      </c>
      <c r="D52" s="4">
        <v>100</v>
      </c>
      <c r="E52" s="9">
        <v>42.14</v>
      </c>
      <c r="F52" s="9">
        <v>0</v>
      </c>
      <c r="G52" s="9">
        <v>42.14</v>
      </c>
      <c r="H52" s="6">
        <v>43725</v>
      </c>
      <c r="I52" s="4" t="str">
        <f>CONCATENATE(YEAR(TbProventos[[#This Row],[Data]]),"/",IF(MONTH(TbProventos[[#This Row],[Data]])&lt;10,"0",""),MONTH(TbProventos[[#This Row],[Data]]))</f>
        <v>2019/09</v>
      </c>
      <c r="J52" s="4" t="str">
        <f>VLOOKUP(TbProventos[[#This Row],[Ativo]],TbAtivos[],2,FALSE)</f>
        <v>FII</v>
      </c>
    </row>
    <row r="53" spans="2:10" ht="20.100000000000001" customHeight="1" x14ac:dyDescent="0.25">
      <c r="B53" s="4">
        <v>14</v>
      </c>
      <c r="C53" s="4" t="s">
        <v>12</v>
      </c>
      <c r="D53" s="4">
        <v>100</v>
      </c>
      <c r="E53" s="9">
        <v>177.12</v>
      </c>
      <c r="F53" s="9">
        <v>0</v>
      </c>
      <c r="G53" s="9">
        <v>177.12</v>
      </c>
      <c r="H53" s="6">
        <v>43725</v>
      </c>
      <c r="I53" s="4" t="str">
        <f>CONCATENATE(YEAR(TbProventos[[#This Row],[Data]]),"/",IF(MONTH(TbProventos[[#This Row],[Data]])&lt;10,"0",""),MONTH(TbProventos[[#This Row],[Data]]))</f>
        <v>2019/09</v>
      </c>
      <c r="J53" s="4" t="str">
        <f>VLOOKUP(TbProventos[[#This Row],[Ativo]],TbAtivos[],2,FALSE)</f>
        <v>FII</v>
      </c>
    </row>
    <row r="54" spans="2:10" ht="20.100000000000001" customHeight="1" x14ac:dyDescent="0.25">
      <c r="B54" s="4">
        <v>13</v>
      </c>
      <c r="C54" s="4" t="s">
        <v>6</v>
      </c>
      <c r="D54" s="4">
        <v>100</v>
      </c>
      <c r="E54" s="9">
        <v>162.75</v>
      </c>
      <c r="F54" s="9">
        <v>0</v>
      </c>
      <c r="G54" s="9">
        <v>162.75</v>
      </c>
      <c r="H54" s="6">
        <v>43753</v>
      </c>
      <c r="I54" s="4" t="str">
        <f>CONCATENATE(YEAR(TbProventos[[#This Row],[Data]]),"/",IF(MONTH(TbProventos[[#This Row],[Data]])&lt;10,"0",""),MONTH(TbProventos[[#This Row],[Data]]))</f>
        <v>2019/10</v>
      </c>
      <c r="J54" s="4" t="str">
        <f>VLOOKUP(TbProventos[[#This Row],[Ativo]],TbAtivos[],2,FALSE)</f>
        <v>EMPRESA</v>
      </c>
    </row>
    <row r="55" spans="2:10" ht="20.100000000000001" customHeight="1" x14ac:dyDescent="0.25">
      <c r="B55" s="4">
        <v>14</v>
      </c>
      <c r="C55" s="4" t="s">
        <v>8</v>
      </c>
      <c r="D55" s="4">
        <v>100</v>
      </c>
      <c r="E55" s="9">
        <v>61</v>
      </c>
      <c r="F55" s="9">
        <v>0</v>
      </c>
      <c r="G55" s="9">
        <v>61</v>
      </c>
      <c r="H55" s="6">
        <v>43755</v>
      </c>
      <c r="I55" s="4" t="str">
        <f>CONCATENATE(YEAR(TbProventos[[#This Row],[Data]]),"/",IF(MONTH(TbProventos[[#This Row],[Data]])&lt;10,"0",""),MONTH(TbProventos[[#This Row],[Data]]))</f>
        <v>2019/10</v>
      </c>
      <c r="J55" s="4" t="str">
        <f>VLOOKUP(TbProventos[[#This Row],[Ativo]],TbAtivos[],2,FALSE)</f>
        <v>FII</v>
      </c>
    </row>
    <row r="56" spans="2:10" ht="20.100000000000001" customHeight="1" x14ac:dyDescent="0.25">
      <c r="B56" s="4">
        <v>14</v>
      </c>
      <c r="C56" s="4" t="s">
        <v>10</v>
      </c>
      <c r="D56" s="4">
        <v>100</v>
      </c>
      <c r="E56" s="9">
        <v>180.6</v>
      </c>
      <c r="F56" s="9">
        <v>0</v>
      </c>
      <c r="G56" s="9">
        <v>180.6</v>
      </c>
      <c r="H56" s="6">
        <v>43755</v>
      </c>
      <c r="I56" s="4" t="str">
        <f>CONCATENATE(YEAR(TbProventos[[#This Row],[Data]]),"/",IF(MONTH(TbProventos[[#This Row],[Data]])&lt;10,"0",""),MONTH(TbProventos[[#This Row],[Data]]))</f>
        <v>2019/10</v>
      </c>
      <c r="J56" s="4" t="str">
        <f>VLOOKUP(TbProventos[[#This Row],[Ativo]],TbAtivos[],2,FALSE)</f>
        <v>FII</v>
      </c>
    </row>
    <row r="57" spans="2:10" ht="20.100000000000001" customHeight="1" x14ac:dyDescent="0.25">
      <c r="B57" s="4">
        <v>14</v>
      </c>
      <c r="C57" s="4" t="s">
        <v>11</v>
      </c>
      <c r="D57" s="4">
        <v>100</v>
      </c>
      <c r="E57" s="9">
        <v>38.4</v>
      </c>
      <c r="F57" s="9">
        <v>0</v>
      </c>
      <c r="G57" s="9">
        <v>38.4</v>
      </c>
      <c r="H57" s="6">
        <v>43755</v>
      </c>
      <c r="I57" s="4" t="str">
        <f>CONCATENATE(YEAR(TbProventos[[#This Row],[Data]]),"/",IF(MONTH(TbProventos[[#This Row],[Data]])&lt;10,"0",""),MONTH(TbProventos[[#This Row],[Data]]))</f>
        <v>2019/10</v>
      </c>
      <c r="J57" s="4" t="str">
        <f>VLOOKUP(TbProventos[[#This Row],[Ativo]],TbAtivos[],2,FALSE)</f>
        <v>FII</v>
      </c>
    </row>
    <row r="58" spans="2:10" ht="20.100000000000001" customHeight="1" x14ac:dyDescent="0.25">
      <c r="B58" s="4">
        <v>14</v>
      </c>
      <c r="C58" s="4" t="s">
        <v>12</v>
      </c>
      <c r="D58" s="4">
        <v>100</v>
      </c>
      <c r="E58" s="9">
        <v>153.18</v>
      </c>
      <c r="F58" s="9">
        <v>0</v>
      </c>
      <c r="G58" s="9">
        <v>153.18</v>
      </c>
      <c r="H58" s="6">
        <v>43755</v>
      </c>
      <c r="I58" s="4" t="str">
        <f>CONCATENATE(YEAR(TbProventos[[#This Row],[Data]]),"/",IF(MONTH(TbProventos[[#This Row],[Data]])&lt;10,"0",""),MONTH(TbProventos[[#This Row],[Data]]))</f>
        <v>2019/10</v>
      </c>
      <c r="J58" s="4" t="str">
        <f>VLOOKUP(TbProventos[[#This Row],[Ativo]],TbAtivos[],2,FALSE)</f>
        <v>FII</v>
      </c>
    </row>
    <row r="59" spans="2:10" ht="20.100000000000001" customHeight="1" x14ac:dyDescent="0.25">
      <c r="B59" s="4">
        <v>13</v>
      </c>
      <c r="C59" s="4" t="s">
        <v>13</v>
      </c>
      <c r="D59" s="4">
        <v>100</v>
      </c>
      <c r="E59" s="9">
        <v>156.13999999999999</v>
      </c>
      <c r="F59" s="9">
        <v>0</v>
      </c>
      <c r="G59" s="9">
        <v>156.13999999999999</v>
      </c>
      <c r="H59" s="6">
        <v>43753</v>
      </c>
      <c r="I59" s="4" t="str">
        <f>CONCATENATE(YEAR(TbProventos[[#This Row],[Data]]),"/",IF(MONTH(TbProventos[[#This Row],[Data]])&lt;10,"0",""),MONTH(TbProventos[[#This Row],[Data]]))</f>
        <v>2019/10</v>
      </c>
      <c r="J59" s="4" t="str">
        <f>VLOOKUP(TbProventos[[#This Row],[Ativo]],TbAtivos[],2,FALSE)</f>
        <v>EMPRESA</v>
      </c>
    </row>
    <row r="60" spans="2:10" ht="20.100000000000001" customHeight="1" x14ac:dyDescent="0.25">
      <c r="B60" s="4">
        <v>14</v>
      </c>
      <c r="C60" s="4" t="s">
        <v>8</v>
      </c>
      <c r="D60" s="4">
        <v>100</v>
      </c>
      <c r="E60" s="9">
        <v>61</v>
      </c>
      <c r="F60" s="9">
        <v>0</v>
      </c>
      <c r="G60" s="9">
        <v>61</v>
      </c>
      <c r="H60" s="6">
        <v>43755</v>
      </c>
      <c r="I60" s="4" t="str">
        <f>CONCATENATE(YEAR(TbProventos[[#This Row],[Data]]),"/",IF(MONTH(TbProventos[[#This Row],[Data]])&lt;10,"0",""),MONTH(TbProventos[[#This Row],[Data]]))</f>
        <v>2019/10</v>
      </c>
      <c r="J60" s="4" t="str">
        <f>VLOOKUP(TbProventos[[#This Row],[Ativo]],TbAtivos[],2,FALSE)</f>
        <v>FII</v>
      </c>
    </row>
    <row r="61" spans="2:10" ht="20.100000000000001" customHeight="1" x14ac:dyDescent="0.25">
      <c r="B61" s="4">
        <v>14</v>
      </c>
      <c r="C61" s="4" t="s">
        <v>10</v>
      </c>
      <c r="D61" s="4">
        <v>100</v>
      </c>
      <c r="E61" s="9">
        <v>99</v>
      </c>
      <c r="F61" s="9">
        <v>0</v>
      </c>
      <c r="G61" s="9">
        <v>99</v>
      </c>
      <c r="H61" s="6">
        <v>43755</v>
      </c>
      <c r="I61" s="4" t="str">
        <f>CONCATENATE(YEAR(TbProventos[[#This Row],[Data]]),"/",IF(MONTH(TbProventos[[#This Row],[Data]])&lt;10,"0",""),MONTH(TbProventos[[#This Row],[Data]]))</f>
        <v>2019/10</v>
      </c>
      <c r="J61" s="4" t="str">
        <f>VLOOKUP(TbProventos[[#This Row],[Ativo]],TbAtivos[],2,FALSE)</f>
        <v>FII</v>
      </c>
    </row>
    <row r="62" spans="2:10" ht="20.100000000000001" customHeight="1" x14ac:dyDescent="0.25">
      <c r="B62" s="4">
        <v>14</v>
      </c>
      <c r="C62" s="4" t="s">
        <v>11</v>
      </c>
      <c r="D62" s="4">
        <v>100</v>
      </c>
      <c r="E62" s="9">
        <v>99.9</v>
      </c>
      <c r="F62" s="9">
        <v>0</v>
      </c>
      <c r="G62" s="9">
        <v>99.9</v>
      </c>
      <c r="H62" s="6">
        <v>43755</v>
      </c>
      <c r="I62" s="4" t="str">
        <f>CONCATENATE(YEAR(TbProventos[[#This Row],[Data]]),"/",IF(MONTH(TbProventos[[#This Row],[Data]])&lt;10,"0",""),MONTH(TbProventos[[#This Row],[Data]]))</f>
        <v>2019/10</v>
      </c>
      <c r="J62" s="4" t="str">
        <f>VLOOKUP(TbProventos[[#This Row],[Ativo]],TbAtivos[],2,FALSE)</f>
        <v>FII</v>
      </c>
    </row>
    <row r="63" spans="2:10" ht="20.100000000000001" customHeight="1" x14ac:dyDescent="0.25">
      <c r="B63" s="4">
        <v>14</v>
      </c>
      <c r="C63" s="4" t="s">
        <v>12</v>
      </c>
      <c r="D63" s="4">
        <v>100</v>
      </c>
      <c r="E63" s="9">
        <v>98.42</v>
      </c>
      <c r="F63" s="9">
        <v>0</v>
      </c>
      <c r="G63" s="9">
        <v>98.42</v>
      </c>
      <c r="H63" s="6">
        <v>43755</v>
      </c>
      <c r="I63" s="4" t="str">
        <f>CONCATENATE(YEAR(TbProventos[[#This Row],[Data]]),"/",IF(MONTH(TbProventos[[#This Row],[Data]])&lt;10,"0",""),MONTH(TbProventos[[#This Row],[Data]]))</f>
        <v>2019/10</v>
      </c>
      <c r="J63" s="4" t="str">
        <f>VLOOKUP(TbProventos[[#This Row],[Ativo]],TbAtivos[],2,FALSE)</f>
        <v>FII</v>
      </c>
    </row>
    <row r="64" spans="2:10" ht="20.100000000000001" customHeight="1" x14ac:dyDescent="0.25">
      <c r="B64" s="4">
        <v>13</v>
      </c>
      <c r="C64" s="4" t="s">
        <v>6</v>
      </c>
      <c r="D64" s="4">
        <v>100</v>
      </c>
      <c r="E64" s="9">
        <v>166</v>
      </c>
      <c r="F64" s="9">
        <v>0</v>
      </c>
      <c r="G64" s="9">
        <v>166</v>
      </c>
      <c r="H64" s="6">
        <v>43753</v>
      </c>
      <c r="I64" s="4" t="str">
        <f>CONCATENATE(YEAR(TbProventos[[#This Row],[Data]]),"/",IF(MONTH(TbProventos[[#This Row],[Data]])&lt;10,"0",""),MONTH(TbProventos[[#This Row],[Data]]))</f>
        <v>2019/10</v>
      </c>
      <c r="J64" s="4" t="str">
        <f>VLOOKUP(TbProventos[[#This Row],[Ativo]],TbAtivos[],2,FALSE)</f>
        <v>EMPRESA</v>
      </c>
    </row>
    <row r="65" spans="2:10" ht="20.100000000000001" customHeight="1" x14ac:dyDescent="0.25">
      <c r="B65" s="4">
        <v>14</v>
      </c>
      <c r="C65" s="4" t="s">
        <v>8</v>
      </c>
      <c r="D65" s="4">
        <v>100</v>
      </c>
      <c r="E65" s="9">
        <v>37.44</v>
      </c>
      <c r="F65" s="9">
        <v>0</v>
      </c>
      <c r="G65" s="9">
        <v>37.44</v>
      </c>
      <c r="H65" s="6">
        <v>43755</v>
      </c>
      <c r="I65" s="4" t="str">
        <f>CONCATENATE(YEAR(TbProventos[[#This Row],[Data]]),"/",IF(MONTH(TbProventos[[#This Row],[Data]])&lt;10,"0",""),MONTH(TbProventos[[#This Row],[Data]]))</f>
        <v>2019/10</v>
      </c>
      <c r="J65" s="4" t="str">
        <f>VLOOKUP(TbProventos[[#This Row],[Ativo]],TbAtivos[],2,FALSE)</f>
        <v>FII</v>
      </c>
    </row>
    <row r="66" spans="2:10" ht="20.100000000000001" customHeight="1" x14ac:dyDescent="0.25">
      <c r="B66" s="4">
        <v>14</v>
      </c>
      <c r="C66" s="4" t="s">
        <v>10</v>
      </c>
      <c r="D66" s="4">
        <v>100</v>
      </c>
      <c r="E66" s="9">
        <v>52.02</v>
      </c>
      <c r="F66" s="9">
        <v>0</v>
      </c>
      <c r="G66" s="9">
        <v>52.02</v>
      </c>
      <c r="H66" s="6">
        <v>43755</v>
      </c>
      <c r="I66" s="4" t="str">
        <f>CONCATENATE(YEAR(TbProventos[[#This Row],[Data]]),"/",IF(MONTH(TbProventos[[#This Row],[Data]])&lt;10,"0",""),MONTH(TbProventos[[#This Row],[Data]]))</f>
        <v>2019/10</v>
      </c>
      <c r="J66" s="4" t="str">
        <f>VLOOKUP(TbProventos[[#This Row],[Ativo]],TbAtivos[],2,FALSE)</f>
        <v>FII</v>
      </c>
    </row>
    <row r="67" spans="2:10" ht="20.100000000000001" customHeight="1" x14ac:dyDescent="0.25">
      <c r="B67" s="4">
        <v>14</v>
      </c>
      <c r="C67" s="4" t="s">
        <v>11</v>
      </c>
      <c r="D67" s="4">
        <v>100</v>
      </c>
      <c r="E67" s="9">
        <v>42.14</v>
      </c>
      <c r="F67" s="9">
        <v>0</v>
      </c>
      <c r="G67" s="9">
        <v>42.14</v>
      </c>
      <c r="H67" s="6">
        <v>43755</v>
      </c>
      <c r="I67" s="4" t="str">
        <f>CONCATENATE(YEAR(TbProventos[[#This Row],[Data]]),"/",IF(MONTH(TbProventos[[#This Row],[Data]])&lt;10,"0",""),MONTH(TbProventos[[#This Row],[Data]]))</f>
        <v>2019/10</v>
      </c>
      <c r="J67" s="4" t="str">
        <f>VLOOKUP(TbProventos[[#This Row],[Ativo]],TbAtivos[],2,FALSE)</f>
        <v>FII</v>
      </c>
    </row>
    <row r="68" spans="2:10" ht="20.100000000000001" customHeight="1" x14ac:dyDescent="0.25">
      <c r="B68" s="4">
        <v>14</v>
      </c>
      <c r="C68" s="4" t="s">
        <v>12</v>
      </c>
      <c r="D68" s="4">
        <v>100</v>
      </c>
      <c r="E68" s="9">
        <v>177.12</v>
      </c>
      <c r="F68" s="9">
        <v>0</v>
      </c>
      <c r="G68" s="9">
        <v>177.12</v>
      </c>
      <c r="H68" s="6">
        <v>43755</v>
      </c>
      <c r="I68" s="4" t="str">
        <f>CONCATENATE(YEAR(TbProventos[[#This Row],[Data]]),"/",IF(MONTH(TbProventos[[#This Row],[Data]])&lt;10,"0",""),MONTH(TbProventos[[#This Row],[Data]]))</f>
        <v>2019/10</v>
      </c>
      <c r="J68" s="4" t="str">
        <f>VLOOKUP(TbProventos[[#This Row],[Ativo]],TbAtivos[],2,FALSE)</f>
        <v>FII</v>
      </c>
    </row>
    <row r="69" spans="2:10" ht="20.100000000000001" customHeight="1" x14ac:dyDescent="0.25">
      <c r="B69" s="4">
        <v>14</v>
      </c>
      <c r="C69" s="4" t="s">
        <v>13</v>
      </c>
      <c r="D69" s="4">
        <v>100</v>
      </c>
      <c r="E69" s="9">
        <v>162.75</v>
      </c>
      <c r="F69" s="9">
        <v>0</v>
      </c>
      <c r="G69" s="9">
        <v>162.75</v>
      </c>
      <c r="H69" s="6">
        <v>43845</v>
      </c>
      <c r="I69" s="4" t="str">
        <f>CONCATENATE(YEAR(TbProventos[[#This Row],[Data]]),"/",IF(MONTH(TbProventos[[#This Row],[Data]])&lt;10,"0",""),MONTH(TbProventos[[#This Row],[Data]]))</f>
        <v>2020/01</v>
      </c>
      <c r="J69" s="4" t="str">
        <f>VLOOKUP(TbProventos[[#This Row],[Ativo]],TbAtivos[],2,FALSE)</f>
        <v>EMPRESA</v>
      </c>
    </row>
    <row r="70" spans="2:10" ht="20.100000000000001" customHeight="1" x14ac:dyDescent="0.25">
      <c r="B70" s="4">
        <v>14</v>
      </c>
      <c r="C70" s="4" t="s">
        <v>8</v>
      </c>
      <c r="D70" s="4">
        <v>100</v>
      </c>
      <c r="E70" s="9">
        <v>61</v>
      </c>
      <c r="F70" s="9">
        <v>0</v>
      </c>
      <c r="G70" s="9">
        <v>61</v>
      </c>
      <c r="H70" s="6">
        <v>43847</v>
      </c>
      <c r="I70" s="4" t="str">
        <f>CONCATENATE(YEAR(TbProventos[[#This Row],[Data]]),"/",IF(MONTH(TbProventos[[#This Row],[Data]])&lt;10,"0",""),MONTH(TbProventos[[#This Row],[Data]]))</f>
        <v>2020/01</v>
      </c>
      <c r="J70" s="4" t="str">
        <f>VLOOKUP(TbProventos[[#This Row],[Ativo]],TbAtivos[],2,FALSE)</f>
        <v>FII</v>
      </c>
    </row>
    <row r="71" spans="2:10" ht="20.100000000000001" customHeight="1" x14ac:dyDescent="0.25">
      <c r="B71" s="4">
        <v>14</v>
      </c>
      <c r="C71" s="4" t="s">
        <v>10</v>
      </c>
      <c r="D71" s="4">
        <v>100</v>
      </c>
      <c r="E71" s="9">
        <v>180.6</v>
      </c>
      <c r="F71" s="9">
        <v>0</v>
      </c>
      <c r="G71" s="9">
        <v>180.6</v>
      </c>
      <c r="H71" s="6">
        <v>43847</v>
      </c>
      <c r="I71" s="4" t="str">
        <f>CONCATENATE(YEAR(TbProventos[[#This Row],[Data]]),"/",IF(MONTH(TbProventos[[#This Row],[Data]])&lt;10,"0",""),MONTH(TbProventos[[#This Row],[Data]]))</f>
        <v>2020/01</v>
      </c>
      <c r="J71" s="4" t="str">
        <f>VLOOKUP(TbProventos[[#This Row],[Ativo]],TbAtivos[],2,FALSE)</f>
        <v>FII</v>
      </c>
    </row>
    <row r="72" spans="2:10" ht="20.100000000000001" customHeight="1" x14ac:dyDescent="0.25">
      <c r="B72" s="4">
        <v>14</v>
      </c>
      <c r="C72" s="4" t="s">
        <v>11</v>
      </c>
      <c r="D72" s="4">
        <v>100</v>
      </c>
      <c r="E72" s="9">
        <v>38.4</v>
      </c>
      <c r="F72" s="9">
        <v>0</v>
      </c>
      <c r="G72" s="9">
        <v>38.4</v>
      </c>
      <c r="H72" s="6">
        <v>43847</v>
      </c>
      <c r="I72" s="4" t="str">
        <f>CONCATENATE(YEAR(TbProventos[[#This Row],[Data]]),"/",IF(MONTH(TbProventos[[#This Row],[Data]])&lt;10,"0",""),MONTH(TbProventos[[#This Row],[Data]]))</f>
        <v>2020/01</v>
      </c>
      <c r="J72" s="4" t="str">
        <f>VLOOKUP(TbProventos[[#This Row],[Ativo]],TbAtivos[],2,FALSE)</f>
        <v>FII</v>
      </c>
    </row>
    <row r="73" spans="2:10" ht="20.100000000000001" customHeight="1" x14ac:dyDescent="0.25">
      <c r="B73" s="4">
        <v>14</v>
      </c>
      <c r="C73" s="4" t="s">
        <v>12</v>
      </c>
      <c r="D73" s="4">
        <v>100</v>
      </c>
      <c r="E73" s="9">
        <v>153.18</v>
      </c>
      <c r="F73" s="9">
        <v>0</v>
      </c>
      <c r="G73" s="9">
        <v>153.18</v>
      </c>
      <c r="H73" s="6">
        <v>43847</v>
      </c>
      <c r="I73" s="4" t="str">
        <f>CONCATENATE(YEAR(TbProventos[[#This Row],[Data]]),"/",IF(MONTH(TbProventos[[#This Row],[Data]])&lt;10,"0",""),MONTH(TbProventos[[#This Row],[Data]]))</f>
        <v>2020/01</v>
      </c>
      <c r="J73" s="4" t="str">
        <f>VLOOKUP(TbProventos[[#This Row],[Ativo]],TbAtivos[],2,FALSE)</f>
        <v>FII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AC2F-979B-4F21-8E1A-DF079263D001}">
  <dimension ref="B2:D11"/>
  <sheetViews>
    <sheetView workbookViewId="0">
      <selection activeCell="C11" sqref="C11"/>
    </sheetView>
  </sheetViews>
  <sheetFormatPr defaultRowHeight="15" x14ac:dyDescent="0.25"/>
  <cols>
    <col min="1" max="2" width="8.85546875" bestFit="1" customWidth="1"/>
    <col min="3" max="3" width="9.28515625" bestFit="1" customWidth="1"/>
    <col min="4" max="4" width="12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 t="s">
        <v>3</v>
      </c>
      <c r="C3" s="1" t="s">
        <v>4</v>
      </c>
      <c r="D3">
        <v>72.900000000000006</v>
      </c>
    </row>
    <row r="4" spans="2:4" x14ac:dyDescent="0.25">
      <c r="B4" s="1" t="s">
        <v>5</v>
      </c>
      <c r="C4" s="1" t="s">
        <v>4</v>
      </c>
      <c r="D4">
        <v>13.47</v>
      </c>
    </row>
    <row r="5" spans="2:4" x14ac:dyDescent="0.25">
      <c r="B5" s="1" t="s">
        <v>6</v>
      </c>
      <c r="C5" s="1" t="s">
        <v>4</v>
      </c>
      <c r="D5">
        <v>10.88</v>
      </c>
    </row>
    <row r="6" spans="2:4" x14ac:dyDescent="0.25">
      <c r="B6" s="1" t="s">
        <v>7</v>
      </c>
      <c r="C6" s="1" t="s">
        <v>4</v>
      </c>
      <c r="D6">
        <v>32.909999999999997</v>
      </c>
    </row>
    <row r="7" spans="2:4" x14ac:dyDescent="0.25">
      <c r="B7" s="1" t="s">
        <v>8</v>
      </c>
      <c r="C7" s="1" t="s">
        <v>9</v>
      </c>
      <c r="D7">
        <v>19.559999999999999</v>
      </c>
    </row>
    <row r="8" spans="2:4" x14ac:dyDescent="0.25">
      <c r="B8" s="1" t="s">
        <v>10</v>
      </c>
      <c r="C8" s="1" t="s">
        <v>9</v>
      </c>
      <c r="D8">
        <v>158.06</v>
      </c>
    </row>
    <row r="9" spans="2:4" x14ac:dyDescent="0.25">
      <c r="B9" s="1" t="s">
        <v>11</v>
      </c>
      <c r="C9" s="1" t="s">
        <v>9</v>
      </c>
      <c r="D9">
        <v>115.1</v>
      </c>
    </row>
    <row r="10" spans="2:4" x14ac:dyDescent="0.25">
      <c r="B10" s="1" t="s">
        <v>12</v>
      </c>
      <c r="C10" s="1" t="s">
        <v>9</v>
      </c>
      <c r="D10">
        <v>145.19</v>
      </c>
    </row>
    <row r="11" spans="2:4" x14ac:dyDescent="0.25">
      <c r="B11" s="1" t="s">
        <v>13</v>
      </c>
      <c r="C11" s="1" t="s">
        <v>4</v>
      </c>
      <c r="D11">
        <v>11.44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2F4D2B-65CF-442A-9AE4-9A4B34CC9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Dashboard</vt:lpstr>
      <vt:lpstr>DashboardAux</vt:lpstr>
      <vt:lpstr>ReCarteira</vt:lpstr>
      <vt:lpstr>ReCarteiraAções</vt:lpstr>
      <vt:lpstr>ReCarteiraFII</vt:lpstr>
      <vt:lpstr>ReProventos</vt:lpstr>
      <vt:lpstr>ReAportes</vt:lpstr>
      <vt:lpstr>TbAportes</vt:lpstr>
      <vt:lpstr>TbProventos</vt:lpstr>
      <vt:lpstr>TbAtivos</vt:lpstr>
      <vt:lpstr>ReCarteiraAções!TbAtivos_Ativo</vt:lpstr>
      <vt:lpstr>ReCarteiraFII!TbAtivos_Ativo</vt:lpstr>
      <vt:lpstr>TbAtivos_Ativo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santos</dc:creator>
  <cp:lastModifiedBy>kevin santos</cp:lastModifiedBy>
  <dcterms:created xsi:type="dcterms:W3CDTF">2025-06-18T21:34:44Z</dcterms:created>
  <dcterms:modified xsi:type="dcterms:W3CDTF">2025-06-19T02:25:22Z</dcterms:modified>
</cp:coreProperties>
</file>