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Users\ronnelmr\Downloads\"/>
    </mc:Choice>
  </mc:AlternateContent>
  <xr:revisionPtr revIDLastSave="0" documentId="13_ncr:1_{784C16DD-4681-4A13-B503-538D4586290B}" xr6:coauthVersionLast="47" xr6:coauthVersionMax="47" xr10:uidLastSave="{00000000-0000-0000-0000-000000000000}"/>
  <bookViews>
    <workbookView xWindow="-120" yWindow="-120" windowWidth="29040" windowHeight="15840" xr2:uid="{00000000-000D-0000-FFFF-FFFF00000000}"/>
  </bookViews>
  <sheets>
    <sheet name="vw_redd_count_coho (2)" sheetId="1" r:id="rId1"/>
    <sheet name="Coho Abundance"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09" i="2" l="1"/>
  <c r="R209" i="2" s="1"/>
  <c r="L209" i="2"/>
  <c r="V208" i="2"/>
  <c r="AA208" i="2" s="1"/>
  <c r="AA207" i="2"/>
  <c r="Z207" i="2"/>
  <c r="V207" i="2"/>
  <c r="R207" i="2"/>
  <c r="M207" i="2"/>
  <c r="Q207" i="2" s="1"/>
  <c r="L207" i="2"/>
  <c r="X206" i="2"/>
  <c r="W206" i="2"/>
  <c r="V206" i="2"/>
  <c r="Z206" i="2" s="1"/>
  <c r="Z202" i="2"/>
  <c r="V202" i="2"/>
  <c r="AA202" i="2" s="1"/>
  <c r="AA201" i="2"/>
  <c r="Z201" i="2"/>
  <c r="V201" i="2"/>
  <c r="V200" i="2" s="1"/>
  <c r="Q201" i="2"/>
  <c r="M201" i="2"/>
  <c r="R201" i="2" s="1"/>
  <c r="Y200" i="2"/>
  <c r="X200" i="2"/>
  <c r="W200" i="2"/>
  <c r="U200" i="2"/>
  <c r="Q199" i="2"/>
  <c r="M199" i="2"/>
  <c r="R199" i="2" s="1"/>
  <c r="R198" i="2"/>
  <c r="Q198" i="2"/>
  <c r="M198" i="2"/>
  <c r="Z196" i="2"/>
  <c r="V196" i="2"/>
  <c r="AA196" i="2" s="1"/>
  <c r="M196" i="2"/>
  <c r="R196" i="2" s="1"/>
  <c r="AA194" i="2"/>
  <c r="Z194" i="2"/>
  <c r="V194" i="2"/>
  <c r="R194" i="2"/>
  <c r="M194" i="2"/>
  <c r="Q194" i="2" s="1"/>
  <c r="AA192" i="2"/>
  <c r="Z192" i="2"/>
  <c r="V192" i="2"/>
  <c r="M192" i="2"/>
  <c r="R192" i="2" s="1"/>
  <c r="Z191" i="2"/>
  <c r="V191" i="2"/>
  <c r="AA191" i="2" s="1"/>
  <c r="R191" i="2"/>
  <c r="Q191" i="2"/>
  <c r="M191" i="2"/>
  <c r="Z190" i="2"/>
  <c r="V190" i="2"/>
  <c r="AA190" i="2" s="1"/>
  <c r="M190" i="2"/>
  <c r="R190" i="2" s="1"/>
  <c r="Y188" i="2"/>
  <c r="X188" i="2"/>
  <c r="AA188" i="2" s="1"/>
  <c r="W188" i="2"/>
  <c r="Z188" i="2" s="1"/>
  <c r="V188" i="2"/>
  <c r="U188" i="2"/>
  <c r="R188" i="2"/>
  <c r="Q188" i="2"/>
  <c r="M188" i="2"/>
  <c r="U186" i="2"/>
  <c r="V186" i="2" s="1"/>
  <c r="R186" i="2"/>
  <c r="Q186" i="2"/>
  <c r="M186" i="2"/>
  <c r="L186" i="2"/>
  <c r="T210" i="2" s="1"/>
  <c r="L163" i="2"/>
  <c r="O159" i="2"/>
  <c r="S159" i="2" s="1"/>
  <c r="U159" i="2" s="1"/>
  <c r="N159" i="2"/>
  <c r="H159" i="2"/>
  <c r="F159" i="2"/>
  <c r="U158" i="2"/>
  <c r="V158" i="2" s="1"/>
  <c r="W158" i="2" s="1"/>
  <c r="S158" i="2"/>
  <c r="O158" i="2"/>
  <c r="H158" i="2"/>
  <c r="F158" i="2"/>
  <c r="N156" i="2"/>
  <c r="O156" i="2" s="1"/>
  <c r="S156" i="2" s="1"/>
  <c r="U156" i="2" s="1"/>
  <c r="H156" i="2"/>
  <c r="F156" i="2"/>
  <c r="O155" i="2"/>
  <c r="S155" i="2" s="1"/>
  <c r="U155" i="2" s="1"/>
  <c r="N155" i="2"/>
  <c r="H155" i="2"/>
  <c r="F155" i="2"/>
  <c r="S154" i="2"/>
  <c r="U154" i="2" s="1"/>
  <c r="O154" i="2"/>
  <c r="H154" i="2"/>
  <c r="F154" i="2"/>
  <c r="O151" i="2"/>
  <c r="S151" i="2" s="1"/>
  <c r="U151" i="2" s="1"/>
  <c r="H151" i="2"/>
  <c r="F151" i="2"/>
  <c r="O150" i="2"/>
  <c r="S150" i="2" s="1"/>
  <c r="U150" i="2" s="1"/>
  <c r="H150" i="2"/>
  <c r="F150" i="2"/>
  <c r="O149" i="2"/>
  <c r="S149" i="2" s="1"/>
  <c r="U149" i="2" s="1"/>
  <c r="H149" i="2"/>
  <c r="F149" i="2"/>
  <c r="O148" i="2"/>
  <c r="S148" i="2" s="1"/>
  <c r="U148" i="2" s="1"/>
  <c r="H148" i="2"/>
  <c r="F148" i="2"/>
  <c r="F146" i="2"/>
  <c r="N144" i="2"/>
  <c r="O144" i="2" s="1"/>
  <c r="S144" i="2" s="1"/>
  <c r="U144" i="2" s="1"/>
  <c r="H144" i="2"/>
  <c r="F144" i="2"/>
  <c r="O143" i="2"/>
  <c r="S143" i="2" s="1"/>
  <c r="U143" i="2" s="1"/>
  <c r="N143" i="2"/>
  <c r="H143" i="2"/>
  <c r="F143" i="2"/>
  <c r="N142" i="2"/>
  <c r="O142" i="2" s="1"/>
  <c r="S142" i="2" s="1"/>
  <c r="U142" i="2" s="1"/>
  <c r="H142" i="2"/>
  <c r="F142" i="2"/>
  <c r="O141" i="2"/>
  <c r="S141" i="2" s="1"/>
  <c r="U141" i="2" s="1"/>
  <c r="N141" i="2"/>
  <c r="H141" i="2"/>
  <c r="F141" i="2"/>
  <c r="N140" i="2"/>
  <c r="O140" i="2" s="1"/>
  <c r="S140" i="2" s="1"/>
  <c r="U140" i="2" s="1"/>
  <c r="H140" i="2"/>
  <c r="F140" i="2"/>
  <c r="N139" i="2"/>
  <c r="O139" i="2" s="1"/>
  <c r="S139" i="2" s="1"/>
  <c r="U139" i="2" s="1"/>
  <c r="H139" i="2"/>
  <c r="F139" i="2"/>
  <c r="O138" i="2"/>
  <c r="N138" i="2"/>
  <c r="H138" i="2"/>
  <c r="F138" i="2"/>
  <c r="S137" i="2"/>
  <c r="U137" i="2" s="1"/>
  <c r="O137" i="2"/>
  <c r="N137" i="2"/>
  <c r="H137" i="2"/>
  <c r="F137" i="2"/>
  <c r="F135" i="2"/>
  <c r="AC134" i="2"/>
  <c r="F134" i="2"/>
  <c r="O132" i="2"/>
  <c r="S132" i="2" s="1"/>
  <c r="U132" i="2" s="1"/>
  <c r="N132" i="2"/>
  <c r="H132" i="2"/>
  <c r="F132" i="2"/>
  <c r="N131" i="2"/>
  <c r="O131" i="2" s="1"/>
  <c r="S131" i="2" s="1"/>
  <c r="U131" i="2" s="1"/>
  <c r="H131" i="2"/>
  <c r="F131" i="2"/>
  <c r="O130" i="2"/>
  <c r="S130" i="2" s="1"/>
  <c r="U130" i="2" s="1"/>
  <c r="H130" i="2"/>
  <c r="F130" i="2"/>
  <c r="L128" i="2"/>
  <c r="U127" i="2"/>
  <c r="V127" i="2" s="1"/>
  <c r="W127" i="2" s="1"/>
  <c r="S127" i="2"/>
  <c r="O127" i="2"/>
  <c r="H127" i="2"/>
  <c r="F127" i="2"/>
  <c r="AF146" i="2" s="1"/>
  <c r="U126" i="2"/>
  <c r="V126" i="2" s="1"/>
  <c r="W126" i="2" s="1"/>
  <c r="S126" i="2"/>
  <c r="O126" i="2"/>
  <c r="H126" i="2"/>
  <c r="F126" i="2"/>
  <c r="U125" i="2"/>
  <c r="V125" i="2" s="1"/>
  <c r="W125" i="2" s="1"/>
  <c r="S125" i="2"/>
  <c r="O125" i="2"/>
  <c r="H125" i="2"/>
  <c r="F125" i="2"/>
  <c r="U124" i="2"/>
  <c r="V124" i="2" s="1"/>
  <c r="W124" i="2" s="1"/>
  <c r="S124" i="2"/>
  <c r="O124" i="2"/>
  <c r="H124" i="2"/>
  <c r="F124" i="2"/>
  <c r="U123" i="2"/>
  <c r="V123" i="2" s="1"/>
  <c r="W123" i="2" s="1"/>
  <c r="S123" i="2"/>
  <c r="O123" i="2"/>
  <c r="H123" i="2"/>
  <c r="F123" i="2"/>
  <c r="U122" i="2"/>
  <c r="V122" i="2" s="1"/>
  <c r="W122" i="2" s="1"/>
  <c r="S122" i="2"/>
  <c r="O122" i="2"/>
  <c r="H122" i="2"/>
  <c r="F122" i="2"/>
  <c r="T135" i="2" s="1"/>
  <c r="O135" i="2" s="1"/>
  <c r="S135" i="2" s="1"/>
  <c r="U135" i="2" s="1"/>
  <c r="V135" i="2" s="1"/>
  <c r="W135" i="2" s="1"/>
  <c r="N120" i="2"/>
  <c r="O120" i="2" s="1"/>
  <c r="S120" i="2" s="1"/>
  <c r="U120" i="2" s="1"/>
  <c r="H120" i="2"/>
  <c r="F120" i="2"/>
  <c r="N119" i="2"/>
  <c r="O119" i="2" s="1"/>
  <c r="S119" i="2" s="1"/>
  <c r="U119" i="2" s="1"/>
  <c r="H119" i="2"/>
  <c r="F119" i="2"/>
  <c r="O118" i="2"/>
  <c r="S118" i="2" s="1"/>
  <c r="U118" i="2" s="1"/>
  <c r="N118" i="2"/>
  <c r="H118" i="2"/>
  <c r="F118" i="2"/>
  <c r="H117" i="2"/>
  <c r="F117" i="2"/>
  <c r="L115" i="2"/>
  <c r="U114" i="2"/>
  <c r="V114" i="2" s="1"/>
  <c r="W114" i="2" s="1"/>
  <c r="T114" i="2"/>
  <c r="S114" i="2"/>
  <c r="O114" i="2"/>
  <c r="H114" i="2"/>
  <c r="F114" i="2"/>
  <c r="U113" i="2"/>
  <c r="V113" i="2" s="1"/>
  <c r="W113" i="2" s="1"/>
  <c r="T113" i="2"/>
  <c r="S113" i="2"/>
  <c r="O113" i="2"/>
  <c r="H113" i="2"/>
  <c r="F113" i="2"/>
  <c r="U112" i="2"/>
  <c r="V112" i="2" s="1"/>
  <c r="W112" i="2" s="1"/>
  <c r="T112" i="2"/>
  <c r="S112" i="2"/>
  <c r="O112" i="2"/>
  <c r="H112" i="2"/>
  <c r="F112" i="2"/>
  <c r="U111" i="2"/>
  <c r="V111" i="2" s="1"/>
  <c r="W111" i="2" s="1"/>
  <c r="T111" i="2"/>
  <c r="S111" i="2"/>
  <c r="O111" i="2"/>
  <c r="H111" i="2"/>
  <c r="F111" i="2"/>
  <c r="N109" i="2"/>
  <c r="O109" i="2" s="1"/>
  <c r="S109" i="2" s="1"/>
  <c r="U109" i="2" s="1"/>
  <c r="H109" i="2"/>
  <c r="F109" i="2"/>
  <c r="O107" i="2"/>
  <c r="S107" i="2" s="1"/>
  <c r="U107" i="2" s="1"/>
  <c r="F107" i="2"/>
  <c r="O106" i="2"/>
  <c r="S106" i="2" s="1"/>
  <c r="U106" i="2" s="1"/>
  <c r="H106" i="2"/>
  <c r="F106" i="2"/>
  <c r="O105" i="2"/>
  <c r="S105" i="2" s="1"/>
  <c r="U105" i="2" s="1"/>
  <c r="H105" i="2"/>
  <c r="F105" i="2"/>
  <c r="O103" i="2"/>
  <c r="S103" i="2" s="1"/>
  <c r="U103" i="2" s="1"/>
  <c r="F103" i="2"/>
  <c r="S102" i="2"/>
  <c r="U102" i="2" s="1"/>
  <c r="O102" i="2"/>
  <c r="F102" i="2"/>
  <c r="O101" i="2"/>
  <c r="S101" i="2" s="1"/>
  <c r="U101" i="2" s="1"/>
  <c r="F101" i="2"/>
  <c r="O100" i="2"/>
  <c r="S100" i="2" s="1"/>
  <c r="U100" i="2" s="1"/>
  <c r="T100" i="2" s="1"/>
  <c r="F100" i="2"/>
  <c r="O99" i="2"/>
  <c r="S99" i="2" s="1"/>
  <c r="U99" i="2" s="1"/>
  <c r="F99" i="2"/>
  <c r="U98" i="2"/>
  <c r="V98" i="2" s="1"/>
  <c r="W98" i="2" s="1"/>
  <c r="O98" i="2"/>
  <c r="S98" i="2" s="1"/>
  <c r="F98" i="2"/>
  <c r="L97" i="2"/>
  <c r="O96" i="2"/>
  <c r="S96" i="2" s="1"/>
  <c r="U96" i="2" s="1"/>
  <c r="H96" i="2"/>
  <c r="F96" i="2"/>
  <c r="U95" i="2"/>
  <c r="V95" i="2" s="1"/>
  <c r="W95" i="2" s="1"/>
  <c r="T95" i="2"/>
  <c r="O95" i="2"/>
  <c r="S95" i="2" s="1"/>
  <c r="H95" i="2"/>
  <c r="F95" i="2"/>
  <c r="U94" i="2"/>
  <c r="V94" i="2" s="1"/>
  <c r="W94" i="2" s="1"/>
  <c r="O94" i="2"/>
  <c r="S94" i="2" s="1"/>
  <c r="H94" i="2"/>
  <c r="F94" i="2"/>
  <c r="O93" i="2"/>
  <c r="S93" i="2" s="1"/>
  <c r="U93" i="2" s="1"/>
  <c r="H93" i="2"/>
  <c r="F93" i="2"/>
  <c r="N91" i="2"/>
  <c r="O91" i="2" s="1"/>
  <c r="S91" i="2" s="1"/>
  <c r="U91" i="2" s="1"/>
  <c r="F91" i="2"/>
  <c r="N90" i="2"/>
  <c r="O90" i="2" s="1"/>
  <c r="S90" i="2" s="1"/>
  <c r="U90" i="2" s="1"/>
  <c r="F90" i="2"/>
  <c r="O89" i="2"/>
  <c r="S89" i="2" s="1"/>
  <c r="U89" i="2" s="1"/>
  <c r="F89" i="2"/>
  <c r="S88" i="2"/>
  <c r="U88" i="2" s="1"/>
  <c r="V88" i="2" s="1"/>
  <c r="W88" i="2" s="1"/>
  <c r="O88" i="2"/>
  <c r="F88" i="2"/>
  <c r="O86" i="2"/>
  <c r="S86" i="2" s="1"/>
  <c r="U86" i="2" s="1"/>
  <c r="H86" i="2"/>
  <c r="F86" i="2"/>
  <c r="L85" i="2"/>
  <c r="T84" i="2"/>
  <c r="S84" i="2"/>
  <c r="U84" i="2" s="1"/>
  <c r="V84" i="2" s="1"/>
  <c r="W84" i="2" s="1"/>
  <c r="O84" i="2"/>
  <c r="H84" i="2"/>
  <c r="F84" i="2"/>
  <c r="S83" i="2"/>
  <c r="U83" i="2" s="1"/>
  <c r="V83" i="2" s="1"/>
  <c r="W83" i="2" s="1"/>
  <c r="O83" i="2"/>
  <c r="H83" i="2"/>
  <c r="F83" i="2"/>
  <c r="F81" i="2"/>
  <c r="O80" i="2"/>
  <c r="S80" i="2" s="1"/>
  <c r="U80" i="2" s="1"/>
  <c r="V80" i="2" s="1"/>
  <c r="W80" i="2" s="1"/>
  <c r="F80" i="2"/>
  <c r="U78" i="2"/>
  <c r="V78" i="2" s="1"/>
  <c r="W78" i="2" s="1"/>
  <c r="T78" i="2"/>
  <c r="O78" i="2"/>
  <c r="S78" i="2" s="1"/>
  <c r="H78" i="2"/>
  <c r="F78" i="2"/>
  <c r="V77" i="2"/>
  <c r="W77" i="2" s="1"/>
  <c r="U77" i="2"/>
  <c r="T77" i="2" s="1"/>
  <c r="O77" i="2"/>
  <c r="S77" i="2" s="1"/>
  <c r="H77" i="2"/>
  <c r="F77" i="2"/>
  <c r="U75" i="2"/>
  <c r="V75" i="2" s="1"/>
  <c r="W75" i="2" s="1"/>
  <c r="T75" i="2"/>
  <c r="T74" i="2" s="1"/>
  <c r="O74" i="2" s="1"/>
  <c r="S74" i="2" s="1"/>
  <c r="U74" i="2" s="1"/>
  <c r="V74" i="2" s="1"/>
  <c r="W74" i="2" s="1"/>
  <c r="O75" i="2"/>
  <c r="S75" i="2" s="1"/>
  <c r="H75" i="2"/>
  <c r="F75" i="2"/>
  <c r="F74" i="2"/>
  <c r="N72" i="2"/>
  <c r="O72" i="2" s="1"/>
  <c r="S72" i="2" s="1"/>
  <c r="U72" i="2" s="1"/>
  <c r="F72" i="2"/>
  <c r="S71" i="2"/>
  <c r="U71" i="2" s="1"/>
  <c r="N71" i="2"/>
  <c r="O71" i="2" s="1"/>
  <c r="T80" i="2" s="1"/>
  <c r="H71" i="2"/>
  <c r="F71" i="2"/>
  <c r="O70" i="2"/>
  <c r="S70" i="2" s="1"/>
  <c r="U70" i="2" s="1"/>
  <c r="N70" i="2"/>
  <c r="H70" i="2"/>
  <c r="F70" i="2"/>
  <c r="O69" i="2"/>
  <c r="S69" i="2" s="1"/>
  <c r="U69" i="2" s="1"/>
  <c r="N69" i="2"/>
  <c r="H69" i="2"/>
  <c r="F69" i="2"/>
  <c r="N68" i="2"/>
  <c r="O68" i="2" s="1"/>
  <c r="S68" i="2" s="1"/>
  <c r="U68" i="2" s="1"/>
  <c r="H68" i="2"/>
  <c r="F68" i="2"/>
  <c r="N67" i="2"/>
  <c r="O67" i="2" s="1"/>
  <c r="S67" i="2" s="1"/>
  <c r="U67" i="2" s="1"/>
  <c r="H67" i="2"/>
  <c r="F67" i="2"/>
  <c r="L65" i="2"/>
  <c r="O64" i="2"/>
  <c r="S64" i="2" s="1"/>
  <c r="U64" i="2" s="1"/>
  <c r="H64" i="2"/>
  <c r="F64" i="2"/>
  <c r="O63" i="2"/>
  <c r="S63" i="2" s="1"/>
  <c r="U63" i="2" s="1"/>
  <c r="H63" i="2"/>
  <c r="F63" i="2"/>
  <c r="S62" i="2"/>
  <c r="U62" i="2" s="1"/>
  <c r="O62" i="2"/>
  <c r="H62" i="2"/>
  <c r="F62" i="2"/>
  <c r="O61" i="2"/>
  <c r="S61" i="2" s="1"/>
  <c r="U61" i="2" s="1"/>
  <c r="H61" i="2"/>
  <c r="F61" i="2"/>
  <c r="O60" i="2"/>
  <c r="S60" i="2" s="1"/>
  <c r="U60" i="2" s="1"/>
  <c r="H60" i="2"/>
  <c r="F60" i="2"/>
  <c r="U59" i="2"/>
  <c r="V59" i="2" s="1"/>
  <c r="W59" i="2" s="1"/>
  <c r="T59" i="2"/>
  <c r="S59" i="2"/>
  <c r="O59" i="2"/>
  <c r="H59" i="2"/>
  <c r="F59" i="2"/>
  <c r="S58" i="2"/>
  <c r="U58" i="2" s="1"/>
  <c r="O58" i="2"/>
  <c r="H58" i="2"/>
  <c r="F58" i="2"/>
  <c r="O56" i="2"/>
  <c r="S56" i="2" s="1"/>
  <c r="U56" i="2" s="1"/>
  <c r="H56" i="2"/>
  <c r="F56" i="2"/>
  <c r="O55" i="2"/>
  <c r="S55" i="2" s="1"/>
  <c r="U55" i="2" s="1"/>
  <c r="H55" i="2"/>
  <c r="F55" i="2"/>
  <c r="F53" i="2"/>
  <c r="O51" i="2"/>
  <c r="S51" i="2" s="1"/>
  <c r="U51" i="2" s="1"/>
  <c r="N51" i="2"/>
  <c r="H51" i="2"/>
  <c r="F51" i="2"/>
  <c r="W50" i="2"/>
  <c r="U50" i="2"/>
  <c r="V50" i="2" s="1"/>
  <c r="S50" i="2"/>
  <c r="H50" i="2"/>
  <c r="F50" i="2"/>
  <c r="V49" i="2"/>
  <c r="W49" i="2" s="1"/>
  <c r="T49" i="2"/>
  <c r="S49" i="2"/>
  <c r="U49" i="2" s="1"/>
  <c r="H49" i="2"/>
  <c r="F49" i="2"/>
  <c r="S48" i="2"/>
  <c r="U48" i="2" s="1"/>
  <c r="H48" i="2"/>
  <c r="F48" i="2"/>
  <c r="L47" i="2"/>
  <c r="O46" i="2"/>
  <c r="S46" i="2" s="1"/>
  <c r="U46" i="2" s="1"/>
  <c r="H46" i="2"/>
  <c r="F46" i="2"/>
  <c r="O45" i="2"/>
  <c r="S45" i="2" s="1"/>
  <c r="U45" i="2" s="1"/>
  <c r="H45" i="2"/>
  <c r="F45" i="2"/>
  <c r="S44" i="2"/>
  <c r="U44" i="2" s="1"/>
  <c r="O44" i="2"/>
  <c r="H44" i="2"/>
  <c r="F44" i="2"/>
  <c r="O43" i="2"/>
  <c r="S43" i="2" s="1"/>
  <c r="U43" i="2" s="1"/>
  <c r="H43" i="2"/>
  <c r="F43" i="2"/>
  <c r="O42" i="2"/>
  <c r="S42" i="2" s="1"/>
  <c r="U42" i="2" s="1"/>
  <c r="H42" i="2"/>
  <c r="F42" i="2"/>
  <c r="U41" i="2"/>
  <c r="V41" i="2" s="1"/>
  <c r="W41" i="2" s="1"/>
  <c r="T41" i="2"/>
  <c r="S41" i="2"/>
  <c r="O41" i="2"/>
  <c r="H41" i="2"/>
  <c r="F41" i="2"/>
  <c r="S40" i="2"/>
  <c r="U40" i="2" s="1"/>
  <c r="O40" i="2"/>
  <c r="H40" i="2"/>
  <c r="F40" i="2"/>
  <c r="O39" i="2"/>
  <c r="S39" i="2" s="1"/>
  <c r="U39" i="2" s="1"/>
  <c r="H39" i="2"/>
  <c r="F39" i="2"/>
  <c r="O38" i="2"/>
  <c r="S38" i="2" s="1"/>
  <c r="U38" i="2" s="1"/>
  <c r="H38" i="2"/>
  <c r="F38" i="2"/>
  <c r="O37" i="2"/>
  <c r="S37" i="2" s="1"/>
  <c r="U37" i="2" s="1"/>
  <c r="H37" i="2"/>
  <c r="F37" i="2"/>
  <c r="S36" i="2"/>
  <c r="U36" i="2" s="1"/>
  <c r="O36" i="2"/>
  <c r="H36" i="2"/>
  <c r="F36" i="2"/>
  <c r="O35" i="2"/>
  <c r="S35" i="2" s="1"/>
  <c r="U35" i="2" s="1"/>
  <c r="H35" i="2"/>
  <c r="F35" i="2"/>
  <c r="O34" i="2"/>
  <c r="S34" i="2" s="1"/>
  <c r="U34" i="2" s="1"/>
  <c r="H34" i="2"/>
  <c r="F34" i="2"/>
  <c r="U33" i="2"/>
  <c r="V33" i="2" s="1"/>
  <c r="W33" i="2" s="1"/>
  <c r="T33" i="2"/>
  <c r="S33" i="2"/>
  <c r="O33" i="2"/>
  <c r="H33" i="2"/>
  <c r="F33" i="2"/>
  <c r="U31" i="2"/>
  <c r="V31" i="2" s="1"/>
  <c r="W31" i="2" s="1"/>
  <c r="T31" i="2"/>
  <c r="S31" i="2"/>
  <c r="O31" i="2"/>
  <c r="H31" i="2"/>
  <c r="F31" i="2"/>
  <c r="H30" i="2"/>
  <c r="F30" i="2"/>
  <c r="O28" i="2"/>
  <c r="M30" i="2" s="1"/>
  <c r="L28" i="2"/>
  <c r="O27" i="2"/>
  <c r="S27" i="2" s="1"/>
  <c r="U27" i="2" s="1"/>
  <c r="H27" i="2"/>
  <c r="F27" i="2"/>
  <c r="O26" i="2"/>
  <c r="S26" i="2" s="1"/>
  <c r="U26" i="2" s="1"/>
  <c r="H26" i="2"/>
  <c r="F26" i="2"/>
  <c r="O25" i="2"/>
  <c r="S25" i="2" s="1"/>
  <c r="U25" i="2" s="1"/>
  <c r="H25" i="2"/>
  <c r="F25" i="2"/>
  <c r="O24" i="2"/>
  <c r="S24" i="2" s="1"/>
  <c r="U24" i="2" s="1"/>
  <c r="H24" i="2"/>
  <c r="F24" i="2"/>
  <c r="O23" i="2"/>
  <c r="S23" i="2" s="1"/>
  <c r="U23" i="2" s="1"/>
  <c r="H23" i="2"/>
  <c r="F23" i="2"/>
  <c r="O22" i="2"/>
  <c r="S22" i="2" s="1"/>
  <c r="U22" i="2" s="1"/>
  <c r="H22" i="2"/>
  <c r="F22" i="2"/>
  <c r="O21" i="2"/>
  <c r="S21" i="2" s="1"/>
  <c r="U21" i="2" s="1"/>
  <c r="H21" i="2"/>
  <c r="F21" i="2"/>
  <c r="O20" i="2"/>
  <c r="S20" i="2" s="1"/>
  <c r="U20" i="2" s="1"/>
  <c r="H20" i="2"/>
  <c r="F20" i="2"/>
  <c r="O19" i="2"/>
  <c r="S19" i="2" s="1"/>
  <c r="U19" i="2" s="1"/>
  <c r="H19" i="2"/>
  <c r="F19" i="2"/>
  <c r="O18" i="2"/>
  <c r="S18" i="2" s="1"/>
  <c r="U18" i="2" s="1"/>
  <c r="H18" i="2"/>
  <c r="F18" i="2"/>
  <c r="O17" i="2"/>
  <c r="S17" i="2" s="1"/>
  <c r="U17" i="2" s="1"/>
  <c r="H17" i="2"/>
  <c r="F17" i="2"/>
  <c r="O16" i="2"/>
  <c r="S16" i="2" s="1"/>
  <c r="U16" i="2" s="1"/>
  <c r="H16" i="2"/>
  <c r="F16" i="2"/>
  <c r="O15" i="2"/>
  <c r="S15" i="2" s="1"/>
  <c r="U15" i="2" s="1"/>
  <c r="H15" i="2"/>
  <c r="F15" i="2"/>
  <c r="O14" i="2"/>
  <c r="S14" i="2" s="1"/>
  <c r="U14" i="2" s="1"/>
  <c r="H14" i="2"/>
  <c r="F14" i="2"/>
  <c r="O13" i="2"/>
  <c r="S13" i="2" s="1"/>
  <c r="U13" i="2" s="1"/>
  <c r="H13" i="2"/>
  <c r="F13" i="2"/>
  <c r="O12" i="2"/>
  <c r="S12" i="2" s="1"/>
  <c r="U12" i="2" s="1"/>
  <c r="H12" i="2"/>
  <c r="F12" i="2"/>
  <c r="O11" i="2"/>
  <c r="S11" i="2" s="1"/>
  <c r="U11" i="2" s="1"/>
  <c r="H11" i="2"/>
  <c r="F11" i="2"/>
  <c r="O10" i="2"/>
  <c r="S10" i="2" s="1"/>
  <c r="U10" i="2" s="1"/>
  <c r="H10" i="2"/>
  <c r="F10" i="2"/>
  <c r="L8" i="2"/>
  <c r="S7" i="2"/>
  <c r="U7" i="2" s="1"/>
  <c r="O7" i="2"/>
  <c r="H7" i="2"/>
  <c r="F7" i="2"/>
  <c r="S6" i="2"/>
  <c r="U6" i="2" s="1"/>
  <c r="O6" i="2"/>
  <c r="H6" i="2"/>
  <c r="F6" i="2"/>
  <c r="S5" i="2"/>
  <c r="U5" i="2" s="1"/>
  <c r="O5" i="2"/>
  <c r="H5" i="2"/>
  <c r="F5" i="2"/>
  <c r="S4" i="2"/>
  <c r="U4" i="2" s="1"/>
  <c r="O4" i="2"/>
  <c r="O8" i="2" s="1"/>
  <c r="H4" i="2"/>
  <c r="F4" i="2"/>
  <c r="V34" i="2" l="1"/>
  <c r="W34" i="2" s="1"/>
  <c r="W47" i="2" s="1"/>
  <c r="T34" i="2"/>
  <c r="V43" i="2"/>
  <c r="W43" i="2" s="1"/>
  <c r="T43" i="2"/>
  <c r="V71" i="2"/>
  <c r="W71" i="2" s="1"/>
  <c r="T71" i="2"/>
  <c r="V23" i="2"/>
  <c r="W23" i="2" s="1"/>
  <c r="T23" i="2"/>
  <c r="V90" i="2"/>
  <c r="W90" i="2" s="1"/>
  <c r="T90" i="2"/>
  <c r="V6" i="2"/>
  <c r="W6" i="2" s="1"/>
  <c r="T6" i="2"/>
  <c r="V26" i="2"/>
  <c r="W26" i="2" s="1"/>
  <c r="T26" i="2"/>
  <c r="V63" i="2"/>
  <c r="W63" i="2" s="1"/>
  <c r="T63" i="2"/>
  <c r="V72" i="2"/>
  <c r="W72" i="2" s="1"/>
  <c r="T72" i="2"/>
  <c r="T86" i="2"/>
  <c r="V86" i="2"/>
  <c r="W86" i="2" s="1"/>
  <c r="V96" i="2"/>
  <c r="W96" i="2" s="1"/>
  <c r="T96" i="2"/>
  <c r="V13" i="2"/>
  <c r="W13" i="2" s="1"/>
  <c r="T13" i="2"/>
  <c r="V21" i="2"/>
  <c r="W21" i="2" s="1"/>
  <c r="T21" i="2"/>
  <c r="V35" i="2"/>
  <c r="W35" i="2" s="1"/>
  <c r="T35" i="2"/>
  <c r="V56" i="2"/>
  <c r="W56" i="2" s="1"/>
  <c r="T56" i="2"/>
  <c r="V61" i="2"/>
  <c r="W61" i="2" s="1"/>
  <c r="T61" i="2"/>
  <c r="V91" i="2"/>
  <c r="W91" i="2" s="1"/>
  <c r="T91" i="2"/>
  <c r="V20" i="2"/>
  <c r="W20" i="2" s="1"/>
  <c r="T20" i="2"/>
  <c r="T69" i="2"/>
  <c r="V69" i="2"/>
  <c r="W69" i="2" s="1"/>
  <c r="V15" i="2"/>
  <c r="W15" i="2" s="1"/>
  <c r="T15" i="2"/>
  <c r="V18" i="2"/>
  <c r="W18" i="2" s="1"/>
  <c r="T18" i="2"/>
  <c r="V44" i="2"/>
  <c r="W44" i="2" s="1"/>
  <c r="T44" i="2"/>
  <c r="V68" i="2"/>
  <c r="W68" i="2" s="1"/>
  <c r="T68" i="2"/>
  <c r="V27" i="2"/>
  <c r="W27" i="2" s="1"/>
  <c r="T27" i="2"/>
  <c r="V38" i="2"/>
  <c r="W38" i="2" s="1"/>
  <c r="T38" i="2"/>
  <c r="V42" i="2"/>
  <c r="W42" i="2" s="1"/>
  <c r="T42" i="2"/>
  <c r="V64" i="2"/>
  <c r="W64" i="2" s="1"/>
  <c r="T64" i="2"/>
  <c r="V39" i="2"/>
  <c r="W39" i="2" s="1"/>
  <c r="T39" i="2"/>
  <c r="V60" i="2"/>
  <c r="W60" i="2" s="1"/>
  <c r="T60" i="2"/>
  <c r="V67" i="2"/>
  <c r="W67" i="2" s="1"/>
  <c r="T67" i="2"/>
  <c r="V10" i="2"/>
  <c r="W10" i="2" s="1"/>
  <c r="T10" i="2"/>
  <c r="V37" i="2"/>
  <c r="W37" i="2" s="1"/>
  <c r="T37" i="2"/>
  <c r="V24" i="2"/>
  <c r="W24" i="2" s="1"/>
  <c r="T24" i="2"/>
  <c r="V51" i="2"/>
  <c r="W51" i="2" s="1"/>
  <c r="T51" i="2"/>
  <c r="V11" i="2"/>
  <c r="W11" i="2" s="1"/>
  <c r="T11" i="2"/>
  <c r="V19" i="2"/>
  <c r="W19" i="2" s="1"/>
  <c r="T19" i="2"/>
  <c r="T5" i="2"/>
  <c r="V5" i="2"/>
  <c r="W5" i="2" s="1"/>
  <c r="T7" i="2"/>
  <c r="V7" i="2"/>
  <c r="W7" i="2" s="1"/>
  <c r="V14" i="2"/>
  <c r="W14" i="2" s="1"/>
  <c r="T14" i="2"/>
  <c r="V22" i="2"/>
  <c r="W22" i="2" s="1"/>
  <c r="T22" i="2"/>
  <c r="T48" i="2"/>
  <c r="V48" i="2"/>
  <c r="W48" i="2" s="1"/>
  <c r="V93" i="2"/>
  <c r="W93" i="2" s="1"/>
  <c r="T93" i="2"/>
  <c r="V12" i="2"/>
  <c r="W12" i="2" s="1"/>
  <c r="T12" i="2"/>
  <c r="V55" i="2"/>
  <c r="W55" i="2" s="1"/>
  <c r="T55" i="2"/>
  <c r="T99" i="2"/>
  <c r="V99" i="2"/>
  <c r="W99" i="2" s="1"/>
  <c r="T4" i="2"/>
  <c r="V4" i="2"/>
  <c r="W4" i="2" s="1"/>
  <c r="V46" i="2"/>
  <c r="W46" i="2" s="1"/>
  <c r="T46" i="2"/>
  <c r="V16" i="2"/>
  <c r="W16" i="2" s="1"/>
  <c r="T16" i="2"/>
  <c r="V40" i="2"/>
  <c r="W40" i="2" s="1"/>
  <c r="T40" i="2"/>
  <c r="V70" i="2"/>
  <c r="W70" i="2" s="1"/>
  <c r="T70" i="2"/>
  <c r="V17" i="2"/>
  <c r="W17" i="2" s="1"/>
  <c r="T17" i="2"/>
  <c r="V25" i="2"/>
  <c r="W25" i="2" s="1"/>
  <c r="T25" i="2"/>
  <c r="L164" i="2"/>
  <c r="O30" i="2"/>
  <c r="S30" i="2" s="1"/>
  <c r="U30" i="2" s="1"/>
  <c r="V36" i="2"/>
  <c r="W36" i="2" s="1"/>
  <c r="T36" i="2"/>
  <c r="V45" i="2"/>
  <c r="W45" i="2" s="1"/>
  <c r="T45" i="2"/>
  <c r="V58" i="2"/>
  <c r="W58" i="2" s="1"/>
  <c r="L177" i="2" s="1"/>
  <c r="T58" i="2"/>
  <c r="V62" i="2"/>
  <c r="W62" i="2" s="1"/>
  <c r="T62" i="2"/>
  <c r="L178" i="2"/>
  <c r="V89" i="2"/>
  <c r="W89" i="2" s="1"/>
  <c r="T89" i="2"/>
  <c r="V156" i="2"/>
  <c r="W156" i="2" s="1"/>
  <c r="T156" i="2"/>
  <c r="V101" i="2"/>
  <c r="W101" i="2" s="1"/>
  <c r="T101" i="2"/>
  <c r="V118" i="2"/>
  <c r="W118" i="2" s="1"/>
  <c r="T118" i="2"/>
  <c r="T117" i="2" s="1"/>
  <c r="O117" i="2" s="1"/>
  <c r="S117" i="2" s="1"/>
  <c r="U117" i="2" s="1"/>
  <c r="V117" i="2" s="1"/>
  <c r="W117" i="2" s="1"/>
  <c r="V142" i="2"/>
  <c r="W142" i="2" s="1"/>
  <c r="T142" i="2"/>
  <c r="V159" i="2"/>
  <c r="W159" i="2" s="1"/>
  <c r="T159" i="2"/>
  <c r="T88" i="2"/>
  <c r="T105" i="2"/>
  <c r="V105" i="2"/>
  <c r="W105" i="2" s="1"/>
  <c r="T109" i="2"/>
  <c r="V109" i="2"/>
  <c r="W109" i="2" s="1"/>
  <c r="L173" i="2" s="1"/>
  <c r="V140" i="2"/>
  <c r="W140" i="2" s="1"/>
  <c r="T140" i="2"/>
  <c r="V150" i="2"/>
  <c r="W150" i="2" s="1"/>
  <c r="T150" i="2"/>
  <c r="V130" i="2"/>
  <c r="W130" i="2" s="1"/>
  <c r="T130" i="2"/>
  <c r="V154" i="2"/>
  <c r="W154" i="2" s="1"/>
  <c r="T154" i="2"/>
  <c r="T83" i="2"/>
  <c r="T146" i="2"/>
  <c r="O146" i="2" s="1"/>
  <c r="S146" i="2" s="1"/>
  <c r="U146" i="2" s="1"/>
  <c r="V146" i="2" s="1"/>
  <c r="W146" i="2" s="1"/>
  <c r="T132" i="2"/>
  <c r="V132" i="2"/>
  <c r="W132" i="2" s="1"/>
  <c r="V119" i="2"/>
  <c r="W119" i="2" s="1"/>
  <c r="T119" i="2"/>
  <c r="V131" i="2"/>
  <c r="W131" i="2" s="1"/>
  <c r="T131" i="2"/>
  <c r="AE146" i="2"/>
  <c r="AE147" i="2" s="1"/>
  <c r="V148" i="2"/>
  <c r="W148" i="2" s="1"/>
  <c r="T148" i="2"/>
  <c r="E164" i="2"/>
  <c r="V102" i="2"/>
  <c r="W102" i="2" s="1"/>
  <c r="T102" i="2"/>
  <c r="T106" i="2"/>
  <c r="V106" i="2"/>
  <c r="W106" i="2" s="1"/>
  <c r="T143" i="2"/>
  <c r="V143" i="2"/>
  <c r="W143" i="2" s="1"/>
  <c r="V151" i="2"/>
  <c r="W151" i="2" s="1"/>
  <c r="T151" i="2"/>
  <c r="V155" i="2"/>
  <c r="W155" i="2" s="1"/>
  <c r="T155" i="2"/>
  <c r="V137" i="2"/>
  <c r="W137" i="2" s="1"/>
  <c r="T137" i="2"/>
  <c r="T53" i="2"/>
  <c r="O53" i="2" s="1"/>
  <c r="S53" i="2" s="1"/>
  <c r="U53" i="2" s="1"/>
  <c r="V53" i="2" s="1"/>
  <c r="W53" i="2" s="1"/>
  <c r="E163" i="2"/>
  <c r="O47" i="2"/>
  <c r="T50" i="2"/>
  <c r="T81" i="2"/>
  <c r="O81" i="2" s="1"/>
  <c r="S81" i="2" s="1"/>
  <c r="U81" i="2" s="1"/>
  <c r="V81" i="2" s="1"/>
  <c r="W81" i="2" s="1"/>
  <c r="T98" i="2"/>
  <c r="V100" i="2"/>
  <c r="W100" i="2" s="1"/>
  <c r="V141" i="2"/>
  <c r="W141" i="2" s="1"/>
  <c r="T141" i="2"/>
  <c r="T144" i="2"/>
  <c r="V144" i="2"/>
  <c r="W144" i="2" s="1"/>
  <c r="O65" i="2"/>
  <c r="T94" i="2"/>
  <c r="T103" i="2"/>
  <c r="V103" i="2"/>
  <c r="W103" i="2" s="1"/>
  <c r="T107" i="2"/>
  <c r="V107" i="2"/>
  <c r="W107" i="2" s="1"/>
  <c r="V120" i="2"/>
  <c r="W120" i="2" s="1"/>
  <c r="T120" i="2"/>
  <c r="V139" i="2"/>
  <c r="W139" i="2" s="1"/>
  <c r="T139" i="2"/>
  <c r="V149" i="2"/>
  <c r="W149" i="2" s="1"/>
  <c r="T149" i="2"/>
  <c r="AA186" i="2"/>
  <c r="Z186" i="2"/>
  <c r="AA200" i="2"/>
  <c r="Z200" i="2"/>
  <c r="S138" i="2"/>
  <c r="U138" i="2" s="1"/>
  <c r="AA206" i="2"/>
  <c r="Q190" i="2"/>
  <c r="Q196" i="2"/>
  <c r="Z208" i="2"/>
  <c r="AD134" i="2"/>
  <c r="AE134" i="2" s="1"/>
  <c r="T122" i="2"/>
  <c r="T123" i="2"/>
  <c r="T124" i="2"/>
  <c r="T125" i="2"/>
  <c r="T126" i="2"/>
  <c r="T127" i="2"/>
  <c r="T158" i="2"/>
  <c r="T134" i="2"/>
  <c r="O134" i="2" s="1"/>
  <c r="S134" i="2" s="1"/>
  <c r="U134" i="2" s="1"/>
  <c r="V134" i="2" s="1"/>
  <c r="W134" i="2" s="1"/>
  <c r="Q192" i="2"/>
  <c r="Q209" i="2"/>
  <c r="L176" i="2" l="1"/>
  <c r="L175" i="2"/>
  <c r="L174" i="2"/>
  <c r="W28" i="2"/>
  <c r="P173" i="2"/>
  <c r="O173" i="2"/>
  <c r="W8" i="2"/>
  <c r="P177" i="2"/>
  <c r="O177" i="2"/>
  <c r="P178" i="2"/>
  <c r="O178" i="2"/>
  <c r="L165" i="2"/>
  <c r="L166" i="2" s="1"/>
  <c r="V138" i="2"/>
  <c r="W138" i="2" s="1"/>
  <c r="T138" i="2"/>
  <c r="T30" i="2"/>
  <c r="V30" i="2"/>
  <c r="W30" i="2" s="1"/>
  <c r="W162" i="2" s="1"/>
  <c r="W163" i="2" s="1"/>
  <c r="P176" i="2" l="1"/>
  <c r="P181" i="2" s="1"/>
  <c r="O176" i="2"/>
  <c r="P174" i="2"/>
  <c r="L182" i="2"/>
  <c r="O174" i="2"/>
  <c r="P180" i="2" l="1"/>
  <c r="M182" i="2"/>
  <c r="O180" i="2"/>
  <c r="O181"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Windows User</author>
    <author>tc={6A6A3E2A-DD6E-45CE-B72C-58E03BDAB8FC}</author>
    <author>tc={A146F942-BCDB-490C-AD0A-672B39490823}</author>
    <author>tc={20615895-1608-4749-8542-1421025A50A5}</author>
    <author>tc={94DCD6B9-0D7A-4A10-B1B3-D82BC39DC65B}</author>
    <author>Ronne, Lea M (DFW)</author>
    <author>tc={5FEF1BA7-8D71-408F-BC26-7BD85825B195}</author>
    <author>tc={4E93D429-4090-421F-8150-F693CB3AFBD6}</author>
    <author>tc={09C8D093-B0B9-4388-9C20-CFFEE0D12614}</author>
    <author>tc={7E1C9DCC-3A31-4593-A41C-78BC95972EA5}</author>
  </authors>
  <commentList>
    <comment ref="G4" authorId="0" shapeId="0" xr:uid="{492B13A5-088E-45E3-BB14-E3BFF6EB0EF7}">
      <text>
        <r>
          <rPr>
            <b/>
            <sz val="9"/>
            <color indexed="81"/>
            <rFont val="Tahoma"/>
            <family val="2"/>
          </rPr>
          <t>Windows User:</t>
        </r>
        <r>
          <rPr>
            <sz val="9"/>
            <color indexed="81"/>
            <rFont val="Tahoma"/>
            <family val="2"/>
          </rPr>
          <t xml:space="preserve">
This is actually lower extent, no Coho redds below RM 2.5</t>
        </r>
      </text>
    </comment>
    <comment ref="M30" authorId="1" shapeId="0" xr:uid="{6A6A3E2A-DD6E-45CE-B72C-58E03BDAB8FC}">
      <text>
        <t>[Threaded comment]
Your version of Excel allows you to read this threaded comment; however, any edits to it will get removed if the file is opened in a newer version of Excel. Learn more: https://go.microsoft.com/fwlink/?linkid=870924
Comment:
    If we would have been up here during actual peak there would have been fish, need to use R/M to account for these
Reply:
    Revised estimate based on 2020/2021 survey season.  This supp accounted for 3% of south fork redds (4/133).  Updated estimate is 7 redds</t>
      </text>
    </comment>
    <comment ref="M48" authorId="2" shapeId="0" xr:uid="{A146F942-BCDB-490C-AD0A-672B39490823}">
      <text>
        <t>[Threaded comment]
Your version of Excel allows you to read this threaded comment; however, any edits to it will get removed if the file is opened in a newer version of Excel. Learn more: https://go.microsoft.com/fwlink/?linkid=870924
Comment:
    V/C unusable, instead using % of total NF redds from previous two years</t>
      </text>
    </comment>
    <comment ref="M49" authorId="3" shapeId="0" xr:uid="{20615895-1608-4749-8542-1421025A50A5}">
      <text>
        <t>[Threaded comment]
Your version of Excel allows you to read this threaded comment; however, any edits to it will get removed if the file is opened in a newer version of Excel. Learn more: https://go.microsoft.com/fwlink/?linkid=870924
Comment:
    V/C unusable, instead using % of total NF redds from previous two years</t>
      </text>
    </comment>
    <comment ref="M50" authorId="4" shapeId="0" xr:uid="{94DCD6B9-0D7A-4A10-B1B3-D82BC39DC65B}">
      <text>
        <t>[Threaded comment]
Your version of Excel allows you to read this threaded comment; however, any edits to it will get removed if the file is opened in a newer version of Excel. Learn more: https://go.microsoft.com/fwlink/?linkid=870924
Comment:
    V/C unusable, instead using % of total NF redds from previous two years</t>
      </text>
    </comment>
    <comment ref="G55" authorId="0" shapeId="0" xr:uid="{AA0990DB-04DD-4C45-A735-9F0C2A9F47FF}">
      <text>
        <r>
          <rPr>
            <b/>
            <sz val="9"/>
            <color indexed="81"/>
            <rFont val="Tahoma"/>
            <family val="2"/>
          </rPr>
          <t>Windows User:</t>
        </r>
        <r>
          <rPr>
            <sz val="9"/>
            <color indexed="81"/>
            <rFont val="Tahoma"/>
            <family val="2"/>
          </rPr>
          <t xml:space="preserve">
Falls appears to be a coho barrier, not a steelhead barrier</t>
        </r>
      </text>
    </comment>
    <comment ref="G70" authorId="0" shapeId="0" xr:uid="{47109095-EDFC-49C0-A7B7-DCC982A175B1}">
      <text>
        <r>
          <rPr>
            <b/>
            <sz val="9"/>
            <color indexed="81"/>
            <rFont val="Tahoma"/>
            <family val="2"/>
          </rPr>
          <t>Windows User:</t>
        </r>
        <r>
          <rPr>
            <sz val="9"/>
            <color indexed="81"/>
            <rFont val="Tahoma"/>
            <family val="2"/>
          </rPr>
          <t xml:space="preserve">
Redds right up to start point, likely farther upstream as well</t>
        </r>
      </text>
    </comment>
    <comment ref="G75" authorId="0" shapeId="0" xr:uid="{2C5EB2D1-2418-4BE3-8DDD-2BE64DCEA4E4}">
      <text>
        <r>
          <rPr>
            <b/>
            <sz val="9"/>
            <color indexed="81"/>
            <rFont val="Tahoma"/>
            <family val="2"/>
          </rPr>
          <t>Windows User:</t>
        </r>
        <r>
          <rPr>
            <sz val="9"/>
            <color indexed="81"/>
            <rFont val="Tahoma"/>
            <family val="2"/>
          </rPr>
          <t xml:space="preserve">
Upper extent likely above RM 1.1</t>
        </r>
      </text>
    </comment>
    <comment ref="W109" authorId="5" shapeId="0" xr:uid="{72EAAB74-215C-4473-B475-BF351AF8CC43}">
      <text>
        <r>
          <rPr>
            <b/>
            <sz val="9"/>
            <color indexed="81"/>
            <rFont val="Tahoma"/>
            <family val="2"/>
          </rPr>
          <t>Ronne, Lea M (DFW):</t>
        </r>
        <r>
          <rPr>
            <sz val="9"/>
            <color indexed="81"/>
            <rFont val="Tahoma"/>
            <family val="2"/>
          </rPr>
          <t xml:space="preserve">
Want to keep this separate from the rest of the abundance because of th hatchery influence.
NV-This number does not include fish sampled at Gheer Creek trap by onalaska high school or the chehalis tribe.</t>
        </r>
      </text>
    </comment>
    <comment ref="G142" authorId="0" shapeId="0" xr:uid="{104D536F-6743-44F6-AB17-5E5AA1310685}">
      <text>
        <r>
          <rPr>
            <b/>
            <sz val="9"/>
            <color indexed="81"/>
            <rFont val="Tahoma"/>
            <family val="2"/>
          </rPr>
          <t>Windows User:</t>
        </r>
        <r>
          <rPr>
            <sz val="9"/>
            <color indexed="81"/>
            <rFont val="Tahoma"/>
            <family val="2"/>
          </rPr>
          <t xml:space="preserve">
Trib splits here, both forks are small, unlikely but possible there is more coho spawning upstream from here.</t>
        </r>
      </text>
    </comment>
    <comment ref="B151" authorId="6" shapeId="0" xr:uid="{5FEF1BA7-8D71-408F-BC26-7BD85825B195}">
      <text>
        <t>[Threaded comment]
Your version of Excel allows you to read this threaded comment; however, any edits to it will get removed if the file is opened in a newer version of Excel. Learn more: https://go.microsoft.com/fwlink/?linkid=870924
Comment:
    Need to check the name and length of this trib</t>
      </text>
    </comment>
    <comment ref="G155" authorId="0" shapeId="0" xr:uid="{7FD7993B-A788-41D0-BD7C-A0C0DA7A48E2}">
      <text>
        <r>
          <rPr>
            <b/>
            <sz val="9"/>
            <color indexed="81"/>
            <rFont val="Tahoma"/>
            <family val="2"/>
          </rPr>
          <t>Windows User:</t>
        </r>
        <r>
          <rPr>
            <sz val="9"/>
            <color indexed="81"/>
            <rFont val="Tahoma"/>
            <family val="2"/>
          </rPr>
          <t xml:space="preserve">
Large beaver dam complex at 0.5 appears to be a barrier</t>
        </r>
      </text>
    </comment>
    <comment ref="N155" authorId="7" shapeId="0" xr:uid="{4E93D429-4090-421F-8150-F693CB3AFBD6}">
      <text>
        <t>[Threaded comment]
Your version of Excel allows you to read this threaded comment; however, any edits to it will get removed if the file is opened in a newer version of Excel. Learn more: https://go.microsoft.com/fwlink/?linkid=870924
Comment:
    Theres possibly fish passage issues during low flows through beaver dams just above 0.5, might not be appropriate to apply the total year V/C to this section.</t>
      </text>
    </comment>
    <comment ref="G156" authorId="0" shapeId="0" xr:uid="{9C2DFA3C-054F-4212-8B3A-2B594AF02A91}">
      <text>
        <r>
          <rPr>
            <b/>
            <sz val="9"/>
            <color indexed="81"/>
            <rFont val="Tahoma"/>
            <family val="2"/>
          </rPr>
          <t>Windows User:</t>
        </r>
        <r>
          <rPr>
            <sz val="9"/>
            <color indexed="81"/>
            <rFont val="Tahoma"/>
            <family val="2"/>
          </rPr>
          <t xml:space="preserve">
Large beaver dam complex at 0.5 appears to be a barrier</t>
        </r>
      </text>
    </comment>
    <comment ref="G159" authorId="0" shapeId="0" xr:uid="{2AB38B25-5452-46A0-95C1-211A4CB0EEB1}">
      <text>
        <r>
          <rPr>
            <b/>
            <sz val="9"/>
            <color indexed="81"/>
            <rFont val="Tahoma"/>
            <family val="2"/>
          </rPr>
          <t>Windows User:</t>
        </r>
        <r>
          <rPr>
            <sz val="9"/>
            <color indexed="81"/>
            <rFont val="Tahoma"/>
            <family val="2"/>
          </rPr>
          <t xml:space="preserve">
Redds up to forks just below 1.5, lots of empounded beaver ponds upstream but likely fish upstream wherever it turns back to stream.</t>
        </r>
      </text>
    </comment>
    <comment ref="L173" authorId="0" shapeId="0" xr:uid="{DB2E2B15-3132-410D-9031-9B98D79598A9}">
      <text>
        <r>
          <rPr>
            <b/>
            <sz val="9"/>
            <color indexed="81"/>
            <rFont val="Tahoma"/>
            <family val="2"/>
          </rPr>
          <t>Windows User:</t>
        </r>
        <r>
          <rPr>
            <sz val="9"/>
            <color indexed="81"/>
            <rFont val="Tahoma"/>
            <family val="2"/>
          </rPr>
          <t xml:space="preserve">
total lives seen in Gheer through the season was 150 not including trap counts</t>
        </r>
      </text>
    </comment>
    <comment ref="L188" authorId="8" shapeId="0" xr:uid="{09C8D093-B0B9-4388-9C20-CFFEE0D12614}">
      <text>
        <t>[Threaded comment]
Your version of Excel allows you to read this threaded comment; however, any edits to it will get removed if the file is opened in a newer version of Excel. Learn more: https://go.microsoft.com/fwlink/?linkid=870924
Comment:
    This include the 8,11 and 9 redds in the next rows.  Just broke them out incase we want to  break up the H/W on a finer scale</t>
      </text>
    </comment>
    <comment ref="U188" authorId="9" shapeId="0" xr:uid="{7E1C9DCC-3A31-4593-A41C-78BC95972EA5}">
      <text>
        <t>[Threaded comment]
Your version of Excel allows you to read this threaded comment; however, any edits to it will get removed if the file is opened in a newer version of Excel. Learn more: https://go.microsoft.com/fwlink/?linkid=870924
Comment:
    This includes the 11, 10, and 2 redds in the rows below.  Just broke them up incase we want to break down H/W proportions on a more fine scale.</t>
      </text>
    </comment>
  </commentList>
</comments>
</file>

<file path=xl/sharedStrings.xml><?xml version="1.0" encoding="utf-8"?>
<sst xmlns="http://schemas.openxmlformats.org/spreadsheetml/2006/main" count="2838" uniqueCount="310">
  <si>
    <t>reach</t>
  </si>
  <si>
    <t>53-1</t>
  </si>
  <si>
    <t>Allen Creek_0.5-1.1:Newaukum Valley Rd. to Rush Rd.</t>
  </si>
  <si>
    <t>NULL</t>
  </si>
  <si>
    <t>Beaver Creek_0-1.4:Mouth to Highlander Bridge</t>
  </si>
  <si>
    <t>Beaver Creek_1.4-2.6:Highlander Bridge to Weyco Culvert</t>
  </si>
  <si>
    <t>Beaver Creek_2.6-3.8:Weyco Culvert to RB Trib</t>
  </si>
  <si>
    <t>Bernier Creek_0-0.3:Mouth to Private Bridge</t>
  </si>
  <si>
    <t>Bernier Creek_0.3-0.9:Private Bridge to Safety Container</t>
  </si>
  <si>
    <t>Bernier Creek_0.9-1.4:Safety Container to Bridge</t>
  </si>
  <si>
    <t>Bernier Creek_1.4-2.4:Bridge to RB Trib 0922A</t>
  </si>
  <si>
    <t>Door Creek_0.8-1.4:Magnus Rd Culvert to Johnson Rd</t>
  </si>
  <si>
    <t>Door Creek (23.0916)_0-0.8</t>
  </si>
  <si>
    <t>Forks Creek_3.8-4.1</t>
  </si>
  <si>
    <t>Forks Creek_4.1-4.2</t>
  </si>
  <si>
    <t>Forks Creek_5.7-6.9</t>
  </si>
  <si>
    <t>Frase Creek_0-0.4:Mouth to LB Trib (0918A)</t>
  </si>
  <si>
    <t>Frase Creek_0.4-0.8:LB Trib (0919) to Random Point</t>
  </si>
  <si>
    <t>Gheer Creek_0-0.8:Mouth to Trap/Culvert</t>
  </si>
  <si>
    <t>Kearney Creek_0-1.4:Mouth to Frasse Rd Bridge</t>
  </si>
  <si>
    <t>Kearney Creek_1.4-2:Frasse Rd Bridge to Green Gate</t>
  </si>
  <si>
    <t>Kearney Creek_2-2.6:Green Gate to 508</t>
  </si>
  <si>
    <t>Kearney Creek_2.6-3.1:508 to Van Hosen Rd</t>
  </si>
  <si>
    <t>Kearney Creek_3.1-4.0:Van Hosen Rd to Summer Run Dr</t>
  </si>
  <si>
    <t>Kearney Creek_4.0-5.2:Summer Run Dr to Unnamed LB Trib</t>
  </si>
  <si>
    <t>Kearney Creek_5.2-5.8:Unnamed LB Trib to Weyco Culvert</t>
  </si>
  <si>
    <t>Lost Creek_0-0.5:Mouth to Salmon Run Bridge</t>
  </si>
  <si>
    <t>Lucas Creek_0-0.5:Mouth to Senn Rd.</t>
  </si>
  <si>
    <t>Lucas Creek_0.5-0.9:Senn Rd. to Grit Bridge</t>
  </si>
  <si>
    <t>Lucas Creek_2.6-3.2:Metal Box (Smiths Farm Lower) to Blue Car Seat (Smiths Farm Upper)</t>
  </si>
  <si>
    <t>Lucas Creek_3.2-4.2:Blue Car Seat (Smiths Farm Upper) to RB Trib 0895</t>
  </si>
  <si>
    <t>Lucas Creek_4.2-5.2:RB Trib 0895 to Lucas Cr. Rd. Culvert</t>
  </si>
  <si>
    <t>Lucas Creek_5.2-5.7:Lucas Cr. Rd. Culvert to RB Trib 0898</t>
  </si>
  <si>
    <t>Lucas Creek_5.7-6.0:RB Trib 0898 to Upper Culvert</t>
  </si>
  <si>
    <t>Lucas Creek_6.0-6.6:Upper Culvert to Random point</t>
  </si>
  <si>
    <t>MF Newaukum River_0.0-0.9:Mouth to Tauscher Rd. Bridge</t>
  </si>
  <si>
    <t>MF Newaukum River_0.9-1.9:Tauscher Rd. Bridge to Hemphill O'Neill Bridge</t>
  </si>
  <si>
    <t>MF Newaukum River_1.9-3.4:Hemphill O'Neill Bridge to Birchwood Bridge</t>
  </si>
  <si>
    <t>MF Newaukum River_3.4-4.4:Birchwood Bridge to Flags</t>
  </si>
  <si>
    <t>MF Newaukum River_4.4-4.7:Flags to Wildrose Dr. Bridge</t>
  </si>
  <si>
    <t>MF Newaukum River_4.7-5.2:Wildrose Dr. Bridge to Kruger Rd.</t>
  </si>
  <si>
    <t>MF Newaukum River_5.2-5.7:Kruger Rd. to Flags</t>
  </si>
  <si>
    <t>MF Newaukum River_5.7-6.4:Flags to Middle Fork Rd.</t>
  </si>
  <si>
    <t>MF Newaukum River_6.4-6.8:Middle Fork Rd. to Fence</t>
  </si>
  <si>
    <t>MF Newaukum River_6.8-8.3:Fence to Centralia Alpha Rd.</t>
  </si>
  <si>
    <t>Middle Nemah River_6.4-7.2</t>
  </si>
  <si>
    <t>Middle Nemah River_7.2-8</t>
  </si>
  <si>
    <t>Mill Creek_7.7-8</t>
  </si>
  <si>
    <t>Mill Creek_8.7-9.1</t>
  </si>
  <si>
    <t>Mitchell Creek_0-0.3:Mouth to 2nd Bridge Upstream</t>
  </si>
  <si>
    <t>Mitchell Creek_0.3-1.5:2nd Bridge Upstream to LB Trib</t>
  </si>
  <si>
    <t>Mitchell Creek_1.5-2.0:LB Trib to Lower Falls</t>
  </si>
  <si>
    <t>Newaukum River_0.0-5.8:Mouth to Newaukum Trap</t>
  </si>
  <si>
    <t>Newaukum River_5.8-6.9:Newaukum Trap to Rush Rd. Bridge</t>
  </si>
  <si>
    <t>Newaukum River_6.9-7.8:Rush Rd. Bridge to Kirkland Rd. Bridge</t>
  </si>
  <si>
    <t>Newaukum River_7.8-10.9:Kirkland Rd. Bridge to Confluence of N. &amp; S. Forks</t>
  </si>
  <si>
    <t>NF Newaukum River_0-0.3:Confluence w/ SFNR to N Fork Rd. Bridge (lower)</t>
  </si>
  <si>
    <t>NF Newaukum River_0.3-2.5:N Fork Rd. Bridge (lower) to Tauscher Rd. Bridge</t>
  </si>
  <si>
    <t>NF Newaukum River_10.2-11:N Fork Rd. Bridge (upper) to Cascade</t>
  </si>
  <si>
    <t>NF Newaukum River_11-11.7:Cascade to Cedar Tree (below water facility)</t>
  </si>
  <si>
    <t>NF Newaukum River_11.7-12.2:Cedar Tree (below water facility) to City Water Facility Bridge</t>
  </si>
  <si>
    <t>NF Newaukum River_12.2-15.0:City Water Facility Bridge to LB Trib</t>
  </si>
  <si>
    <t>NF Newaukum River_15.0-17.3:LB Trib to Upper Bridge</t>
  </si>
  <si>
    <t>NF Newaukum River_17.3-18.2:Upper Bridge to RB Trib</t>
  </si>
  <si>
    <t>NF Newaukum River_2.5-4.5:Tauscher Rd. Bridge to Centralia Alpha Launch</t>
  </si>
  <si>
    <t>NF Newaukum River_4.5-5.5:Centralia Alpha Launch to N Fork Rd. Bridge @ Lucas Cr.</t>
  </si>
  <si>
    <t>NF Newaukum River_5.5-6.3:N Fork Rd. Bridge @ Lucas Cr. to Wylam's</t>
  </si>
  <si>
    <t>NF Newaukum River_6.3-6.9:Wylam's to N Fork Rd. Bridge @ Junes</t>
  </si>
  <si>
    <t>NF Newaukum River_6.9-7.9:N Fork Rd. Bridge @ Junes to N Fork Rd. Bridge @ Literal Rd.</t>
  </si>
  <si>
    <t>NF Newaukum River_7.9-9.5:N Fork Rd. Bridge @ Literal Rd. to Mitchell Cr./Bridge</t>
  </si>
  <si>
    <t>NF Newaukum River_9.5-10.2:Mitchell Cr./Bridge to N Fork Rd. Bridge (upper)</t>
  </si>
  <si>
    <t>Not Listed</t>
  </si>
  <si>
    <t>SF Newaukum River_10.9-11.0:Confluence w/ SFNR to N. Fork Rd. Bridge</t>
  </si>
  <si>
    <t>SF Newaukum River_11.0-12.3:N. Fork Rd. Bridge to Middle Fork Rd. Bridge</t>
  </si>
  <si>
    <t>SF Newaukum River_12.3-13.6:Middle Fork Rd. Bridge to Hwy 508 Bridge (lower)</t>
  </si>
  <si>
    <t>SF Newaukum River_13.6-14.5:Hwy 508 Bridge (lower) to Guerrier Rd. Bridge</t>
  </si>
  <si>
    <t>SF Newaukum River_14.5-16.3:Guerrier Rd. Bridge to Gish Rd. Bridge</t>
  </si>
  <si>
    <t>SF Newaukum River_16.3-18.5:Gish Rd. Bridge to White House</t>
  </si>
  <si>
    <t>SF Newaukum River_18.5-19.6:White House to Gheer Cr.</t>
  </si>
  <si>
    <t>SF Newaukum River_19.6-20.8:Gheer Cr. to Leonard Rd. Bridge</t>
  </si>
  <si>
    <t>SF Newaukum River_20.8-23.1:Leonard Rd. Bridge to Jorgensen Rd. Bridge</t>
  </si>
  <si>
    <t>SF Newaukum River_23.1-27.0:Jorgensen Rd. Bridge to Kearney Cr.</t>
  </si>
  <si>
    <t>SF Newaukum River_27.0-27.3:Kearney Cr. to Hwy 508 Bridge (Upper)</t>
  </si>
  <si>
    <t>SF Newaukum River_27.3-27.8:Hwy 508 Bridge (Upper) to Pigeon Springs Rd. Pullout (Lower)</t>
  </si>
  <si>
    <t>SF Newaukum River_27.8-28.8:Pigeon Springs Rd. Pullout (Lower) to Pigeon Springs Rd. Pullout (Mid.)</t>
  </si>
  <si>
    <t>SF Newaukum River_28.8-29.6:Pigeon Springs Rd. Pullout (Mid.) to Bernier Cr.</t>
  </si>
  <si>
    <t>SF Newaukum River_29.6-30.3:Bernier Cr. to Pigeon Springs Rd. Pullout (Upper)</t>
  </si>
  <si>
    <t>SF Newaukum River_30.3-31.3:Pigeon Springs Rd. Pullout (Upper) to Lower Canyon(RB Trib)</t>
  </si>
  <si>
    <t>SF Newaukum River_31.3-32.0:Lower Canyon(RB Trib) to Upper Canyon (LB Trib)</t>
  </si>
  <si>
    <t>SF Newaukum River_32.0-33.7:Upper Canyon (LB Trib) to 23.0925</t>
  </si>
  <si>
    <t>SF Newaukum River_33.7-34.5:23.0925 to Falls (STHD U.L.O)</t>
  </si>
  <si>
    <t>SF Newaukum River_34.5-34.9:Falls (STHD U.L.O) to Upper Weyco Bridge</t>
  </si>
  <si>
    <t>Taylor Creek_0.0-0.5:Mouth to Driveway</t>
  </si>
  <si>
    <t>Taylor Creek_0.5-1.0:Driveway to Gas Line</t>
  </si>
  <si>
    <t>Trib 0890_0.0-4.1:Mouth to Kruger Rd.</t>
  </si>
  <si>
    <t>Trib 0910_0.0-0.1:Mouth to Bridge</t>
  </si>
  <si>
    <t>Trib 0910_0.1-0.9:Bridge to Unnamed RB Trib</t>
  </si>
  <si>
    <t>Trib 0918A_0.0-0.4:Mouth to 2019 end point</t>
  </si>
  <si>
    <t>Trib 0926_0.0-0.4</t>
  </si>
  <si>
    <t>Trib 0927_0.0-0.4 (Formerly 0925)</t>
  </si>
  <si>
    <t>Tributary 0889 (23.0889)_0.0-0.7</t>
  </si>
  <si>
    <t>Unnamed LB Trib 0897_0.0-0.2:Mouth to Flags @ spur road</t>
  </si>
  <si>
    <t>Unnamed LB Trib 0897_0.2-0.7:Flags @ spur road to wetland</t>
  </si>
  <si>
    <t>Unnamed LB Trib 0907_0.0-0.3:Mouth to Cascade</t>
  </si>
  <si>
    <t>Unnamed LB Trib 0907_0.3-0.7:Cascade to Flags</t>
  </si>
  <si>
    <t>Unnamed RB Trib 0895_0-0.6:Mouth to Lucas Cr. Rd. Culvert</t>
  </si>
  <si>
    <t>Unnamed RB Trib 0895_0.6-1.4:Lucas Cr. Rd. Culvert to 2020 end point</t>
  </si>
  <si>
    <t>Unnamed RB Trib 0896_0.0-0.5:Mouth to Flags</t>
  </si>
  <si>
    <t>Unnamed RB Trib 0898_0.0-0.6:Mouth to Unnamed RB Trib</t>
  </si>
  <si>
    <t>Unnamed Tributary_0-0.3</t>
  </si>
  <si>
    <t>Upper Salmon Creek_10.6-11.3</t>
  </si>
  <si>
    <t>Stat Week</t>
  </si>
  <si>
    <t>New Redds by Stat week</t>
  </si>
  <si>
    <t>Agency</t>
  </si>
  <si>
    <t xml:space="preserve"> </t>
  </si>
  <si>
    <t>CR/M</t>
  </si>
  <si>
    <t xml:space="preserve">    RIVER MILE</t>
  </si>
  <si>
    <t>Observed  Redds</t>
  </si>
  <si>
    <t>Female/</t>
  </si>
  <si>
    <t>Male/</t>
  </si>
  <si>
    <t>River</t>
  </si>
  <si>
    <t>Reach</t>
  </si>
  <si>
    <t>WRIA</t>
  </si>
  <si>
    <t>Start</t>
  </si>
  <si>
    <t>End</t>
  </si>
  <si>
    <t>Length</t>
  </si>
  <si>
    <t>Upper Extent</t>
  </si>
  <si>
    <t>Habitat Used</t>
  </si>
  <si>
    <r>
      <t>A</t>
    </r>
    <r>
      <rPr>
        <sz val="9"/>
        <rFont val="Arial"/>
        <family val="2"/>
      </rPr>
      <t>gency</t>
    </r>
  </si>
  <si>
    <r>
      <t>M</t>
    </r>
    <r>
      <rPr>
        <sz val="9"/>
        <rFont val="Arial"/>
        <family val="2"/>
      </rPr>
      <t>ethod</t>
    </r>
  </si>
  <si>
    <r>
      <t>T</t>
    </r>
    <r>
      <rPr>
        <sz val="9"/>
        <rFont val="Arial"/>
        <family val="2"/>
      </rPr>
      <t>ype</t>
    </r>
  </si>
  <si>
    <t>Int.</t>
  </si>
  <si>
    <t>Ext.</t>
  </si>
  <si>
    <t>V/C</t>
  </si>
  <si>
    <t>Redd</t>
  </si>
  <si>
    <t>Redds</t>
  </si>
  <si>
    <t>Females</t>
  </si>
  <si>
    <t>Males</t>
  </si>
  <si>
    <t>Total</t>
  </si>
  <si>
    <t>Newaukum</t>
  </si>
  <si>
    <t>MAINSTEM</t>
  </si>
  <si>
    <t>0882</t>
  </si>
  <si>
    <t>WDFW</t>
  </si>
  <si>
    <t>Boat</t>
  </si>
  <si>
    <t xml:space="preserve">Int. </t>
  </si>
  <si>
    <t>SF Newaukum</t>
  </si>
  <si>
    <t>Boat/Foot</t>
  </si>
  <si>
    <t>Foot</t>
  </si>
  <si>
    <t>There would have been coho spawning here if the supp was done when v/c was better.  Adjusted based on previous seasons data.  This area was ~3% of all SF coho redds (4 of 133).</t>
  </si>
  <si>
    <t>no redds above falls</t>
  </si>
  <si>
    <t>NF Newaukum</t>
  </si>
  <si>
    <t>0887</t>
  </si>
  <si>
    <t>1/27/2021 1 vis</t>
  </si>
  <si>
    <t>1/27/2021 4 vis</t>
  </si>
  <si>
    <t>Based on Previous years data in 19/20 and 20/21 this section accounts for 2.21% of NF redds((3+4)/(167+150)). Revised estimate is 399*.0221= 9 redds</t>
  </si>
  <si>
    <t>0909</t>
  </si>
  <si>
    <t>Based on previous years data in 19/20 and 20/21 this section accounts for 2.84% of NF redds ((3+6)/(167+150)).  Revised Estimate is 399*.0284 = 11 redds</t>
  </si>
  <si>
    <t>0910</t>
  </si>
  <si>
    <t>Based on previous years data in 19/20 and 20/21 this section accounts for 2.84% of NF redds ((1+8)/(167+150)).  Revised Estimate is 399*.0284 = 11 redds</t>
  </si>
  <si>
    <t>0904</t>
  </si>
  <si>
    <t>Used 0907 on 12/17/2021 43/60 vis</t>
  </si>
  <si>
    <t>Jested Cr.</t>
  </si>
  <si>
    <t>23.0892</t>
  </si>
  <si>
    <t>DNS</t>
  </si>
  <si>
    <t>Used Avg CR/M of 0895-0898 (same as 2020-2021)</t>
  </si>
  <si>
    <t>0907</t>
  </si>
  <si>
    <t>1/27/2022 3 vis, 12/17/21 34 vis</t>
  </si>
  <si>
    <t>MF Newaukum</t>
  </si>
  <si>
    <t>0888</t>
  </si>
  <si>
    <t>0 vis</t>
  </si>
  <si>
    <t>0</t>
  </si>
  <si>
    <t>3 vis</t>
  </si>
  <si>
    <t>3</t>
  </si>
  <si>
    <t>15 vis</t>
  </si>
  <si>
    <t>23 vis</t>
  </si>
  <si>
    <t>13 vis</t>
  </si>
  <si>
    <t>6 vis</t>
  </si>
  <si>
    <t>Used Avg V/C of 1.9-5.7, 2020-2021 used all of 0.0-5.7 but that was because data on supp day was lost when an ipad crashed, should only be using above the split at 1.9</t>
  </si>
  <si>
    <t>0890</t>
  </si>
  <si>
    <t>Used Avg V/C of 1.9-5.7, 2020-2021 used 0.0-1.9 because data above was lost when Ipad crashed, should only be using upstream of 1.9</t>
  </si>
  <si>
    <t>0889</t>
  </si>
  <si>
    <t>n/a</t>
  </si>
  <si>
    <t>Allen Cr.</t>
  </si>
  <si>
    <t>0883</t>
  </si>
  <si>
    <t>Used Allen 0.5-1.1 CR/M (2020-2021 season when 0.0-0.5 was surveyed CR/M in both sections were almost the same, 18.0 and 18.3 for the lower and upper reaches respectively.</t>
  </si>
  <si>
    <t>Taylor Cr.</t>
  </si>
  <si>
    <t>0886</t>
  </si>
  <si>
    <t>0912</t>
  </si>
  <si>
    <t>Used avg CR/M for 0889 (same as 2020-2021)</t>
  </si>
  <si>
    <t>Beaver Cr.</t>
  </si>
  <si>
    <t>0921</t>
  </si>
  <si>
    <t>10 vis on 1/10/2022</t>
  </si>
  <si>
    <t>Only used 1.4-2.6 because lower section was still blown out on day we did supps</t>
  </si>
  <si>
    <t>0923</t>
  </si>
  <si>
    <t>What to run these off of?</t>
  </si>
  <si>
    <t>0924</t>
  </si>
  <si>
    <t>0926</t>
  </si>
  <si>
    <t>Use upper beaver supp 10 of 49 vis</t>
  </si>
  <si>
    <t>0927</t>
  </si>
  <si>
    <t>Bernier Cr.</t>
  </si>
  <si>
    <t>0922</t>
  </si>
  <si>
    <t>23.0922A</t>
  </si>
  <si>
    <t>0922A</t>
  </si>
  <si>
    <t>Not Quite sure how to tackle these Bernier tribs.  No fish use in previous years but I wouldn’t be surprised if they had some this season.</t>
  </si>
  <si>
    <t>23.0922B</t>
  </si>
  <si>
    <t>0922B</t>
  </si>
  <si>
    <t>23.0922D</t>
  </si>
  <si>
    <t>0922D</t>
  </si>
  <si>
    <t>23.0922E</t>
  </si>
  <si>
    <t>0922E</t>
  </si>
  <si>
    <t>No supps done on bernier, snow and high water kep us out earlier in the year then logging later.  No redds have been observed above 2.4 in previous years but this season a redd was observed above 2.4 but not during a survey we know theres at least some use up there.</t>
  </si>
  <si>
    <t>No need to expand up here, habitat is very high gradient and small.</t>
  </si>
  <si>
    <t>Frasse Cr.</t>
  </si>
  <si>
    <t>0918</t>
  </si>
  <si>
    <t>Use upper Beaver V/C</t>
  </si>
  <si>
    <t>0918A</t>
  </si>
  <si>
    <t>Gheer Cr.</t>
  </si>
  <si>
    <t>0913</t>
  </si>
  <si>
    <t>Used Lost Cr 0.0-0.5 on 11/24/2021.  last season used Kearney 0.0-2.6 but lost has more similar densities and habitat and we did it as an index this season.  Gheers peak redd count was 2/8 with 84 redds not 11/24 with 52 redds.  Using the earlier date becasue V/C is under .20 on the later date and the early date is more inline with the timing last season.  There seemed to be a large component of H fish late in the season which seems to support the redd counts in gheer remaining very high in February</t>
  </si>
  <si>
    <t>Kearney Cr.</t>
  </si>
  <si>
    <t>0915</t>
  </si>
  <si>
    <t>14 vis</t>
  </si>
  <si>
    <t>11 vis</t>
  </si>
  <si>
    <t>7 vis</t>
  </si>
  <si>
    <t>Used CR/M of Kearney 2.7-3.1 (same as 2020-2021)</t>
  </si>
  <si>
    <t>Used Avg V/C of Kearney 1.4-2.0, 2.0-2.6, and 3.1-4.0.  2020-2021 only used 3.1-4.0, V/C too low this year so we may want to use a CR/M to be consistant, peak was much later this year than the first two so our timing was off resulting in unusably low V/C in just the upper index.  including the lower two its barely above out .20.</t>
  </si>
  <si>
    <t>Used Avg V/C of Kearney 1.4-2.0, 2.0-2.6, and 3.1-4.0</t>
  </si>
  <si>
    <t>Lucas Cr.</t>
  </si>
  <si>
    <t>0893</t>
  </si>
  <si>
    <t>28 vis</t>
  </si>
  <si>
    <t>9 vis</t>
  </si>
  <si>
    <t>13vis</t>
  </si>
  <si>
    <t>0895</t>
  </si>
  <si>
    <t>20 vis</t>
  </si>
  <si>
    <t>Used 5.2-5.7 V/C</t>
  </si>
  <si>
    <t>Used Avg CR/m of Lucas 0.0-0.5 and 2.6-3.2</t>
  </si>
  <si>
    <t>Very high estimates for this area using the adjacent index CR/M, I adjusted based on previous seasons observation.  Last year when 0.9-1.9 was actually surveyed CR/M was only 1/9 the number of redds in 0.0-0.5 or 2.6-3.2</t>
  </si>
  <si>
    <t>Used 0895 0.0-0.6 V/C</t>
  </si>
  <si>
    <t>0896</t>
  </si>
  <si>
    <t>0897</t>
  </si>
  <si>
    <t>0898</t>
  </si>
  <si>
    <t>Bear Cr.</t>
  </si>
  <si>
    <t>0899</t>
  </si>
  <si>
    <t>Used Avg CR/M *.5 in 0895-0896 (same as 2020-2021 estimates)</t>
  </si>
  <si>
    <t>Mitchell Cr.</t>
  </si>
  <si>
    <t>0901</t>
  </si>
  <si>
    <t>Mitchell Trib</t>
  </si>
  <si>
    <t>Lost Cr.</t>
  </si>
  <si>
    <t>27 vis</t>
  </si>
  <si>
    <t>Used 0.0-0.5 V/C, 27 vis</t>
  </si>
  <si>
    <t>Door Cr</t>
  </si>
  <si>
    <t>41 vis</t>
  </si>
  <si>
    <t>Used 0.0-0.8 V/C, 41 vis</t>
  </si>
  <si>
    <t>Total Lives</t>
  </si>
  <si>
    <t>Int Observed</t>
  </si>
  <si>
    <t>Total Lives (Inc. Gheer)</t>
  </si>
  <si>
    <t>Miles Surveyed</t>
  </si>
  <si>
    <t>Ext Observed</t>
  </si>
  <si>
    <t>Expanded (no Gheer)</t>
  </si>
  <si>
    <t>Expanded (inc Gheer)</t>
  </si>
  <si>
    <t>Need to remove jacks from these breakouts once the database is exporting them properly.</t>
  </si>
  <si>
    <t>Discuss if we want to break it down further than this or less than this</t>
  </si>
  <si>
    <t>~Basin Broken into 5 areas, SF including its tributaries other than Gheer, Gheer, North fork excluding the Middle fork, Middle fork including 0890, and mainstem tribs Allen and Taylor.</t>
  </si>
  <si>
    <t>Area</t>
  </si>
  <si>
    <t>Total #</t>
  </si>
  <si>
    <t>HOR %</t>
  </si>
  <si>
    <t>NOR %</t>
  </si>
  <si>
    <t>HOR #</t>
  </si>
  <si>
    <t>NOR #</t>
  </si>
  <si>
    <t>Gheer</t>
  </si>
  <si>
    <t>SF &amp; Tribs Below Jorgensen</t>
  </si>
  <si>
    <t>SF &amp; Tribs above Jorgensen</t>
  </si>
  <si>
    <t>NF and Tribs</t>
  </si>
  <si>
    <t>Middle Fork</t>
  </si>
  <si>
    <t>Mainstem Tribs</t>
  </si>
  <si>
    <t>Basin Totals w/o Gheer:</t>
  </si>
  <si>
    <t>Basin Totals Inc. Gheer:</t>
  </si>
  <si>
    <t xml:space="preserve">H vs W </t>
  </si>
  <si>
    <t>South Fork not including mainstem tribs</t>
  </si>
  <si>
    <t>North Fork not including Middle Fork</t>
  </si>
  <si>
    <t>Total without UNK</t>
  </si>
  <si>
    <t>UM</t>
  </si>
  <si>
    <t>AD</t>
  </si>
  <si>
    <t>UNK</t>
  </si>
  <si>
    <t>% W</t>
  </si>
  <si>
    <t>% H</t>
  </si>
  <si>
    <t>%W</t>
  </si>
  <si>
    <t>%H</t>
  </si>
  <si>
    <t xml:space="preserve">South Fork </t>
  </si>
  <si>
    <t xml:space="preserve">North Fork </t>
  </si>
  <si>
    <t>SF Proper</t>
  </si>
  <si>
    <t>NF Proper</t>
  </si>
  <si>
    <t>SF above 27.3</t>
  </si>
  <si>
    <t>Above 10.2</t>
  </si>
  <si>
    <t>19.6-27.3</t>
  </si>
  <si>
    <t>5.5-10.2</t>
  </si>
  <si>
    <t>10.9-19.6</t>
  </si>
  <si>
    <t>0.0-5.5</t>
  </si>
  <si>
    <t>Beaver</t>
  </si>
  <si>
    <t>Lucas</t>
  </si>
  <si>
    <t>Bernier</t>
  </si>
  <si>
    <t>Mitchell</t>
  </si>
  <si>
    <t>Kearney</t>
  </si>
  <si>
    <t>Door</t>
  </si>
  <si>
    <t>Lost</t>
  </si>
  <si>
    <t>Mainstem/tribs</t>
  </si>
  <si>
    <t>Gheer (no Jacks)</t>
  </si>
  <si>
    <t>Allen</t>
  </si>
  <si>
    <t>Taylor</t>
  </si>
  <si>
    <t>Gheer (with Jacks)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</si>
</sst>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0"/>
  </numFmts>
  <fonts count="39" x14ac:knownFonts="1">
    <font>
      <sz val="11"/>
      <color theme="1"/>
      <name val="Times New Roman"/>
      <family val="2"/>
    </font>
    <font>
      <sz val="11"/>
      <color theme="1"/>
      <name val="Times New Roman"/>
      <family val="2"/>
    </font>
    <font>
      <sz val="18"/>
      <color theme="3"/>
      <name val="Calibri Light"/>
      <family val="2"/>
      <scheme val="major"/>
    </font>
    <font>
      <b/>
      <sz val="15"/>
      <color theme="3"/>
      <name val="Times New Roman"/>
      <family val="2"/>
    </font>
    <font>
      <b/>
      <sz val="13"/>
      <color theme="3"/>
      <name val="Times New Roman"/>
      <family val="2"/>
    </font>
    <font>
      <b/>
      <sz val="11"/>
      <color theme="3"/>
      <name val="Times New Roman"/>
      <family val="2"/>
    </font>
    <font>
      <sz val="11"/>
      <color rgb="FF006100"/>
      <name val="Times New Roman"/>
      <family val="2"/>
    </font>
    <font>
      <sz val="11"/>
      <color rgb="FF9C0006"/>
      <name val="Times New Roman"/>
      <family val="2"/>
    </font>
    <font>
      <sz val="11"/>
      <color rgb="FF9C5700"/>
      <name val="Times New Roman"/>
      <family val="2"/>
    </font>
    <font>
      <sz val="11"/>
      <color rgb="FF3F3F76"/>
      <name val="Times New Roman"/>
      <family val="2"/>
    </font>
    <font>
      <b/>
      <sz val="11"/>
      <color rgb="FF3F3F3F"/>
      <name val="Times New Roman"/>
      <family val="2"/>
    </font>
    <font>
      <b/>
      <sz val="11"/>
      <color rgb="FFFA7D00"/>
      <name val="Times New Roman"/>
      <family val="2"/>
    </font>
    <font>
      <sz val="11"/>
      <color rgb="FFFA7D00"/>
      <name val="Times New Roman"/>
      <family val="2"/>
    </font>
    <font>
      <b/>
      <sz val="11"/>
      <color theme="0"/>
      <name val="Times New Roman"/>
      <family val="2"/>
    </font>
    <font>
      <sz val="11"/>
      <color rgb="FFFF0000"/>
      <name val="Times New Roman"/>
      <family val="2"/>
    </font>
    <font>
      <i/>
      <sz val="11"/>
      <color rgb="FF7F7F7F"/>
      <name val="Times New Roman"/>
      <family val="2"/>
    </font>
    <font>
      <b/>
      <sz val="11"/>
      <color theme="1"/>
      <name val="Times New Roman"/>
      <family val="2"/>
    </font>
    <font>
      <sz val="11"/>
      <color theme="0"/>
      <name val="Times New Roman"/>
      <family val="2"/>
    </font>
    <font>
      <b/>
      <sz val="11"/>
      <color theme="1"/>
      <name val="Times New Roman"/>
      <family val="1"/>
    </font>
    <font>
      <sz val="11"/>
      <color theme="1"/>
      <name val="Calibri"/>
      <family val="2"/>
      <scheme val="minor"/>
    </font>
    <font>
      <sz val="11"/>
      <name val="Calibri"/>
      <family val="2"/>
      <scheme val="minor"/>
    </font>
    <font>
      <sz val="8"/>
      <name val="Arial"/>
      <family val="2"/>
    </font>
    <font>
      <b/>
      <sz val="10"/>
      <name val="Arial"/>
      <family val="2"/>
    </font>
    <font>
      <b/>
      <sz val="8"/>
      <name val="Arial"/>
      <family val="2"/>
    </font>
    <font>
      <b/>
      <sz val="9"/>
      <name val="Arial"/>
      <family val="2"/>
    </font>
    <font>
      <sz val="9"/>
      <name val="Arial"/>
      <family val="2"/>
    </font>
    <font>
      <b/>
      <sz val="10"/>
      <color theme="1"/>
      <name val="Arial"/>
      <family val="2"/>
    </font>
    <font>
      <sz val="10"/>
      <color rgb="FF7030A0"/>
      <name val="Arial"/>
      <family val="2"/>
    </font>
    <font>
      <sz val="8"/>
      <color rgb="FF7030A0"/>
      <name val="Arial"/>
      <family val="2"/>
    </font>
    <font>
      <sz val="10"/>
      <name val="Arial"/>
      <family val="2"/>
    </font>
    <font>
      <sz val="10"/>
      <color theme="1"/>
      <name val="Arial"/>
      <family val="2"/>
    </font>
    <font>
      <sz val="10"/>
      <color rgb="FFFF0000"/>
      <name val="Arial"/>
      <family val="2"/>
    </font>
    <font>
      <b/>
      <sz val="10"/>
      <color theme="5" tint="-0.249977111117893"/>
      <name val="Arial"/>
      <family val="2"/>
    </font>
    <font>
      <b/>
      <sz val="11"/>
      <name val="Calibri"/>
      <family val="2"/>
      <scheme val="minor"/>
    </font>
    <font>
      <b/>
      <sz val="11"/>
      <color theme="1"/>
      <name val="Calibri"/>
      <family val="2"/>
      <scheme val="minor"/>
    </font>
    <font>
      <b/>
      <sz val="8"/>
      <color theme="5" tint="-0.249977111117893"/>
      <name val="Arial"/>
      <family val="2"/>
    </font>
    <font>
      <b/>
      <sz val="9"/>
      <color indexed="81"/>
      <name val="Tahoma"/>
      <family val="2"/>
    </font>
    <font>
      <sz val="9"/>
      <color indexed="81"/>
      <name val="Tahoma"/>
      <family val="2"/>
    </font>
    <font>
      <sz val="9"/>
      <color indexed="81"/>
      <name val="Tahoma"/>
      <charset val="1"/>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59999389629810485"/>
        <bgColor indexed="64"/>
      </patternFill>
    </fill>
    <fill>
      <patternFill patternType="solid">
        <fgColor rgb="FFFFFF00"/>
        <bgColor indexed="64"/>
      </patternFill>
    </fill>
    <fill>
      <patternFill patternType="solid">
        <fgColor theme="5" tint="0.39997558519241921"/>
        <bgColor indexed="64"/>
      </patternFill>
    </fill>
    <fill>
      <patternFill patternType="solid">
        <fgColor rgb="FF92D050"/>
        <bgColor indexed="64"/>
      </patternFill>
    </fill>
    <fill>
      <patternFill patternType="solid">
        <fgColor theme="2"/>
        <bgColor indexed="64"/>
      </patternFill>
    </fill>
  </fills>
  <borders count="4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
      <left style="medium">
        <color indexed="64"/>
      </left>
      <right style="thin">
        <color indexed="64"/>
      </right>
      <top style="medium">
        <color indexed="64"/>
      </top>
      <bottom/>
      <diagonal/>
    </border>
    <border>
      <left/>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right style="thin">
        <color indexed="64"/>
      </right>
      <top style="medium">
        <color indexed="64"/>
      </top>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style="thin">
        <color indexed="64"/>
      </right>
      <top/>
      <bottom/>
      <diagonal/>
    </border>
    <border>
      <left style="medium">
        <color indexed="64"/>
      </left>
      <right style="thin">
        <color indexed="64"/>
      </right>
      <top/>
      <bottom style="medium">
        <color indexed="64"/>
      </bottom>
      <diagonal/>
    </border>
    <border>
      <left/>
      <right/>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bottom style="medium">
        <color indexed="64"/>
      </bottom>
      <diagonal/>
    </border>
    <border>
      <left style="thin">
        <color auto="1"/>
      </left>
      <right style="hair">
        <color auto="1"/>
      </right>
      <top style="thin">
        <color auto="1"/>
      </top>
      <bottom style="hair">
        <color auto="1"/>
      </bottom>
      <diagonal/>
    </border>
    <border>
      <left style="hair">
        <color auto="1"/>
      </left>
      <right style="hair">
        <color auto="1"/>
      </right>
      <top style="thin">
        <color auto="1"/>
      </top>
      <bottom style="hair">
        <color auto="1"/>
      </bottom>
      <diagonal/>
    </border>
    <border>
      <left style="hair">
        <color auto="1"/>
      </left>
      <right style="thin">
        <color auto="1"/>
      </right>
      <top style="thin">
        <color auto="1"/>
      </top>
      <bottom style="hair">
        <color auto="1"/>
      </bottom>
      <diagonal/>
    </border>
    <border>
      <left style="thin">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style="thin">
        <color auto="1"/>
      </right>
      <top style="hair">
        <color auto="1"/>
      </top>
      <bottom style="hair">
        <color auto="1"/>
      </bottom>
      <diagonal/>
    </border>
    <border>
      <left style="thin">
        <color auto="1"/>
      </left>
      <right style="hair">
        <color auto="1"/>
      </right>
      <top style="hair">
        <color auto="1"/>
      </top>
      <bottom/>
      <diagonal/>
    </border>
    <border>
      <left style="hair">
        <color auto="1"/>
      </left>
      <right style="hair">
        <color auto="1"/>
      </right>
      <top style="hair">
        <color auto="1"/>
      </top>
      <bottom/>
      <diagonal/>
    </border>
    <border>
      <left style="hair">
        <color auto="1"/>
      </left>
      <right style="thin">
        <color auto="1"/>
      </right>
      <top style="hair">
        <color auto="1"/>
      </top>
      <bottom/>
      <diagonal/>
    </border>
    <border>
      <left style="thin">
        <color auto="1"/>
      </left>
      <right style="hair">
        <color auto="1"/>
      </right>
      <top style="hair">
        <color auto="1"/>
      </top>
      <bottom style="thin">
        <color auto="1"/>
      </bottom>
      <diagonal/>
    </border>
    <border>
      <left style="hair">
        <color auto="1"/>
      </left>
      <right style="hair">
        <color auto="1"/>
      </right>
      <top style="hair">
        <color auto="1"/>
      </top>
      <bottom style="thin">
        <color auto="1"/>
      </bottom>
      <diagonal/>
    </border>
    <border>
      <left style="hair">
        <color auto="1"/>
      </left>
      <right style="thin">
        <color auto="1"/>
      </right>
      <top style="hair">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style="double">
        <color auto="1"/>
      </top>
      <bottom/>
      <diagonal/>
    </border>
    <border>
      <left/>
      <right/>
      <top style="double">
        <color auto="1"/>
      </top>
      <bottom/>
      <diagonal/>
    </border>
    <border>
      <left/>
      <right style="thin">
        <color auto="1"/>
      </right>
      <top style="double">
        <color auto="1"/>
      </top>
      <bottom/>
      <diagonal/>
    </border>
    <border>
      <left style="thin">
        <color auto="1"/>
      </left>
      <right/>
      <top/>
      <bottom/>
      <diagonal/>
    </border>
    <border>
      <left style="thin">
        <color auto="1"/>
      </left>
      <right/>
      <top style="double">
        <color auto="1"/>
      </top>
      <bottom style="double">
        <color auto="1"/>
      </bottom>
      <diagonal/>
    </border>
    <border>
      <left/>
      <right/>
      <top style="double">
        <color auto="1"/>
      </top>
      <bottom style="double">
        <color auto="1"/>
      </bottom>
      <diagonal/>
    </border>
    <border>
      <left/>
      <right style="thin">
        <color auto="1"/>
      </right>
      <top style="double">
        <color auto="1"/>
      </top>
      <bottom style="double">
        <color auto="1"/>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9" fillId="0" borderId="0"/>
  </cellStyleXfs>
  <cellXfs count="198">
    <xf numFmtId="0" fontId="0" fillId="0" borderId="0" xfId="0"/>
    <xf numFmtId="0" fontId="18" fillId="0" borderId="0" xfId="0" applyFont="1" applyBorder="1"/>
    <xf numFmtId="0" fontId="18" fillId="0" borderId="10" xfId="0" applyFont="1" applyBorder="1"/>
    <xf numFmtId="0" fontId="19" fillId="0" borderId="11" xfId="42" applyBorder="1"/>
    <xf numFmtId="0" fontId="19" fillId="0" borderId="12" xfId="42" applyBorder="1" applyAlignment="1">
      <alignment horizontal="center"/>
    </xf>
    <xf numFmtId="49" fontId="19" fillId="0" borderId="13" xfId="42" applyNumberFormat="1" applyBorder="1" applyAlignment="1">
      <alignment horizontal="center"/>
    </xf>
    <xf numFmtId="164" fontId="19" fillId="0" borderId="12" xfId="42" applyNumberFormat="1" applyBorder="1" applyAlignment="1">
      <alignment horizontal="center"/>
    </xf>
    <xf numFmtId="164" fontId="19" fillId="0" borderId="13" xfId="42" applyNumberFormat="1" applyBorder="1" applyAlignment="1">
      <alignment horizontal="center"/>
    </xf>
    <xf numFmtId="0" fontId="19" fillId="0" borderId="13" xfId="42" applyBorder="1" applyAlignment="1">
      <alignment horizontal="center" textRotation="90"/>
    </xf>
    <xf numFmtId="0" fontId="19" fillId="0" borderId="13" xfId="42" applyBorder="1" applyAlignment="1">
      <alignment horizontal="center"/>
    </xf>
    <xf numFmtId="0" fontId="20" fillId="0" borderId="14" xfId="42" applyFont="1" applyBorder="1"/>
    <xf numFmtId="1" fontId="19" fillId="0" borderId="12" xfId="42" applyNumberFormat="1" applyBorder="1"/>
    <xf numFmtId="2" fontId="21" fillId="0" borderId="12" xfId="42" applyNumberFormat="1" applyFont="1" applyBorder="1" applyAlignment="1">
      <alignment horizontal="center"/>
    </xf>
    <xf numFmtId="1" fontId="19" fillId="0" borderId="15" xfId="42" applyNumberFormat="1" applyBorder="1"/>
    <xf numFmtId="2" fontId="21" fillId="0" borderId="13" xfId="42" applyNumberFormat="1" applyFont="1" applyBorder="1" applyAlignment="1">
      <alignment horizontal="center"/>
    </xf>
    <xf numFmtId="1" fontId="19" fillId="0" borderId="13" xfId="42" applyNumberFormat="1" applyBorder="1"/>
    <xf numFmtId="1" fontId="22" fillId="0" borderId="15" xfId="42" quotePrefix="1" applyNumberFormat="1" applyFont="1" applyBorder="1"/>
    <xf numFmtId="164" fontId="19" fillId="0" borderId="13" xfId="42" applyNumberFormat="1" applyBorder="1" applyAlignment="1">
      <alignment horizontal="right"/>
    </xf>
    <xf numFmtId="1" fontId="22" fillId="0" borderId="13" xfId="42" applyNumberFormat="1" applyFont="1" applyBorder="1"/>
    <xf numFmtId="0" fontId="19" fillId="0" borderId="0" xfId="42"/>
    <xf numFmtId="0" fontId="19" fillId="0" borderId="16" xfId="42" applyBorder="1"/>
    <xf numFmtId="0" fontId="19" fillId="0" borderId="0" xfId="42" applyAlignment="1">
      <alignment horizontal="center"/>
    </xf>
    <xf numFmtId="49" fontId="19" fillId="0" borderId="17" xfId="42" applyNumberFormat="1" applyBorder="1" applyAlignment="1">
      <alignment horizontal="center"/>
    </xf>
    <xf numFmtId="164" fontId="22" fillId="0" borderId="0" xfId="42" applyNumberFormat="1" applyFont="1" applyAlignment="1">
      <alignment horizontal="center"/>
    </xf>
    <xf numFmtId="164" fontId="19" fillId="0" borderId="17" xfId="42" applyNumberFormat="1" applyBorder="1" applyAlignment="1">
      <alignment horizontal="center"/>
    </xf>
    <xf numFmtId="164" fontId="19" fillId="0" borderId="0" xfId="42" applyNumberFormat="1" applyAlignment="1">
      <alignment horizontal="center"/>
    </xf>
    <xf numFmtId="0" fontId="19" fillId="0" borderId="17" xfId="42" applyBorder="1" applyAlignment="1">
      <alignment horizontal="center"/>
    </xf>
    <xf numFmtId="0" fontId="22" fillId="0" borderId="18" xfId="42" applyFont="1" applyBorder="1"/>
    <xf numFmtId="1" fontId="22" fillId="0" borderId="10" xfId="42" applyNumberFormat="1" applyFont="1" applyBorder="1"/>
    <xf numFmtId="0" fontId="23" fillId="0" borderId="10" xfId="42" applyFont="1" applyBorder="1" applyAlignment="1">
      <alignment horizontal="centerContinuous"/>
    </xf>
    <xf numFmtId="1" fontId="22" fillId="0" borderId="19" xfId="42" applyNumberFormat="1" applyFont="1" applyBorder="1"/>
    <xf numFmtId="2" fontId="21" fillId="0" borderId="20" xfId="42" applyNumberFormat="1" applyFont="1" applyBorder="1" applyAlignment="1">
      <alignment horizontal="center"/>
    </xf>
    <xf numFmtId="1" fontId="19" fillId="0" borderId="17" xfId="42" applyNumberFormat="1" applyBorder="1" applyAlignment="1">
      <alignment horizontal="center"/>
    </xf>
    <xf numFmtId="1" fontId="22" fillId="0" borderId="21" xfId="42" applyNumberFormat="1" applyFont="1" applyBorder="1"/>
    <xf numFmtId="164" fontId="19" fillId="0" borderId="17" xfId="42" applyNumberFormat="1" applyBorder="1" applyAlignment="1">
      <alignment horizontal="right"/>
    </xf>
    <xf numFmtId="1" fontId="19" fillId="0" borderId="17" xfId="42" applyNumberFormat="1" applyBorder="1"/>
    <xf numFmtId="1" fontId="22" fillId="0" borderId="17" xfId="42" applyNumberFormat="1" applyFont="1" applyBorder="1"/>
    <xf numFmtId="0" fontId="22" fillId="0" borderId="22" xfId="42" applyFont="1" applyBorder="1"/>
    <xf numFmtId="0" fontId="22" fillId="0" borderId="23" xfId="42" applyFont="1" applyBorder="1" applyAlignment="1">
      <alignment horizontal="center"/>
    </xf>
    <xf numFmtId="49" fontId="22" fillId="0" borderId="24" xfId="42" applyNumberFormat="1" applyFont="1" applyBorder="1" applyAlignment="1">
      <alignment horizontal="center"/>
    </xf>
    <xf numFmtId="164" fontId="22" fillId="0" borderId="23" xfId="42" applyNumberFormat="1" applyFont="1" applyBorder="1" applyAlignment="1">
      <alignment horizontal="center"/>
    </xf>
    <xf numFmtId="164" fontId="22" fillId="0" borderId="24" xfId="42" applyNumberFormat="1" applyFont="1" applyBorder="1" applyAlignment="1">
      <alignment horizontal="center"/>
    </xf>
    <xf numFmtId="164" fontId="22" fillId="0" borderId="23" xfId="42" applyNumberFormat="1" applyFont="1" applyBorder="1" applyAlignment="1">
      <alignment horizontal="center" wrapText="1"/>
    </xf>
    <xf numFmtId="0" fontId="24" fillId="0" borderId="24" xfId="42" applyFont="1" applyBorder="1" applyAlignment="1">
      <alignment horizontal="center" textRotation="90"/>
    </xf>
    <xf numFmtId="0" fontId="24" fillId="0" borderId="23" xfId="42" applyFont="1" applyBorder="1" applyAlignment="1">
      <alignment horizontal="left" textRotation="90"/>
    </xf>
    <xf numFmtId="0" fontId="24" fillId="0" borderId="24" xfId="42" applyFont="1" applyBorder="1" applyAlignment="1">
      <alignment horizontal="left" textRotation="90"/>
    </xf>
    <xf numFmtId="0" fontId="24" fillId="0" borderId="25" xfId="42" applyFont="1" applyBorder="1"/>
    <xf numFmtId="1" fontId="24" fillId="0" borderId="25" xfId="42" applyNumberFormat="1" applyFont="1" applyBorder="1"/>
    <xf numFmtId="2" fontId="23" fillId="0" borderId="25" xfId="42" applyNumberFormat="1" applyFont="1" applyBorder="1" applyAlignment="1">
      <alignment horizontal="center"/>
    </xf>
    <xf numFmtId="1" fontId="23" fillId="0" borderId="25" xfId="42" applyNumberFormat="1" applyFont="1" applyBorder="1"/>
    <xf numFmtId="2" fontId="21" fillId="0" borderId="25" xfId="42" applyNumberFormat="1" applyFont="1" applyBorder="1" applyAlignment="1">
      <alignment horizontal="center"/>
    </xf>
    <xf numFmtId="1" fontId="19" fillId="0" borderId="24" xfId="42" applyNumberFormat="1" applyBorder="1" applyAlignment="1">
      <alignment horizontal="center"/>
    </xf>
    <xf numFmtId="1" fontId="24" fillId="0" borderId="26" xfId="42" applyNumberFormat="1" applyFont="1" applyBorder="1"/>
    <xf numFmtId="164" fontId="24" fillId="0" borderId="24" xfId="42" applyNumberFormat="1" applyFont="1" applyBorder="1" applyAlignment="1">
      <alignment horizontal="left"/>
    </xf>
    <xf numFmtId="1" fontId="25" fillId="0" borderId="24" xfId="42" applyNumberFormat="1" applyFont="1" applyBorder="1"/>
    <xf numFmtId="1" fontId="22" fillId="0" borderId="24" xfId="42" applyNumberFormat="1" applyFont="1" applyBorder="1" applyAlignment="1">
      <alignment horizontal="center"/>
    </xf>
    <xf numFmtId="0" fontId="22" fillId="0" borderId="0" xfId="42" applyFont="1" applyAlignment="1">
      <alignment horizontal="center"/>
    </xf>
    <xf numFmtId="49" fontId="22" fillId="0" borderId="0" xfId="42" applyNumberFormat="1" applyFont="1" applyAlignment="1">
      <alignment horizontal="center"/>
    </xf>
    <xf numFmtId="0" fontId="22" fillId="0" borderId="0" xfId="42" applyFont="1"/>
    <xf numFmtId="1" fontId="22" fillId="0" borderId="0" xfId="42" applyNumberFormat="1" applyFont="1"/>
    <xf numFmtId="2" fontId="23" fillId="0" borderId="0" xfId="42" applyNumberFormat="1" applyFont="1" applyAlignment="1">
      <alignment horizontal="center"/>
    </xf>
    <xf numFmtId="1" fontId="22" fillId="0" borderId="0" xfId="42" applyNumberFormat="1" applyFont="1" applyAlignment="1">
      <alignment horizontal="center"/>
    </xf>
    <xf numFmtId="164" fontId="22" fillId="0" borderId="0" xfId="42" applyNumberFormat="1" applyFont="1" applyAlignment="1">
      <alignment horizontal="right"/>
    </xf>
    <xf numFmtId="164" fontId="22" fillId="0" borderId="0" xfId="42" applyNumberFormat="1" applyFont="1"/>
    <xf numFmtId="0" fontId="22" fillId="33" borderId="0" xfId="42" applyFont="1" applyFill="1"/>
    <xf numFmtId="1" fontId="22" fillId="33" borderId="0" xfId="42" applyNumberFormat="1" applyFont="1" applyFill="1"/>
    <xf numFmtId="0" fontId="26" fillId="0" borderId="0" xfId="42" applyFont="1" applyAlignment="1">
      <alignment horizontal="center"/>
    </xf>
    <xf numFmtId="0" fontId="27" fillId="0" borderId="0" xfId="42" applyFont="1" applyAlignment="1">
      <alignment horizontal="center"/>
    </xf>
    <xf numFmtId="49" fontId="27" fillId="0" borderId="0" xfId="42" applyNumberFormat="1" applyFont="1" applyAlignment="1">
      <alignment horizontal="center"/>
    </xf>
    <xf numFmtId="164" fontId="27" fillId="0" borderId="0" xfId="42" applyNumberFormat="1" applyFont="1" applyAlignment="1">
      <alignment horizontal="center"/>
    </xf>
    <xf numFmtId="0" fontId="27" fillId="0" borderId="0" xfId="42" applyFont="1"/>
    <xf numFmtId="1" fontId="27" fillId="0" borderId="0" xfId="42" applyNumberFormat="1" applyFont="1"/>
    <xf numFmtId="2" fontId="28" fillId="0" borderId="0" xfId="42" applyNumberFormat="1" applyFont="1" applyAlignment="1">
      <alignment horizontal="center"/>
    </xf>
    <xf numFmtId="1" fontId="27" fillId="0" borderId="0" xfId="42" applyNumberFormat="1" applyFont="1" applyAlignment="1">
      <alignment horizontal="center"/>
    </xf>
    <xf numFmtId="164" fontId="27" fillId="0" borderId="0" xfId="42" applyNumberFormat="1" applyFont="1" applyAlignment="1">
      <alignment horizontal="right"/>
    </xf>
    <xf numFmtId="164" fontId="27" fillId="0" borderId="0" xfId="42" applyNumberFormat="1" applyFont="1"/>
    <xf numFmtId="14" fontId="19" fillId="0" borderId="0" xfId="42" applyNumberFormat="1"/>
    <xf numFmtId="0" fontId="29" fillId="0" borderId="0" xfId="42" applyFont="1" applyAlignment="1">
      <alignment horizontal="center"/>
    </xf>
    <xf numFmtId="49" fontId="29" fillId="0" borderId="0" xfId="42" applyNumberFormat="1" applyFont="1" applyAlignment="1">
      <alignment horizontal="center"/>
    </xf>
    <xf numFmtId="164" fontId="29" fillId="0" borderId="0" xfId="42" applyNumberFormat="1" applyFont="1" applyAlignment="1">
      <alignment horizontal="center"/>
    </xf>
    <xf numFmtId="0" fontId="30" fillId="0" borderId="0" xfId="42" applyFont="1" applyAlignment="1">
      <alignment horizontal="center"/>
    </xf>
    <xf numFmtId="0" fontId="29" fillId="0" borderId="0" xfId="42" applyFont="1"/>
    <xf numFmtId="1" fontId="29" fillId="0" borderId="0" xfId="42" applyNumberFormat="1" applyFont="1"/>
    <xf numFmtId="2" fontId="21" fillId="0" borderId="0" xfId="42" applyNumberFormat="1" applyFont="1" applyAlignment="1">
      <alignment horizontal="center"/>
    </xf>
    <xf numFmtId="1" fontId="29" fillId="0" borderId="0" xfId="42" applyNumberFormat="1" applyFont="1" applyAlignment="1">
      <alignment horizontal="center"/>
    </xf>
    <xf numFmtId="164" fontId="29" fillId="0" borderId="0" xfId="42" applyNumberFormat="1" applyFont="1" applyAlignment="1">
      <alignment horizontal="right"/>
    </xf>
    <xf numFmtId="164" fontId="29" fillId="0" borderId="0" xfId="42" applyNumberFormat="1" applyFont="1"/>
    <xf numFmtId="1" fontId="31" fillId="0" borderId="0" xfId="42" applyNumberFormat="1" applyFont="1"/>
    <xf numFmtId="165" fontId="27" fillId="0" borderId="0" xfId="42" applyNumberFormat="1" applyFont="1" applyAlignment="1">
      <alignment horizontal="center"/>
    </xf>
    <xf numFmtId="165" fontId="29" fillId="0" borderId="0" xfId="42" applyNumberFormat="1" applyFont="1" applyAlignment="1">
      <alignment horizontal="center"/>
    </xf>
    <xf numFmtId="0" fontId="32" fillId="0" borderId="0" xfId="42" applyFont="1" applyAlignment="1">
      <alignment horizontal="center"/>
    </xf>
    <xf numFmtId="49" fontId="32" fillId="0" borderId="0" xfId="42" applyNumberFormat="1" applyFont="1" applyAlignment="1">
      <alignment horizontal="center"/>
    </xf>
    <xf numFmtId="1" fontId="32" fillId="0" borderId="0" xfId="42" applyNumberFormat="1" applyFont="1" applyAlignment="1">
      <alignment horizontal="center"/>
    </xf>
    <xf numFmtId="164" fontId="32" fillId="0" borderId="0" xfId="42" applyNumberFormat="1" applyFont="1" applyAlignment="1">
      <alignment horizontal="right"/>
    </xf>
    <xf numFmtId="164" fontId="32" fillId="0" borderId="0" xfId="42" applyNumberFormat="1" applyFont="1" applyAlignment="1">
      <alignment horizontal="center"/>
    </xf>
    <xf numFmtId="1" fontId="32" fillId="0" borderId="0" xfId="42" applyNumberFormat="1" applyFont="1" applyAlignment="1">
      <alignment horizontal="right"/>
    </xf>
    <xf numFmtId="49" fontId="19" fillId="0" borderId="0" xfId="42" applyNumberFormat="1" applyAlignment="1">
      <alignment horizontal="right"/>
    </xf>
    <xf numFmtId="13" fontId="19" fillId="0" borderId="0" xfId="42" applyNumberFormat="1"/>
    <xf numFmtId="49" fontId="19" fillId="0" borderId="0" xfId="42" applyNumberFormat="1"/>
    <xf numFmtId="0" fontId="33" fillId="33" borderId="0" xfId="42" applyFont="1" applyFill="1"/>
    <xf numFmtId="0" fontId="34" fillId="0" borderId="0" xfId="42" applyFont="1"/>
    <xf numFmtId="1" fontId="34" fillId="33" borderId="0" xfId="42" applyNumberFormat="1" applyFont="1" applyFill="1"/>
    <xf numFmtId="0" fontId="19" fillId="0" borderId="0" xfId="42" applyAlignment="1">
      <alignment horizontal="right"/>
    </xf>
    <xf numFmtId="164" fontId="19" fillId="0" borderId="0" xfId="42" applyNumberFormat="1"/>
    <xf numFmtId="1" fontId="33" fillId="33" borderId="0" xfId="42" applyNumberFormat="1" applyFont="1" applyFill="1"/>
    <xf numFmtId="2" fontId="19" fillId="0" borderId="0" xfId="42" applyNumberFormat="1" applyAlignment="1">
      <alignment horizontal="left"/>
    </xf>
    <xf numFmtId="0" fontId="33" fillId="0" borderId="0" xfId="42" applyFont="1"/>
    <xf numFmtId="1" fontId="34" fillId="0" borderId="0" xfId="42" applyNumberFormat="1" applyFont="1"/>
    <xf numFmtId="1" fontId="33" fillId="0" borderId="0" xfId="42" applyNumberFormat="1" applyFont="1"/>
    <xf numFmtId="0" fontId="19" fillId="34" borderId="0" xfId="42" applyFill="1"/>
    <xf numFmtId="0" fontId="22" fillId="35" borderId="0" xfId="42" applyFont="1" applyFill="1" applyAlignment="1">
      <alignment horizontal="center"/>
    </xf>
    <xf numFmtId="49" fontId="22" fillId="35" borderId="0" xfId="42" applyNumberFormat="1" applyFont="1" applyFill="1" applyAlignment="1">
      <alignment horizontal="center"/>
    </xf>
    <xf numFmtId="164" fontId="22" fillId="35" borderId="0" xfId="42" applyNumberFormat="1" applyFont="1" applyFill="1" applyAlignment="1">
      <alignment horizontal="center"/>
    </xf>
    <xf numFmtId="0" fontId="26" fillId="35" borderId="0" xfId="42" applyFont="1" applyFill="1" applyAlignment="1">
      <alignment horizontal="center"/>
    </xf>
    <xf numFmtId="0" fontId="22" fillId="35" borderId="0" xfId="42" applyFont="1" applyFill="1"/>
    <xf numFmtId="1" fontId="22" fillId="35" borderId="0" xfId="42" applyNumberFormat="1" applyFont="1" applyFill="1"/>
    <xf numFmtId="2" fontId="23" fillId="35" borderId="0" xfId="42" applyNumberFormat="1" applyFont="1" applyFill="1" applyAlignment="1">
      <alignment horizontal="center"/>
    </xf>
    <xf numFmtId="1" fontId="22" fillId="35" borderId="0" xfId="42" applyNumberFormat="1" applyFont="1" applyFill="1" applyAlignment="1">
      <alignment horizontal="center"/>
    </xf>
    <xf numFmtId="164" fontId="22" fillId="35" borderId="0" xfId="42" applyNumberFormat="1" applyFont="1" applyFill="1" applyAlignment="1">
      <alignment horizontal="right"/>
    </xf>
    <xf numFmtId="164" fontId="22" fillId="35" borderId="0" xfId="42" applyNumberFormat="1" applyFont="1" applyFill="1"/>
    <xf numFmtId="0" fontId="20" fillId="0" borderId="0" xfId="42" applyFont="1"/>
    <xf numFmtId="1" fontId="19" fillId="0" borderId="0" xfId="42" applyNumberFormat="1"/>
    <xf numFmtId="0" fontId="29" fillId="34" borderId="0" xfId="42" applyFont="1" applyFill="1" applyAlignment="1">
      <alignment horizontal="center"/>
    </xf>
    <xf numFmtId="49" fontId="29" fillId="34" borderId="0" xfId="42" applyNumberFormat="1" applyFont="1" applyFill="1" applyAlignment="1">
      <alignment horizontal="center"/>
    </xf>
    <xf numFmtId="1" fontId="32" fillId="0" borderId="0" xfId="42" applyNumberFormat="1" applyFont="1"/>
    <xf numFmtId="2" fontId="35" fillId="0" borderId="0" xfId="42" applyNumberFormat="1" applyFont="1" applyAlignment="1">
      <alignment horizontal="center"/>
    </xf>
    <xf numFmtId="164" fontId="32" fillId="0" borderId="0" xfId="42" applyNumberFormat="1" applyFont="1"/>
    <xf numFmtId="164" fontId="29" fillId="34" borderId="0" xfId="42" applyNumberFormat="1" applyFont="1" applyFill="1" applyAlignment="1">
      <alignment horizontal="center"/>
    </xf>
    <xf numFmtId="1" fontId="19" fillId="36" borderId="0" xfId="42" applyNumberFormat="1" applyFill="1"/>
    <xf numFmtId="0" fontId="20" fillId="36" borderId="0" xfId="42" applyFont="1" applyFill="1"/>
    <xf numFmtId="1" fontId="20" fillId="36" borderId="0" xfId="42" applyNumberFormat="1" applyFont="1" applyFill="1"/>
    <xf numFmtId="1" fontId="20" fillId="0" borderId="0" xfId="42" applyNumberFormat="1" applyFont="1"/>
    <xf numFmtId="0" fontId="20" fillId="34" borderId="0" xfId="42" applyFont="1" applyFill="1"/>
    <xf numFmtId="0" fontId="19" fillId="37" borderId="27" xfId="42" applyFill="1" applyBorder="1"/>
    <xf numFmtId="0" fontId="20" fillId="37" borderId="28" xfId="42" applyFont="1" applyFill="1" applyBorder="1"/>
    <xf numFmtId="0" fontId="19" fillId="37" borderId="28" xfId="42" applyFill="1" applyBorder="1"/>
    <xf numFmtId="0" fontId="19" fillId="37" borderId="29" xfId="42" applyFill="1" applyBorder="1"/>
    <xf numFmtId="0" fontId="19" fillId="0" borderId="30" xfId="42" applyBorder="1"/>
    <xf numFmtId="1" fontId="20" fillId="0" borderId="31" xfId="42" applyNumberFormat="1" applyFont="1" applyBorder="1"/>
    <xf numFmtId="9" fontId="19" fillId="0" borderId="31" xfId="42" applyNumberFormat="1" applyBorder="1"/>
    <xf numFmtId="0" fontId="19" fillId="0" borderId="31" xfId="42" applyBorder="1"/>
    <xf numFmtId="0" fontId="19" fillId="0" borderId="32" xfId="42" applyBorder="1"/>
    <xf numFmtId="10" fontId="19" fillId="0" borderId="31" xfId="42" applyNumberFormat="1" applyBorder="1"/>
    <xf numFmtId="0" fontId="20" fillId="0" borderId="31" xfId="42" applyFont="1" applyBorder="1"/>
    <xf numFmtId="0" fontId="19" fillId="0" borderId="33" xfId="42" applyBorder="1"/>
    <xf numFmtId="0" fontId="20" fillId="0" borderId="34" xfId="42" applyFont="1" applyBorder="1"/>
    <xf numFmtId="0" fontId="19" fillId="0" borderId="34" xfId="42" applyBorder="1"/>
    <xf numFmtId="0" fontId="19" fillId="0" borderId="35" xfId="42" applyBorder="1"/>
    <xf numFmtId="0" fontId="19" fillId="0" borderId="36" xfId="42" applyBorder="1"/>
    <xf numFmtId="0" fontId="20" fillId="0" borderId="37" xfId="42" applyFont="1" applyBorder="1"/>
    <xf numFmtId="0" fontId="19" fillId="0" borderId="37" xfId="42" applyBorder="1"/>
    <xf numFmtId="0" fontId="19" fillId="0" borderId="38" xfId="42" applyBorder="1"/>
    <xf numFmtId="0" fontId="34" fillId="37" borderId="39" xfId="42" applyFont="1" applyFill="1" applyBorder="1"/>
    <xf numFmtId="0" fontId="34" fillId="37" borderId="40" xfId="42" applyFont="1" applyFill="1" applyBorder="1"/>
    <xf numFmtId="0" fontId="34" fillId="37" borderId="41" xfId="42" applyFont="1" applyFill="1" applyBorder="1"/>
    <xf numFmtId="0" fontId="19" fillId="37" borderId="39" xfId="42" applyFill="1" applyBorder="1"/>
    <xf numFmtId="0" fontId="34" fillId="0" borderId="42" xfId="42" applyFont="1" applyBorder="1"/>
    <xf numFmtId="0" fontId="34" fillId="0" borderId="43" xfId="42" applyFont="1" applyBorder="1" applyAlignment="1">
      <alignment horizontal="center"/>
    </xf>
    <xf numFmtId="0" fontId="19" fillId="0" borderId="43" xfId="42" applyBorder="1" applyAlignment="1">
      <alignment horizontal="center"/>
    </xf>
    <xf numFmtId="0" fontId="34" fillId="0" borderId="44" xfId="42" applyFont="1" applyBorder="1" applyAlignment="1">
      <alignment horizontal="center"/>
    </xf>
    <xf numFmtId="0" fontId="34" fillId="0" borderId="45" xfId="42" applyFont="1" applyBorder="1"/>
    <xf numFmtId="0" fontId="34" fillId="0" borderId="0" xfId="42" applyFont="1" applyAlignment="1">
      <alignment horizontal="center"/>
    </xf>
    <xf numFmtId="0" fontId="34" fillId="0" borderId="21" xfId="42" applyFont="1" applyBorder="1" applyAlignment="1">
      <alignment horizontal="center"/>
    </xf>
    <xf numFmtId="0" fontId="19" fillId="0" borderId="45" xfId="42" applyBorder="1"/>
    <xf numFmtId="0" fontId="19" fillId="0" borderId="21" xfId="42" applyBorder="1" applyAlignment="1">
      <alignment horizontal="center"/>
    </xf>
    <xf numFmtId="0" fontId="19" fillId="37" borderId="28" xfId="42" applyFill="1" applyBorder="1" applyAlignment="1">
      <alignment horizontal="center"/>
    </xf>
    <xf numFmtId="0" fontId="34" fillId="37" borderId="28" xfId="42" applyFont="1" applyFill="1" applyBorder="1" applyAlignment="1">
      <alignment horizontal="center"/>
    </xf>
    <xf numFmtId="0" fontId="34" fillId="37" borderId="29" xfId="42" applyFont="1" applyFill="1" applyBorder="1" applyAlignment="1">
      <alignment horizontal="center"/>
    </xf>
    <xf numFmtId="0" fontId="19" fillId="37" borderId="30" xfId="42" applyFill="1" applyBorder="1"/>
    <xf numFmtId="0" fontId="19" fillId="37" borderId="31" xfId="42" applyFill="1" applyBorder="1" applyAlignment="1">
      <alignment horizontal="center"/>
    </xf>
    <xf numFmtId="0" fontId="34" fillId="37" borderId="31" xfId="42" applyFont="1" applyFill="1" applyBorder="1" applyAlignment="1">
      <alignment horizontal="center"/>
    </xf>
    <xf numFmtId="0" fontId="34" fillId="37" borderId="32" xfId="42" applyFont="1" applyFill="1" applyBorder="1" applyAlignment="1">
      <alignment horizontal="center"/>
    </xf>
    <xf numFmtId="0" fontId="19" fillId="37" borderId="36" xfId="42" applyFill="1" applyBorder="1"/>
    <xf numFmtId="0" fontId="19" fillId="37" borderId="37" xfId="42" applyFill="1" applyBorder="1" applyAlignment="1">
      <alignment horizontal="center"/>
    </xf>
    <xf numFmtId="0" fontId="34" fillId="37" borderId="37" xfId="42" applyFont="1" applyFill="1" applyBorder="1" applyAlignment="1">
      <alignment horizontal="center"/>
    </xf>
    <xf numFmtId="0" fontId="34" fillId="37" borderId="38" xfId="42" applyFont="1" applyFill="1" applyBorder="1" applyAlignment="1">
      <alignment horizontal="center"/>
    </xf>
    <xf numFmtId="0" fontId="34" fillId="0" borderId="18" xfId="42" applyFont="1" applyBorder="1"/>
    <xf numFmtId="0" fontId="34" fillId="0" borderId="10" xfId="42" applyFont="1" applyBorder="1" applyAlignment="1">
      <alignment horizontal="center"/>
    </xf>
    <xf numFmtId="0" fontId="19" fillId="0" borderId="10" xfId="42" applyBorder="1" applyAlignment="1">
      <alignment horizontal="center"/>
    </xf>
    <xf numFmtId="0" fontId="34" fillId="0" borderId="19" xfId="42" applyFont="1" applyBorder="1" applyAlignment="1">
      <alignment horizontal="center"/>
    </xf>
    <xf numFmtId="0" fontId="19" fillId="0" borderId="46" xfId="42" applyBorder="1"/>
    <xf numFmtId="0" fontId="19" fillId="0" borderId="47" xfId="42" applyBorder="1" applyAlignment="1">
      <alignment horizontal="center"/>
    </xf>
    <xf numFmtId="0" fontId="34" fillId="0" borderId="47" xfId="42" applyFont="1" applyBorder="1" applyAlignment="1">
      <alignment horizontal="center"/>
    </xf>
    <xf numFmtId="0" fontId="34" fillId="0" borderId="48" xfId="42" applyFont="1" applyBorder="1" applyAlignment="1">
      <alignment horizontal="center"/>
    </xf>
    <xf numFmtId="0" fontId="34" fillId="0" borderId="43" xfId="42" applyFont="1" applyBorder="1"/>
    <xf numFmtId="49" fontId="34" fillId="0" borderId="18" xfId="42" applyNumberFormat="1" applyFont="1" applyBorder="1" applyAlignment="1">
      <alignment horizontal="center"/>
    </xf>
    <xf numFmtId="0" fontId="34" fillId="0" borderId="10" xfId="42" applyFont="1" applyBorder="1"/>
    <xf numFmtId="0" fontId="34" fillId="37" borderId="40" xfId="42" applyFont="1" applyFill="1" applyBorder="1" applyAlignment="1">
      <alignment horizontal="center"/>
    </xf>
    <xf numFmtId="0" fontId="34" fillId="37" borderId="41" xfId="42" applyFont="1" applyFill="1" applyBorder="1" applyAlignment="1">
      <alignment horizontal="center"/>
    </xf>
    <xf numFmtId="0" fontId="34" fillId="0" borderId="42" xfId="42" applyFont="1" applyBorder="1" applyAlignment="1">
      <alignment horizontal="left"/>
    </xf>
    <xf numFmtId="0" fontId="19" fillId="0" borderId="42" xfId="42" applyBorder="1"/>
    <xf numFmtId="0" fontId="20" fillId="0" borderId="43" xfId="42" applyFont="1" applyBorder="1"/>
    <xf numFmtId="0" fontId="19" fillId="0" borderId="43" xfId="42" applyBorder="1"/>
    <xf numFmtId="0" fontId="19" fillId="0" borderId="21" xfId="42" applyBorder="1"/>
    <xf numFmtId="49" fontId="34" fillId="0" borderId="18" xfId="42" applyNumberFormat="1" applyFont="1" applyBorder="1" applyAlignment="1">
      <alignment horizontal="left"/>
    </xf>
    <xf numFmtId="0" fontId="19" fillId="0" borderId="18" xfId="42" applyBorder="1"/>
    <xf numFmtId="0" fontId="20" fillId="0" borderId="10" xfId="42" applyFont="1" applyBorder="1"/>
    <xf numFmtId="0" fontId="19" fillId="0" borderId="10" xfId="42" applyBorder="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 2" xfId="42" xr:uid="{61E4A2F3-F90D-40AF-816B-E7BD03A572F8}"/>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Vanbuskirk, Nicholas W (DFW)" id="{CE5D33A6-3CEE-4238-9BDE-81996386B13A}" userId="S::Nicholas.Vanbuskirk@dfw.wa.gov::1e95253f-6350-4965-9387-98255f8d6c1c"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M30" dT="2022-02-10T00:04:02.21" personId="{CE5D33A6-3CEE-4238-9BDE-81996386B13A}" id="{6A6A3E2A-DD6E-45CE-B72C-58E03BDAB8FC}">
    <text>If we would have been up here during actual peak there would have been fish, need to use R/M to account for these</text>
  </threadedComment>
  <threadedComment ref="M30" dT="2022-03-14T20:01:43.67" personId="{CE5D33A6-3CEE-4238-9BDE-81996386B13A}" id="{99840581-4F81-4C6C-B37D-E365BBBC557E}" parentId="{6A6A3E2A-DD6E-45CE-B72C-58E03BDAB8FC}">
    <text>Revised estimate based on 2020/2021 survey season.  This supp accounted for 3% of south fork redds (4/133).  Updated estimate is 7 redds</text>
  </threadedComment>
  <threadedComment ref="M48" dT="2022-03-14T20:20:23.75" personId="{CE5D33A6-3CEE-4238-9BDE-81996386B13A}" id="{A146F942-BCDB-490C-AD0A-672B39490823}">
    <text>V/C unusable, instead using % of total NF redds from previous two years</text>
  </threadedComment>
  <threadedComment ref="M49" dT="2022-03-14T20:23:28.45" personId="{CE5D33A6-3CEE-4238-9BDE-81996386B13A}" id="{20615895-1608-4749-8542-1421025A50A5}">
    <text>V/C unusable, instead using % of total NF redds from previous two years</text>
  </threadedComment>
  <threadedComment ref="M50" dT="2022-03-14T20:23:32.54" personId="{CE5D33A6-3CEE-4238-9BDE-81996386B13A}" id="{94DCD6B9-0D7A-4A10-B1B3-D82BC39DC65B}">
    <text>V/C unusable, instead using % of total NF redds from previous two years</text>
  </threadedComment>
  <threadedComment ref="B151" dT="2022-02-10T21:03:44.43" personId="{CE5D33A6-3CEE-4238-9BDE-81996386B13A}" id="{5FEF1BA7-8D71-408F-BC26-7BD85825B195}">
    <text>Need to check the name and length of this trib</text>
  </threadedComment>
  <threadedComment ref="N155" dT="2022-02-10T21:43:19.51" personId="{CE5D33A6-3CEE-4238-9BDE-81996386B13A}" id="{4E93D429-4090-421F-8150-F693CB3AFBD6}">
    <text>Theres possibly fish passage issues during low flows through beaver dams just above 0.5, might not be appropriate to apply the total year V/C to this section.</text>
  </threadedComment>
  <threadedComment ref="L188" dT="2022-03-07T21:54:27.07" personId="{CE5D33A6-3CEE-4238-9BDE-81996386B13A}" id="{09C8D093-B0B9-4388-9C20-CFFEE0D12614}">
    <text>This include the 8,11 and 9 redds in the next rows.  Just broke them out incase we want to  break up the H/W on a finer scale</text>
  </threadedComment>
  <threadedComment ref="U188" dT="2022-03-07T21:55:03.70" personId="{CE5D33A6-3CEE-4238-9BDE-81996386B13A}" id="{7E1C9DCC-3A31-4593-A41C-78BC95972EA5}">
    <text>This includes the 11, 10, and 2 redds in the rows below.  Just broke them up incase we want to break down H/W proportions on a more fine scale.</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H111"/>
  <sheetViews>
    <sheetView tabSelected="1" topLeftCell="A4" workbookViewId="0"/>
  </sheetViews>
  <sheetFormatPr defaultRowHeight="15" x14ac:dyDescent="0.25"/>
  <cols>
    <col min="1" max="1" width="91.5703125" bestFit="1" customWidth="1"/>
  </cols>
  <sheetData>
    <row r="1" spans="1:34" x14ac:dyDescent="0.25">
      <c r="A1" s="1" t="s">
        <v>112</v>
      </c>
      <c r="B1" s="1" t="s">
        <v>111</v>
      </c>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row>
    <row r="2" spans="1:34" x14ac:dyDescent="0.25">
      <c r="A2" s="2" t="s">
        <v>0</v>
      </c>
      <c r="B2" s="2">
        <v>30</v>
      </c>
      <c r="C2" s="2">
        <v>31</v>
      </c>
      <c r="D2" s="2">
        <v>32</v>
      </c>
      <c r="E2" s="2">
        <v>33</v>
      </c>
      <c r="F2" s="2">
        <v>34</v>
      </c>
      <c r="G2" s="2">
        <v>35</v>
      </c>
      <c r="H2" s="2">
        <v>36</v>
      </c>
      <c r="I2" s="2">
        <v>37</v>
      </c>
      <c r="J2" s="2">
        <v>38</v>
      </c>
      <c r="K2" s="2">
        <v>39</v>
      </c>
      <c r="L2" s="2">
        <v>40</v>
      </c>
      <c r="M2" s="2">
        <v>41</v>
      </c>
      <c r="N2" s="2">
        <v>42</v>
      </c>
      <c r="O2" s="2">
        <v>43</v>
      </c>
      <c r="P2" s="2">
        <v>44</v>
      </c>
      <c r="Q2" s="2">
        <v>45</v>
      </c>
      <c r="R2" s="2">
        <v>46</v>
      </c>
      <c r="S2" s="2">
        <v>47</v>
      </c>
      <c r="T2" s="2">
        <v>48</v>
      </c>
      <c r="U2" s="2">
        <v>49</v>
      </c>
      <c r="V2" s="2">
        <v>50</v>
      </c>
      <c r="W2" s="2">
        <v>51</v>
      </c>
      <c r="X2" s="2">
        <v>52</v>
      </c>
      <c r="Y2" s="2" t="s">
        <v>1</v>
      </c>
      <c r="Z2" s="2">
        <v>2</v>
      </c>
      <c r="AA2" s="2">
        <v>3</v>
      </c>
      <c r="AB2" s="2">
        <v>4</v>
      </c>
      <c r="AC2" s="2">
        <v>5</v>
      </c>
      <c r="AD2" s="2">
        <v>6</v>
      </c>
      <c r="AE2" s="2">
        <v>7</v>
      </c>
      <c r="AF2" s="2">
        <v>8</v>
      </c>
      <c r="AG2" s="2">
        <v>9</v>
      </c>
      <c r="AH2" s="2">
        <v>10</v>
      </c>
    </row>
    <row r="3" spans="1:34" x14ac:dyDescent="0.25">
      <c r="A3" t="s">
        <v>2</v>
      </c>
      <c r="B3" t="s">
        <v>3</v>
      </c>
      <c r="C3" t="s">
        <v>3</v>
      </c>
      <c r="D3" t="s">
        <v>3</v>
      </c>
      <c r="E3" t="s">
        <v>3</v>
      </c>
      <c r="F3" t="s">
        <v>3</v>
      </c>
      <c r="G3" t="s">
        <v>3</v>
      </c>
      <c r="H3" t="s">
        <v>3</v>
      </c>
      <c r="I3" t="s">
        <v>3</v>
      </c>
      <c r="J3" t="s">
        <v>3</v>
      </c>
      <c r="K3" t="s">
        <v>3</v>
      </c>
      <c r="L3" t="s">
        <v>3</v>
      </c>
      <c r="M3" t="s">
        <v>3</v>
      </c>
      <c r="N3" t="s">
        <v>3</v>
      </c>
      <c r="O3" t="s">
        <v>3</v>
      </c>
      <c r="P3">
        <v>0</v>
      </c>
      <c r="Q3">
        <v>0</v>
      </c>
      <c r="R3">
        <v>3</v>
      </c>
      <c r="S3">
        <v>3</v>
      </c>
      <c r="T3">
        <v>2</v>
      </c>
      <c r="U3">
        <v>0</v>
      </c>
      <c r="V3">
        <v>1</v>
      </c>
      <c r="W3">
        <v>2</v>
      </c>
      <c r="X3">
        <v>0</v>
      </c>
      <c r="Y3">
        <v>0</v>
      </c>
      <c r="Z3">
        <v>0</v>
      </c>
      <c r="AA3">
        <v>5</v>
      </c>
      <c r="AB3">
        <v>6</v>
      </c>
      <c r="AC3">
        <v>3</v>
      </c>
      <c r="AD3">
        <v>2</v>
      </c>
      <c r="AE3">
        <v>0</v>
      </c>
      <c r="AF3">
        <v>0</v>
      </c>
      <c r="AG3">
        <v>0</v>
      </c>
      <c r="AH3" t="s">
        <v>3</v>
      </c>
    </row>
    <row r="4" spans="1:34" x14ac:dyDescent="0.25">
      <c r="A4" t="s">
        <v>4</v>
      </c>
      <c r="B4" t="s">
        <v>3</v>
      </c>
      <c r="C4" t="s">
        <v>3</v>
      </c>
      <c r="D4" t="s">
        <v>3</v>
      </c>
      <c r="E4" t="s">
        <v>3</v>
      </c>
      <c r="F4" t="s">
        <v>3</v>
      </c>
      <c r="G4" t="s">
        <v>3</v>
      </c>
      <c r="H4" t="s">
        <v>3</v>
      </c>
      <c r="I4" t="s">
        <v>3</v>
      </c>
      <c r="J4" t="s">
        <v>3</v>
      </c>
      <c r="K4" t="s">
        <v>3</v>
      </c>
      <c r="L4" t="s">
        <v>3</v>
      </c>
      <c r="M4" t="s">
        <v>3</v>
      </c>
      <c r="N4" t="s">
        <v>3</v>
      </c>
      <c r="O4">
        <v>0</v>
      </c>
      <c r="P4">
        <v>3</v>
      </c>
      <c r="Q4">
        <v>1</v>
      </c>
      <c r="R4">
        <v>2</v>
      </c>
      <c r="S4">
        <v>2</v>
      </c>
      <c r="T4">
        <v>5</v>
      </c>
      <c r="U4">
        <v>8</v>
      </c>
      <c r="V4">
        <v>3</v>
      </c>
      <c r="W4">
        <v>9</v>
      </c>
      <c r="X4">
        <v>5</v>
      </c>
      <c r="Y4">
        <v>0</v>
      </c>
      <c r="Z4">
        <v>15</v>
      </c>
      <c r="AA4">
        <v>0</v>
      </c>
      <c r="AB4">
        <v>2</v>
      </c>
      <c r="AC4">
        <v>2</v>
      </c>
      <c r="AD4">
        <v>0</v>
      </c>
      <c r="AE4">
        <v>0</v>
      </c>
      <c r="AF4">
        <v>0</v>
      </c>
      <c r="AG4">
        <v>0</v>
      </c>
      <c r="AH4">
        <v>0</v>
      </c>
    </row>
    <row r="5" spans="1:34" x14ac:dyDescent="0.25">
      <c r="A5" t="s">
        <v>5</v>
      </c>
      <c r="B5" t="s">
        <v>3</v>
      </c>
      <c r="C5" t="s">
        <v>3</v>
      </c>
      <c r="D5" t="s">
        <v>3</v>
      </c>
      <c r="E5" t="s">
        <v>3</v>
      </c>
      <c r="F5" t="s">
        <v>3</v>
      </c>
      <c r="G5" t="s">
        <v>3</v>
      </c>
      <c r="H5" t="s">
        <v>3</v>
      </c>
      <c r="I5" t="s">
        <v>3</v>
      </c>
      <c r="J5" t="s">
        <v>3</v>
      </c>
      <c r="K5" t="s">
        <v>3</v>
      </c>
      <c r="L5" t="s">
        <v>3</v>
      </c>
      <c r="M5" t="s">
        <v>3</v>
      </c>
      <c r="N5" t="s">
        <v>3</v>
      </c>
      <c r="O5" t="s">
        <v>3</v>
      </c>
      <c r="P5">
        <v>0</v>
      </c>
      <c r="Q5">
        <v>2</v>
      </c>
      <c r="R5">
        <v>8</v>
      </c>
      <c r="S5">
        <v>10</v>
      </c>
      <c r="T5">
        <v>2</v>
      </c>
      <c r="U5">
        <v>1</v>
      </c>
      <c r="V5">
        <v>3</v>
      </c>
      <c r="W5">
        <v>9</v>
      </c>
      <c r="X5">
        <v>4</v>
      </c>
      <c r="Y5">
        <v>0</v>
      </c>
      <c r="Z5">
        <v>3</v>
      </c>
      <c r="AA5">
        <v>4</v>
      </c>
      <c r="AB5">
        <v>2</v>
      </c>
      <c r="AC5">
        <v>0</v>
      </c>
      <c r="AD5">
        <v>1</v>
      </c>
      <c r="AE5">
        <v>0</v>
      </c>
      <c r="AF5">
        <v>0</v>
      </c>
      <c r="AG5">
        <v>0</v>
      </c>
      <c r="AH5">
        <v>0</v>
      </c>
    </row>
    <row r="6" spans="1:34" x14ac:dyDescent="0.25">
      <c r="A6" t="s">
        <v>6</v>
      </c>
      <c r="B6" t="s">
        <v>3</v>
      </c>
      <c r="C6" t="s">
        <v>3</v>
      </c>
      <c r="D6" t="s">
        <v>3</v>
      </c>
      <c r="E6" t="s">
        <v>3</v>
      </c>
      <c r="F6" t="s">
        <v>3</v>
      </c>
      <c r="G6" t="s">
        <v>3</v>
      </c>
      <c r="H6" t="s">
        <v>3</v>
      </c>
      <c r="I6" t="s">
        <v>3</v>
      </c>
      <c r="J6" t="s">
        <v>3</v>
      </c>
      <c r="K6" t="s">
        <v>3</v>
      </c>
      <c r="L6" t="s">
        <v>3</v>
      </c>
      <c r="M6" t="s">
        <v>3</v>
      </c>
      <c r="N6" t="s">
        <v>3</v>
      </c>
      <c r="O6" t="s">
        <v>3</v>
      </c>
      <c r="P6" t="s">
        <v>3</v>
      </c>
      <c r="Q6" t="s">
        <v>3</v>
      </c>
      <c r="R6" t="s">
        <v>3</v>
      </c>
      <c r="S6" t="s">
        <v>3</v>
      </c>
      <c r="T6" t="s">
        <v>3</v>
      </c>
      <c r="U6" t="s">
        <v>3</v>
      </c>
      <c r="V6" t="s">
        <v>3</v>
      </c>
      <c r="W6" t="s">
        <v>3</v>
      </c>
      <c r="X6" t="s">
        <v>3</v>
      </c>
      <c r="Y6" t="s">
        <v>3</v>
      </c>
      <c r="Z6" t="s">
        <v>3</v>
      </c>
      <c r="AA6">
        <v>3</v>
      </c>
      <c r="AB6" t="s">
        <v>3</v>
      </c>
      <c r="AC6" t="s">
        <v>3</v>
      </c>
      <c r="AD6" t="s">
        <v>3</v>
      </c>
      <c r="AE6" t="s">
        <v>3</v>
      </c>
      <c r="AF6" t="s">
        <v>3</v>
      </c>
      <c r="AG6" t="s">
        <v>3</v>
      </c>
      <c r="AH6" t="s">
        <v>3</v>
      </c>
    </row>
    <row r="7" spans="1:34" x14ac:dyDescent="0.25">
      <c r="A7" t="s">
        <v>7</v>
      </c>
      <c r="B7" t="s">
        <v>3</v>
      </c>
      <c r="C7" t="s">
        <v>3</v>
      </c>
      <c r="D7" t="s">
        <v>3</v>
      </c>
      <c r="E7" t="s">
        <v>3</v>
      </c>
      <c r="F7" t="s">
        <v>3</v>
      </c>
      <c r="G7" t="s">
        <v>3</v>
      </c>
      <c r="H7" t="s">
        <v>3</v>
      </c>
      <c r="I7" t="s">
        <v>3</v>
      </c>
      <c r="J7" t="s">
        <v>3</v>
      </c>
      <c r="K7" t="s">
        <v>3</v>
      </c>
      <c r="L7" t="s">
        <v>3</v>
      </c>
      <c r="M7" t="s">
        <v>3</v>
      </c>
      <c r="N7" t="s">
        <v>3</v>
      </c>
      <c r="O7">
        <v>0</v>
      </c>
      <c r="P7">
        <v>0</v>
      </c>
      <c r="Q7">
        <v>0</v>
      </c>
      <c r="R7">
        <v>0</v>
      </c>
      <c r="S7">
        <v>0</v>
      </c>
      <c r="T7">
        <v>0</v>
      </c>
      <c r="U7">
        <v>0</v>
      </c>
      <c r="V7">
        <v>0</v>
      </c>
      <c r="W7">
        <v>0</v>
      </c>
      <c r="X7">
        <v>0</v>
      </c>
      <c r="Y7">
        <v>0</v>
      </c>
      <c r="Z7">
        <v>0</v>
      </c>
      <c r="AA7">
        <v>0</v>
      </c>
      <c r="AB7">
        <v>0</v>
      </c>
      <c r="AC7">
        <v>0</v>
      </c>
      <c r="AD7">
        <v>0</v>
      </c>
      <c r="AE7">
        <v>0</v>
      </c>
      <c r="AF7">
        <v>0</v>
      </c>
      <c r="AG7">
        <v>0</v>
      </c>
      <c r="AH7">
        <v>0</v>
      </c>
    </row>
    <row r="8" spans="1:34" x14ac:dyDescent="0.25">
      <c r="A8" t="s">
        <v>8</v>
      </c>
      <c r="B8" t="s">
        <v>3</v>
      </c>
      <c r="C8" t="s">
        <v>3</v>
      </c>
      <c r="D8" t="s">
        <v>3</v>
      </c>
      <c r="E8" t="s">
        <v>3</v>
      </c>
      <c r="F8" t="s">
        <v>3</v>
      </c>
      <c r="G8" t="s">
        <v>3</v>
      </c>
      <c r="H8" t="s">
        <v>3</v>
      </c>
      <c r="I8" t="s">
        <v>3</v>
      </c>
      <c r="J8" t="s">
        <v>3</v>
      </c>
      <c r="K8" t="s">
        <v>3</v>
      </c>
      <c r="L8" t="s">
        <v>3</v>
      </c>
      <c r="M8" t="s">
        <v>3</v>
      </c>
      <c r="N8" t="s">
        <v>3</v>
      </c>
      <c r="O8">
        <v>0</v>
      </c>
      <c r="P8">
        <v>2</v>
      </c>
      <c r="Q8">
        <v>1</v>
      </c>
      <c r="R8">
        <v>1</v>
      </c>
      <c r="S8">
        <v>3</v>
      </c>
      <c r="T8">
        <v>4</v>
      </c>
      <c r="U8">
        <v>1</v>
      </c>
      <c r="V8">
        <v>2</v>
      </c>
      <c r="W8">
        <v>4</v>
      </c>
      <c r="X8">
        <v>1</v>
      </c>
      <c r="Y8">
        <v>0</v>
      </c>
      <c r="Z8">
        <v>0</v>
      </c>
      <c r="AA8">
        <v>0</v>
      </c>
      <c r="AB8">
        <v>0</v>
      </c>
      <c r="AC8">
        <v>1</v>
      </c>
      <c r="AD8">
        <v>0</v>
      </c>
      <c r="AE8">
        <v>0</v>
      </c>
      <c r="AF8">
        <v>0</v>
      </c>
      <c r="AG8">
        <v>0</v>
      </c>
      <c r="AH8">
        <v>0</v>
      </c>
    </row>
    <row r="9" spans="1:34" x14ac:dyDescent="0.25">
      <c r="A9" t="s">
        <v>9</v>
      </c>
      <c r="B9" t="s">
        <v>3</v>
      </c>
      <c r="C9" t="s">
        <v>3</v>
      </c>
      <c r="D9" t="s">
        <v>3</v>
      </c>
      <c r="E9" t="s">
        <v>3</v>
      </c>
      <c r="F9" t="s">
        <v>3</v>
      </c>
      <c r="G9" t="s">
        <v>3</v>
      </c>
      <c r="H9" t="s">
        <v>3</v>
      </c>
      <c r="I9" t="s">
        <v>3</v>
      </c>
      <c r="J9" t="s">
        <v>3</v>
      </c>
      <c r="K9" t="s">
        <v>3</v>
      </c>
      <c r="L9" t="s">
        <v>3</v>
      </c>
      <c r="M9" t="s">
        <v>3</v>
      </c>
      <c r="N9" t="s">
        <v>3</v>
      </c>
      <c r="O9" t="s">
        <v>3</v>
      </c>
      <c r="P9">
        <v>1</v>
      </c>
      <c r="Q9">
        <v>0</v>
      </c>
      <c r="R9">
        <v>1</v>
      </c>
      <c r="S9">
        <v>2</v>
      </c>
      <c r="T9">
        <v>2</v>
      </c>
      <c r="U9">
        <v>5</v>
      </c>
      <c r="V9">
        <v>1</v>
      </c>
      <c r="W9">
        <v>2</v>
      </c>
      <c r="X9">
        <v>2</v>
      </c>
      <c r="Y9">
        <v>0</v>
      </c>
      <c r="Z9">
        <v>0</v>
      </c>
      <c r="AA9">
        <v>0</v>
      </c>
      <c r="AB9">
        <v>0</v>
      </c>
      <c r="AC9">
        <v>1</v>
      </c>
      <c r="AD9">
        <v>0</v>
      </c>
      <c r="AE9">
        <v>0</v>
      </c>
      <c r="AF9">
        <v>0</v>
      </c>
      <c r="AG9">
        <v>0</v>
      </c>
      <c r="AH9">
        <v>0</v>
      </c>
    </row>
    <row r="10" spans="1:34" x14ac:dyDescent="0.25">
      <c r="A10" t="s">
        <v>10</v>
      </c>
      <c r="B10" t="s">
        <v>3</v>
      </c>
      <c r="C10" t="s">
        <v>3</v>
      </c>
      <c r="D10" t="s">
        <v>3</v>
      </c>
      <c r="E10" t="s">
        <v>3</v>
      </c>
      <c r="F10" t="s">
        <v>3</v>
      </c>
      <c r="G10" t="s">
        <v>3</v>
      </c>
      <c r="H10" t="s">
        <v>3</v>
      </c>
      <c r="I10" t="s">
        <v>3</v>
      </c>
      <c r="J10" t="s">
        <v>3</v>
      </c>
      <c r="K10" t="s">
        <v>3</v>
      </c>
      <c r="L10" t="s">
        <v>3</v>
      </c>
      <c r="M10" t="s">
        <v>3</v>
      </c>
      <c r="N10" t="s">
        <v>3</v>
      </c>
      <c r="O10" t="s">
        <v>3</v>
      </c>
      <c r="P10">
        <v>0</v>
      </c>
      <c r="Q10">
        <v>0</v>
      </c>
      <c r="R10">
        <v>6</v>
      </c>
      <c r="S10">
        <v>11</v>
      </c>
      <c r="T10">
        <v>4</v>
      </c>
      <c r="U10">
        <v>16</v>
      </c>
      <c r="V10">
        <v>9</v>
      </c>
      <c r="W10">
        <v>11</v>
      </c>
      <c r="X10">
        <v>19</v>
      </c>
      <c r="Y10">
        <v>0</v>
      </c>
      <c r="Z10">
        <v>0</v>
      </c>
      <c r="AA10">
        <v>0</v>
      </c>
      <c r="AB10">
        <v>0</v>
      </c>
      <c r="AC10">
        <v>0</v>
      </c>
      <c r="AD10">
        <v>0</v>
      </c>
      <c r="AE10">
        <v>0</v>
      </c>
      <c r="AF10">
        <v>0</v>
      </c>
      <c r="AG10">
        <v>0</v>
      </c>
      <c r="AH10">
        <v>0</v>
      </c>
    </row>
    <row r="11" spans="1:34" x14ac:dyDescent="0.25">
      <c r="A11" t="s">
        <v>11</v>
      </c>
      <c r="B11" t="s">
        <v>3</v>
      </c>
      <c r="C11" t="s">
        <v>3</v>
      </c>
      <c r="D11" t="s">
        <v>3</v>
      </c>
      <c r="E11" t="s">
        <v>3</v>
      </c>
      <c r="F11" t="s">
        <v>3</v>
      </c>
      <c r="G11" t="s">
        <v>3</v>
      </c>
      <c r="H11" t="s">
        <v>3</v>
      </c>
      <c r="I11" t="s">
        <v>3</v>
      </c>
      <c r="J11" t="s">
        <v>3</v>
      </c>
      <c r="K11" t="s">
        <v>3</v>
      </c>
      <c r="L11" t="s">
        <v>3</v>
      </c>
      <c r="M11" t="s">
        <v>3</v>
      </c>
      <c r="N11" t="s">
        <v>3</v>
      </c>
      <c r="O11" t="s">
        <v>3</v>
      </c>
      <c r="P11" t="s">
        <v>3</v>
      </c>
      <c r="Q11" t="s">
        <v>3</v>
      </c>
      <c r="R11" t="s">
        <v>3</v>
      </c>
      <c r="S11" t="s">
        <v>3</v>
      </c>
      <c r="T11">
        <v>14</v>
      </c>
      <c r="U11" t="s">
        <v>3</v>
      </c>
      <c r="V11" t="s">
        <v>3</v>
      </c>
      <c r="W11" t="s">
        <v>3</v>
      </c>
      <c r="X11" t="s">
        <v>3</v>
      </c>
      <c r="Y11" t="s">
        <v>3</v>
      </c>
      <c r="Z11" t="s">
        <v>3</v>
      </c>
      <c r="AA11" t="s">
        <v>3</v>
      </c>
      <c r="AB11" t="s">
        <v>3</v>
      </c>
      <c r="AC11" t="s">
        <v>3</v>
      </c>
      <c r="AD11" t="s">
        <v>3</v>
      </c>
      <c r="AE11" t="s">
        <v>3</v>
      </c>
      <c r="AF11" t="s">
        <v>3</v>
      </c>
      <c r="AG11" t="s">
        <v>3</v>
      </c>
      <c r="AH11" t="s">
        <v>3</v>
      </c>
    </row>
    <row r="12" spans="1:34" x14ac:dyDescent="0.25">
      <c r="A12" t="s">
        <v>12</v>
      </c>
      <c r="B12" t="s">
        <v>3</v>
      </c>
      <c r="C12" t="s">
        <v>3</v>
      </c>
      <c r="D12" t="s">
        <v>3</v>
      </c>
      <c r="E12" t="s">
        <v>3</v>
      </c>
      <c r="F12" t="s">
        <v>3</v>
      </c>
      <c r="G12" t="s">
        <v>3</v>
      </c>
      <c r="H12" t="s">
        <v>3</v>
      </c>
      <c r="I12" t="s">
        <v>3</v>
      </c>
      <c r="J12" t="s">
        <v>3</v>
      </c>
      <c r="K12" t="s">
        <v>3</v>
      </c>
      <c r="L12" t="s">
        <v>3</v>
      </c>
      <c r="M12" t="s">
        <v>3</v>
      </c>
      <c r="N12" t="s">
        <v>3</v>
      </c>
      <c r="O12" t="s">
        <v>3</v>
      </c>
      <c r="P12">
        <v>0</v>
      </c>
      <c r="Q12">
        <v>3</v>
      </c>
      <c r="R12">
        <v>12</v>
      </c>
      <c r="S12">
        <v>16</v>
      </c>
      <c r="T12">
        <v>13</v>
      </c>
      <c r="U12">
        <v>9</v>
      </c>
      <c r="V12">
        <v>4</v>
      </c>
      <c r="W12">
        <v>16</v>
      </c>
      <c r="X12">
        <v>2</v>
      </c>
      <c r="Y12">
        <v>0</v>
      </c>
      <c r="Z12">
        <v>0</v>
      </c>
      <c r="AA12">
        <v>1</v>
      </c>
      <c r="AB12">
        <v>0</v>
      </c>
      <c r="AC12">
        <v>1</v>
      </c>
      <c r="AD12">
        <v>2</v>
      </c>
      <c r="AE12">
        <v>1</v>
      </c>
      <c r="AF12">
        <v>1</v>
      </c>
      <c r="AG12">
        <v>0</v>
      </c>
      <c r="AH12">
        <v>0</v>
      </c>
    </row>
    <row r="13" spans="1:34" x14ac:dyDescent="0.25">
      <c r="A13" t="s">
        <v>13</v>
      </c>
      <c r="B13" t="s">
        <v>3</v>
      </c>
      <c r="C13" t="s">
        <v>3</v>
      </c>
      <c r="D13" t="s">
        <v>3</v>
      </c>
      <c r="E13" t="s">
        <v>3</v>
      </c>
      <c r="F13" t="s">
        <v>3</v>
      </c>
      <c r="G13" t="s">
        <v>3</v>
      </c>
      <c r="H13" t="s">
        <v>3</v>
      </c>
      <c r="I13" t="s">
        <v>3</v>
      </c>
      <c r="J13" t="s">
        <v>3</v>
      </c>
      <c r="K13" t="s">
        <v>3</v>
      </c>
      <c r="L13" t="s">
        <v>3</v>
      </c>
      <c r="M13" t="s">
        <v>3</v>
      </c>
      <c r="N13" t="s">
        <v>3</v>
      </c>
      <c r="O13" t="s">
        <v>3</v>
      </c>
      <c r="P13" t="s">
        <v>3</v>
      </c>
      <c r="Q13" t="s">
        <v>3</v>
      </c>
      <c r="R13" t="s">
        <v>3</v>
      </c>
      <c r="S13" t="s">
        <v>3</v>
      </c>
      <c r="T13" t="s">
        <v>3</v>
      </c>
      <c r="U13" t="s">
        <v>3</v>
      </c>
      <c r="V13" t="s">
        <v>3</v>
      </c>
      <c r="W13" t="s">
        <v>3</v>
      </c>
      <c r="X13" t="s">
        <v>3</v>
      </c>
      <c r="Y13" t="s">
        <v>3</v>
      </c>
      <c r="Z13" t="s">
        <v>3</v>
      </c>
      <c r="AA13" t="s">
        <v>3</v>
      </c>
      <c r="AB13" t="s">
        <v>3</v>
      </c>
      <c r="AC13" t="s">
        <v>3</v>
      </c>
      <c r="AD13" t="s">
        <v>3</v>
      </c>
      <c r="AE13" t="s">
        <v>3</v>
      </c>
      <c r="AF13" t="s">
        <v>3</v>
      </c>
      <c r="AG13" t="s">
        <v>3</v>
      </c>
      <c r="AH13" t="s">
        <v>3</v>
      </c>
    </row>
    <row r="14" spans="1:34" x14ac:dyDescent="0.25">
      <c r="A14" t="s">
        <v>14</v>
      </c>
      <c r="B14" t="s">
        <v>3</v>
      </c>
      <c r="C14" t="s">
        <v>3</v>
      </c>
      <c r="D14" t="s">
        <v>3</v>
      </c>
      <c r="E14" t="s">
        <v>3</v>
      </c>
      <c r="F14" t="s">
        <v>3</v>
      </c>
      <c r="G14" t="s">
        <v>3</v>
      </c>
      <c r="H14" t="s">
        <v>3</v>
      </c>
      <c r="I14" t="s">
        <v>3</v>
      </c>
      <c r="J14" t="s">
        <v>3</v>
      </c>
      <c r="K14" t="s">
        <v>3</v>
      </c>
      <c r="L14" t="s">
        <v>3</v>
      </c>
      <c r="M14" t="s">
        <v>3</v>
      </c>
      <c r="N14" t="s">
        <v>3</v>
      </c>
      <c r="O14" t="s">
        <v>3</v>
      </c>
      <c r="P14" t="s">
        <v>3</v>
      </c>
      <c r="Q14" t="s">
        <v>3</v>
      </c>
      <c r="R14" t="s">
        <v>3</v>
      </c>
      <c r="S14" t="s">
        <v>3</v>
      </c>
      <c r="T14" t="s">
        <v>3</v>
      </c>
      <c r="U14" t="s">
        <v>3</v>
      </c>
      <c r="V14" t="s">
        <v>3</v>
      </c>
      <c r="W14" t="s">
        <v>3</v>
      </c>
      <c r="X14" t="s">
        <v>3</v>
      </c>
      <c r="Y14" t="s">
        <v>3</v>
      </c>
      <c r="Z14" t="s">
        <v>3</v>
      </c>
      <c r="AA14" t="s">
        <v>3</v>
      </c>
      <c r="AB14" t="s">
        <v>3</v>
      </c>
      <c r="AC14" t="s">
        <v>3</v>
      </c>
      <c r="AD14" t="s">
        <v>3</v>
      </c>
      <c r="AE14" t="s">
        <v>3</v>
      </c>
      <c r="AF14" t="s">
        <v>3</v>
      </c>
      <c r="AG14" t="s">
        <v>3</v>
      </c>
      <c r="AH14" t="s">
        <v>3</v>
      </c>
    </row>
    <row r="15" spans="1:34" x14ac:dyDescent="0.25">
      <c r="A15" t="s">
        <v>15</v>
      </c>
      <c r="B15" t="s">
        <v>3</v>
      </c>
      <c r="C15" t="s">
        <v>3</v>
      </c>
      <c r="D15" t="s">
        <v>3</v>
      </c>
      <c r="E15" t="s">
        <v>3</v>
      </c>
      <c r="F15" t="s">
        <v>3</v>
      </c>
      <c r="G15" t="s">
        <v>3</v>
      </c>
      <c r="H15" t="s">
        <v>3</v>
      </c>
      <c r="I15" t="s">
        <v>3</v>
      </c>
      <c r="J15" t="s">
        <v>3</v>
      </c>
      <c r="K15" t="s">
        <v>3</v>
      </c>
      <c r="L15" t="s">
        <v>3</v>
      </c>
      <c r="M15" t="s">
        <v>3</v>
      </c>
      <c r="N15" t="s">
        <v>3</v>
      </c>
      <c r="O15" t="s">
        <v>3</v>
      </c>
      <c r="P15" t="s">
        <v>3</v>
      </c>
      <c r="Q15" t="s">
        <v>3</v>
      </c>
      <c r="R15" t="s">
        <v>3</v>
      </c>
      <c r="S15" t="s">
        <v>3</v>
      </c>
      <c r="T15" t="s">
        <v>3</v>
      </c>
      <c r="U15" t="s">
        <v>3</v>
      </c>
      <c r="V15" t="s">
        <v>3</v>
      </c>
      <c r="W15" t="s">
        <v>3</v>
      </c>
      <c r="X15" t="s">
        <v>3</v>
      </c>
      <c r="Y15" t="s">
        <v>3</v>
      </c>
      <c r="Z15" t="s">
        <v>3</v>
      </c>
      <c r="AA15" t="s">
        <v>3</v>
      </c>
      <c r="AB15" t="s">
        <v>3</v>
      </c>
      <c r="AC15" t="s">
        <v>3</v>
      </c>
      <c r="AD15" t="s">
        <v>3</v>
      </c>
      <c r="AE15" t="s">
        <v>3</v>
      </c>
      <c r="AF15" t="s">
        <v>3</v>
      </c>
      <c r="AG15" t="s">
        <v>3</v>
      </c>
      <c r="AH15" t="s">
        <v>3</v>
      </c>
    </row>
    <row r="16" spans="1:34" x14ac:dyDescent="0.25">
      <c r="A16" t="s">
        <v>16</v>
      </c>
      <c r="B16" t="s">
        <v>3</v>
      </c>
      <c r="C16" t="s">
        <v>3</v>
      </c>
      <c r="D16" t="s">
        <v>3</v>
      </c>
      <c r="E16" t="s">
        <v>3</v>
      </c>
      <c r="F16" t="s">
        <v>3</v>
      </c>
      <c r="G16" t="s">
        <v>3</v>
      </c>
      <c r="H16" t="s">
        <v>3</v>
      </c>
      <c r="I16" t="s">
        <v>3</v>
      </c>
      <c r="J16" t="s">
        <v>3</v>
      </c>
      <c r="K16" t="s">
        <v>3</v>
      </c>
      <c r="L16" t="s">
        <v>3</v>
      </c>
      <c r="M16" t="s">
        <v>3</v>
      </c>
      <c r="N16" t="s">
        <v>3</v>
      </c>
      <c r="O16" t="s">
        <v>3</v>
      </c>
      <c r="P16" t="s">
        <v>3</v>
      </c>
      <c r="Q16" t="s">
        <v>3</v>
      </c>
      <c r="R16" t="s">
        <v>3</v>
      </c>
      <c r="S16" t="s">
        <v>3</v>
      </c>
      <c r="T16" t="s">
        <v>3</v>
      </c>
      <c r="U16" t="s">
        <v>3</v>
      </c>
      <c r="V16" t="s">
        <v>3</v>
      </c>
      <c r="W16" t="s">
        <v>3</v>
      </c>
      <c r="X16" t="s">
        <v>3</v>
      </c>
      <c r="Y16" t="s">
        <v>3</v>
      </c>
      <c r="Z16" t="s">
        <v>3</v>
      </c>
      <c r="AA16" t="s">
        <v>3</v>
      </c>
      <c r="AB16">
        <v>1</v>
      </c>
      <c r="AC16" t="s">
        <v>3</v>
      </c>
      <c r="AD16" t="s">
        <v>3</v>
      </c>
      <c r="AE16" t="s">
        <v>3</v>
      </c>
      <c r="AF16" t="s">
        <v>3</v>
      </c>
      <c r="AG16" t="s">
        <v>3</v>
      </c>
      <c r="AH16" t="s">
        <v>3</v>
      </c>
    </row>
    <row r="17" spans="1:34" x14ac:dyDescent="0.25">
      <c r="A17" t="s">
        <v>17</v>
      </c>
      <c r="B17" t="s">
        <v>3</v>
      </c>
      <c r="C17" t="s">
        <v>3</v>
      </c>
      <c r="D17" t="s">
        <v>3</v>
      </c>
      <c r="E17" t="s">
        <v>3</v>
      </c>
      <c r="F17" t="s">
        <v>3</v>
      </c>
      <c r="G17" t="s">
        <v>3</v>
      </c>
      <c r="H17" t="s">
        <v>3</v>
      </c>
      <c r="I17" t="s">
        <v>3</v>
      </c>
      <c r="J17" t="s">
        <v>3</v>
      </c>
      <c r="K17" t="s">
        <v>3</v>
      </c>
      <c r="L17" t="s">
        <v>3</v>
      </c>
      <c r="M17" t="s">
        <v>3</v>
      </c>
      <c r="N17" t="s">
        <v>3</v>
      </c>
      <c r="O17" t="s">
        <v>3</v>
      </c>
      <c r="P17" t="s">
        <v>3</v>
      </c>
      <c r="Q17" t="s">
        <v>3</v>
      </c>
      <c r="R17" t="s">
        <v>3</v>
      </c>
      <c r="S17" t="s">
        <v>3</v>
      </c>
      <c r="T17" t="s">
        <v>3</v>
      </c>
      <c r="U17" t="s">
        <v>3</v>
      </c>
      <c r="V17" t="s">
        <v>3</v>
      </c>
      <c r="W17" t="s">
        <v>3</v>
      </c>
      <c r="X17" t="s">
        <v>3</v>
      </c>
      <c r="Y17" t="s">
        <v>3</v>
      </c>
      <c r="Z17" t="s">
        <v>3</v>
      </c>
      <c r="AA17" t="s">
        <v>3</v>
      </c>
      <c r="AB17">
        <v>0</v>
      </c>
      <c r="AC17" t="s">
        <v>3</v>
      </c>
      <c r="AD17" t="s">
        <v>3</v>
      </c>
      <c r="AE17" t="s">
        <v>3</v>
      </c>
      <c r="AF17" t="s">
        <v>3</v>
      </c>
      <c r="AG17" t="s">
        <v>3</v>
      </c>
      <c r="AH17" t="s">
        <v>3</v>
      </c>
    </row>
    <row r="18" spans="1:34" x14ac:dyDescent="0.25">
      <c r="A18" t="s">
        <v>18</v>
      </c>
      <c r="B18" t="s">
        <v>3</v>
      </c>
      <c r="C18" t="s">
        <v>3</v>
      </c>
      <c r="D18" t="s">
        <v>3</v>
      </c>
      <c r="E18" t="s">
        <v>3</v>
      </c>
      <c r="F18" t="s">
        <v>3</v>
      </c>
      <c r="G18" t="s">
        <v>3</v>
      </c>
      <c r="H18" t="s">
        <v>3</v>
      </c>
      <c r="I18" t="s">
        <v>3</v>
      </c>
      <c r="J18" t="s">
        <v>3</v>
      </c>
      <c r="K18" t="s">
        <v>3</v>
      </c>
      <c r="L18" t="s">
        <v>3</v>
      </c>
      <c r="M18" t="s">
        <v>3</v>
      </c>
      <c r="N18" t="s">
        <v>3</v>
      </c>
      <c r="O18">
        <v>0</v>
      </c>
      <c r="P18">
        <v>0</v>
      </c>
      <c r="Q18">
        <v>0</v>
      </c>
      <c r="R18">
        <v>0</v>
      </c>
      <c r="S18">
        <v>0</v>
      </c>
      <c r="T18">
        <v>0</v>
      </c>
      <c r="U18">
        <v>0</v>
      </c>
      <c r="V18">
        <v>0</v>
      </c>
      <c r="W18">
        <v>0</v>
      </c>
      <c r="X18">
        <v>0</v>
      </c>
      <c r="Y18">
        <v>0</v>
      </c>
      <c r="Z18">
        <v>0</v>
      </c>
      <c r="AA18">
        <v>0</v>
      </c>
      <c r="AB18">
        <v>176</v>
      </c>
      <c r="AC18">
        <v>0</v>
      </c>
      <c r="AD18">
        <v>0</v>
      </c>
      <c r="AE18">
        <v>0</v>
      </c>
      <c r="AF18">
        <v>0</v>
      </c>
      <c r="AG18">
        <v>0</v>
      </c>
      <c r="AH18">
        <v>0</v>
      </c>
    </row>
    <row r="19" spans="1:34" x14ac:dyDescent="0.25">
      <c r="A19" t="s">
        <v>19</v>
      </c>
      <c r="B19" t="s">
        <v>3</v>
      </c>
      <c r="C19" t="s">
        <v>3</v>
      </c>
      <c r="D19" t="s">
        <v>3</v>
      </c>
      <c r="E19" t="s">
        <v>3</v>
      </c>
      <c r="F19" t="s">
        <v>3</v>
      </c>
      <c r="G19" t="s">
        <v>3</v>
      </c>
      <c r="H19" t="s">
        <v>3</v>
      </c>
      <c r="I19" t="s">
        <v>3</v>
      </c>
      <c r="J19" t="s">
        <v>3</v>
      </c>
      <c r="K19" t="s">
        <v>3</v>
      </c>
      <c r="L19" t="s">
        <v>3</v>
      </c>
      <c r="M19">
        <v>0</v>
      </c>
      <c r="N19">
        <v>0</v>
      </c>
      <c r="O19">
        <v>0</v>
      </c>
      <c r="P19">
        <v>2</v>
      </c>
      <c r="Q19">
        <v>11</v>
      </c>
      <c r="R19">
        <v>6</v>
      </c>
      <c r="S19">
        <v>4</v>
      </c>
      <c r="T19">
        <v>4</v>
      </c>
      <c r="U19">
        <v>18</v>
      </c>
      <c r="V19">
        <v>10</v>
      </c>
      <c r="W19">
        <v>8</v>
      </c>
      <c r="X19">
        <v>0</v>
      </c>
      <c r="Y19">
        <v>0</v>
      </c>
      <c r="Z19">
        <v>0</v>
      </c>
      <c r="AA19">
        <v>0</v>
      </c>
      <c r="AB19">
        <v>0</v>
      </c>
      <c r="AC19">
        <v>9</v>
      </c>
      <c r="AD19">
        <v>0</v>
      </c>
      <c r="AE19">
        <v>2</v>
      </c>
      <c r="AF19">
        <v>1</v>
      </c>
      <c r="AG19">
        <v>1</v>
      </c>
      <c r="AH19">
        <v>0</v>
      </c>
    </row>
    <row r="20" spans="1:34" x14ac:dyDescent="0.25">
      <c r="A20" t="s">
        <v>20</v>
      </c>
      <c r="B20" t="s">
        <v>3</v>
      </c>
      <c r="C20" t="s">
        <v>3</v>
      </c>
      <c r="D20" t="s">
        <v>3</v>
      </c>
      <c r="E20" t="s">
        <v>3</v>
      </c>
      <c r="F20" t="s">
        <v>3</v>
      </c>
      <c r="G20" t="s">
        <v>3</v>
      </c>
      <c r="H20" t="s">
        <v>3</v>
      </c>
      <c r="I20" t="s">
        <v>3</v>
      </c>
      <c r="J20" t="s">
        <v>3</v>
      </c>
      <c r="K20" t="s">
        <v>3</v>
      </c>
      <c r="L20" t="s">
        <v>3</v>
      </c>
      <c r="M20">
        <v>0</v>
      </c>
      <c r="N20" t="s">
        <v>3</v>
      </c>
      <c r="O20" t="s">
        <v>3</v>
      </c>
      <c r="P20">
        <v>0</v>
      </c>
      <c r="Q20">
        <v>2</v>
      </c>
      <c r="R20">
        <v>7</v>
      </c>
      <c r="S20">
        <v>1</v>
      </c>
      <c r="T20">
        <v>2</v>
      </c>
      <c r="U20">
        <v>4</v>
      </c>
      <c r="V20">
        <v>5</v>
      </c>
      <c r="W20">
        <v>5</v>
      </c>
      <c r="X20">
        <v>0</v>
      </c>
      <c r="Y20">
        <v>0</v>
      </c>
      <c r="Z20">
        <v>0</v>
      </c>
      <c r="AA20">
        <v>0</v>
      </c>
      <c r="AB20">
        <v>0</v>
      </c>
      <c r="AC20">
        <v>2</v>
      </c>
      <c r="AD20">
        <v>1</v>
      </c>
      <c r="AE20">
        <v>0</v>
      </c>
      <c r="AF20">
        <v>0</v>
      </c>
      <c r="AG20">
        <v>0</v>
      </c>
      <c r="AH20">
        <v>0</v>
      </c>
    </row>
    <row r="21" spans="1:34" x14ac:dyDescent="0.25">
      <c r="A21" t="s">
        <v>21</v>
      </c>
      <c r="B21" t="s">
        <v>3</v>
      </c>
      <c r="C21" t="s">
        <v>3</v>
      </c>
      <c r="D21" t="s">
        <v>3</v>
      </c>
      <c r="E21" t="s">
        <v>3</v>
      </c>
      <c r="F21" t="s">
        <v>3</v>
      </c>
      <c r="G21" t="s">
        <v>3</v>
      </c>
      <c r="H21" t="s">
        <v>3</v>
      </c>
      <c r="I21" t="s">
        <v>3</v>
      </c>
      <c r="J21" t="s">
        <v>3</v>
      </c>
      <c r="K21" t="s">
        <v>3</v>
      </c>
      <c r="L21" t="s">
        <v>3</v>
      </c>
      <c r="M21">
        <v>0</v>
      </c>
      <c r="N21" t="s">
        <v>3</v>
      </c>
      <c r="O21" t="s">
        <v>3</v>
      </c>
      <c r="P21">
        <v>2</v>
      </c>
      <c r="Q21">
        <v>2</v>
      </c>
      <c r="R21">
        <v>4</v>
      </c>
      <c r="S21">
        <v>5</v>
      </c>
      <c r="T21">
        <v>2</v>
      </c>
      <c r="U21">
        <v>5</v>
      </c>
      <c r="V21">
        <v>3</v>
      </c>
      <c r="W21">
        <v>11</v>
      </c>
      <c r="X21">
        <v>0</v>
      </c>
      <c r="Y21">
        <v>0</v>
      </c>
      <c r="Z21">
        <v>6</v>
      </c>
      <c r="AA21">
        <v>1</v>
      </c>
      <c r="AB21">
        <v>0</v>
      </c>
      <c r="AC21">
        <v>2</v>
      </c>
      <c r="AD21">
        <v>0</v>
      </c>
      <c r="AE21">
        <v>0</v>
      </c>
      <c r="AF21">
        <v>0</v>
      </c>
      <c r="AG21">
        <v>0</v>
      </c>
      <c r="AH21">
        <v>0</v>
      </c>
    </row>
    <row r="22" spans="1:34" x14ac:dyDescent="0.25">
      <c r="A22" t="s">
        <v>22</v>
      </c>
      <c r="B22" t="s">
        <v>3</v>
      </c>
      <c r="C22" t="s">
        <v>3</v>
      </c>
      <c r="D22" t="s">
        <v>3</v>
      </c>
      <c r="E22" t="s">
        <v>3</v>
      </c>
      <c r="F22" t="s">
        <v>3</v>
      </c>
      <c r="G22" t="s">
        <v>3</v>
      </c>
      <c r="H22" t="s">
        <v>3</v>
      </c>
      <c r="I22" t="s">
        <v>3</v>
      </c>
      <c r="J22" t="s">
        <v>3</v>
      </c>
      <c r="K22" t="s">
        <v>3</v>
      </c>
      <c r="L22" t="s">
        <v>3</v>
      </c>
      <c r="M22" t="s">
        <v>3</v>
      </c>
      <c r="N22" t="s">
        <v>3</v>
      </c>
      <c r="O22" t="s">
        <v>3</v>
      </c>
      <c r="P22" t="s">
        <v>3</v>
      </c>
      <c r="Q22" t="s">
        <v>3</v>
      </c>
      <c r="R22" t="s">
        <v>3</v>
      </c>
      <c r="S22" t="s">
        <v>3</v>
      </c>
      <c r="T22">
        <v>8</v>
      </c>
      <c r="U22" t="s">
        <v>3</v>
      </c>
      <c r="V22" t="s">
        <v>3</v>
      </c>
      <c r="W22" t="s">
        <v>3</v>
      </c>
      <c r="X22" t="s">
        <v>3</v>
      </c>
      <c r="Y22" t="s">
        <v>3</v>
      </c>
      <c r="Z22" t="s">
        <v>3</v>
      </c>
      <c r="AA22" t="s">
        <v>3</v>
      </c>
      <c r="AB22" t="s">
        <v>3</v>
      </c>
      <c r="AC22" t="s">
        <v>3</v>
      </c>
      <c r="AD22" t="s">
        <v>3</v>
      </c>
      <c r="AE22" t="s">
        <v>3</v>
      </c>
      <c r="AF22" t="s">
        <v>3</v>
      </c>
      <c r="AG22" t="s">
        <v>3</v>
      </c>
      <c r="AH22" t="s">
        <v>3</v>
      </c>
    </row>
    <row r="23" spans="1:34" x14ac:dyDescent="0.25">
      <c r="A23" t="s">
        <v>23</v>
      </c>
      <c r="B23" t="s">
        <v>3</v>
      </c>
      <c r="C23" t="s">
        <v>3</v>
      </c>
      <c r="D23" t="s">
        <v>3</v>
      </c>
      <c r="E23" t="s">
        <v>3</v>
      </c>
      <c r="F23" t="s">
        <v>3</v>
      </c>
      <c r="G23" t="s">
        <v>3</v>
      </c>
      <c r="H23" t="s">
        <v>3</v>
      </c>
      <c r="I23" t="s">
        <v>3</v>
      </c>
      <c r="J23" t="s">
        <v>3</v>
      </c>
      <c r="K23" t="s">
        <v>3</v>
      </c>
      <c r="L23" t="s">
        <v>3</v>
      </c>
      <c r="M23" t="s">
        <v>3</v>
      </c>
      <c r="N23" t="s">
        <v>3</v>
      </c>
      <c r="O23" t="s">
        <v>3</v>
      </c>
      <c r="P23">
        <v>0</v>
      </c>
      <c r="Q23">
        <v>0</v>
      </c>
      <c r="R23">
        <v>4</v>
      </c>
      <c r="S23">
        <v>2</v>
      </c>
      <c r="T23">
        <v>5</v>
      </c>
      <c r="U23">
        <v>2</v>
      </c>
      <c r="V23">
        <v>2</v>
      </c>
      <c r="W23">
        <v>12</v>
      </c>
      <c r="X23">
        <v>7</v>
      </c>
      <c r="Y23">
        <v>0</v>
      </c>
      <c r="Z23">
        <v>4</v>
      </c>
      <c r="AA23">
        <v>2</v>
      </c>
      <c r="AB23">
        <v>2</v>
      </c>
      <c r="AC23">
        <v>0</v>
      </c>
      <c r="AD23">
        <v>0</v>
      </c>
      <c r="AE23">
        <v>0</v>
      </c>
      <c r="AF23">
        <v>0</v>
      </c>
      <c r="AG23">
        <v>0</v>
      </c>
      <c r="AH23">
        <v>0</v>
      </c>
    </row>
    <row r="24" spans="1:34" x14ac:dyDescent="0.25">
      <c r="A24" t="s">
        <v>24</v>
      </c>
      <c r="B24" t="s">
        <v>3</v>
      </c>
      <c r="C24" t="s">
        <v>3</v>
      </c>
      <c r="D24" t="s">
        <v>3</v>
      </c>
      <c r="E24" t="s">
        <v>3</v>
      </c>
      <c r="F24" t="s">
        <v>3</v>
      </c>
      <c r="G24" t="s">
        <v>3</v>
      </c>
      <c r="H24" t="s">
        <v>3</v>
      </c>
      <c r="I24" t="s">
        <v>3</v>
      </c>
      <c r="J24" t="s">
        <v>3</v>
      </c>
      <c r="K24" t="s">
        <v>3</v>
      </c>
      <c r="L24" t="s">
        <v>3</v>
      </c>
      <c r="M24" t="s">
        <v>3</v>
      </c>
      <c r="N24" t="s">
        <v>3</v>
      </c>
      <c r="O24" t="s">
        <v>3</v>
      </c>
      <c r="P24" t="s">
        <v>3</v>
      </c>
      <c r="Q24" t="s">
        <v>3</v>
      </c>
      <c r="R24" t="s">
        <v>3</v>
      </c>
      <c r="S24" t="s">
        <v>3</v>
      </c>
      <c r="T24">
        <v>0</v>
      </c>
      <c r="U24" t="s">
        <v>3</v>
      </c>
      <c r="V24" t="s">
        <v>3</v>
      </c>
      <c r="W24" t="s">
        <v>3</v>
      </c>
      <c r="X24" t="s">
        <v>3</v>
      </c>
      <c r="Y24" t="s">
        <v>3</v>
      </c>
      <c r="Z24" t="s">
        <v>3</v>
      </c>
      <c r="AA24" t="s">
        <v>3</v>
      </c>
      <c r="AB24" t="s">
        <v>3</v>
      </c>
      <c r="AC24" t="s">
        <v>3</v>
      </c>
      <c r="AD24" t="s">
        <v>3</v>
      </c>
      <c r="AE24" t="s">
        <v>3</v>
      </c>
      <c r="AF24" t="s">
        <v>3</v>
      </c>
      <c r="AG24" t="s">
        <v>3</v>
      </c>
      <c r="AH24" t="s">
        <v>3</v>
      </c>
    </row>
    <row r="25" spans="1:34" x14ac:dyDescent="0.25">
      <c r="A25" t="s">
        <v>25</v>
      </c>
      <c r="B25" t="s">
        <v>3</v>
      </c>
      <c r="C25" t="s">
        <v>3</v>
      </c>
      <c r="D25" t="s">
        <v>3</v>
      </c>
      <c r="E25" t="s">
        <v>3</v>
      </c>
      <c r="F25" t="s">
        <v>3</v>
      </c>
      <c r="G25" t="s">
        <v>3</v>
      </c>
      <c r="H25" t="s">
        <v>3</v>
      </c>
      <c r="I25" t="s">
        <v>3</v>
      </c>
      <c r="J25" t="s">
        <v>3</v>
      </c>
      <c r="K25" t="s">
        <v>3</v>
      </c>
      <c r="L25" t="s">
        <v>3</v>
      </c>
      <c r="M25" t="s">
        <v>3</v>
      </c>
      <c r="N25" t="s">
        <v>3</v>
      </c>
      <c r="O25" t="s">
        <v>3</v>
      </c>
      <c r="P25" t="s">
        <v>3</v>
      </c>
      <c r="Q25" t="s">
        <v>3</v>
      </c>
      <c r="R25" t="s">
        <v>3</v>
      </c>
      <c r="S25" t="s">
        <v>3</v>
      </c>
      <c r="T25">
        <v>0</v>
      </c>
      <c r="U25" t="s">
        <v>3</v>
      </c>
      <c r="V25" t="s">
        <v>3</v>
      </c>
      <c r="W25" t="s">
        <v>3</v>
      </c>
      <c r="X25" t="s">
        <v>3</v>
      </c>
      <c r="Y25" t="s">
        <v>3</v>
      </c>
      <c r="Z25" t="s">
        <v>3</v>
      </c>
      <c r="AA25" t="s">
        <v>3</v>
      </c>
      <c r="AB25" t="s">
        <v>3</v>
      </c>
      <c r="AC25" t="s">
        <v>3</v>
      </c>
      <c r="AD25" t="s">
        <v>3</v>
      </c>
      <c r="AE25" t="s">
        <v>3</v>
      </c>
      <c r="AF25" t="s">
        <v>3</v>
      </c>
      <c r="AG25" t="s">
        <v>3</v>
      </c>
      <c r="AH25" t="s">
        <v>3</v>
      </c>
    </row>
    <row r="26" spans="1:34" x14ac:dyDescent="0.25">
      <c r="A26" t="s">
        <v>26</v>
      </c>
      <c r="B26" t="s">
        <v>3</v>
      </c>
      <c r="C26" t="s">
        <v>3</v>
      </c>
      <c r="D26" t="s">
        <v>3</v>
      </c>
      <c r="E26" t="s">
        <v>3</v>
      </c>
      <c r="F26" t="s">
        <v>3</v>
      </c>
      <c r="G26" t="s">
        <v>3</v>
      </c>
      <c r="H26" t="s">
        <v>3</v>
      </c>
      <c r="I26" t="s">
        <v>3</v>
      </c>
      <c r="J26" t="s">
        <v>3</v>
      </c>
      <c r="K26" t="s">
        <v>3</v>
      </c>
      <c r="L26" t="s">
        <v>3</v>
      </c>
      <c r="M26" t="s">
        <v>3</v>
      </c>
      <c r="N26" t="s">
        <v>3</v>
      </c>
      <c r="O26" t="s">
        <v>3</v>
      </c>
      <c r="P26">
        <v>1</v>
      </c>
      <c r="Q26">
        <v>1</v>
      </c>
      <c r="R26">
        <v>16</v>
      </c>
      <c r="S26">
        <v>33</v>
      </c>
      <c r="T26">
        <v>12</v>
      </c>
      <c r="U26">
        <v>7</v>
      </c>
      <c r="V26">
        <v>5</v>
      </c>
      <c r="W26">
        <v>9</v>
      </c>
      <c r="X26">
        <v>0</v>
      </c>
      <c r="Y26">
        <v>0</v>
      </c>
      <c r="Z26">
        <v>0</v>
      </c>
      <c r="AA26">
        <v>5</v>
      </c>
      <c r="AB26">
        <v>21</v>
      </c>
      <c r="AC26">
        <v>6</v>
      </c>
      <c r="AD26">
        <v>0</v>
      </c>
      <c r="AE26">
        <v>0</v>
      </c>
      <c r="AF26">
        <v>0</v>
      </c>
      <c r="AG26">
        <v>0</v>
      </c>
      <c r="AH26">
        <v>0</v>
      </c>
    </row>
    <row r="27" spans="1:34" x14ac:dyDescent="0.25">
      <c r="A27" t="s">
        <v>27</v>
      </c>
      <c r="B27" t="s">
        <v>3</v>
      </c>
      <c r="C27" t="s">
        <v>3</v>
      </c>
      <c r="D27" t="s">
        <v>3</v>
      </c>
      <c r="E27" t="s">
        <v>3</v>
      </c>
      <c r="F27" t="s">
        <v>3</v>
      </c>
      <c r="G27" t="s">
        <v>3</v>
      </c>
      <c r="H27" t="s">
        <v>3</v>
      </c>
      <c r="I27" t="s">
        <v>3</v>
      </c>
      <c r="J27" t="s">
        <v>3</v>
      </c>
      <c r="K27" t="s">
        <v>3</v>
      </c>
      <c r="L27" t="s">
        <v>3</v>
      </c>
      <c r="M27">
        <v>0</v>
      </c>
      <c r="N27">
        <v>0</v>
      </c>
      <c r="O27">
        <v>0</v>
      </c>
      <c r="P27">
        <v>0</v>
      </c>
      <c r="Q27">
        <v>0</v>
      </c>
      <c r="R27">
        <v>1</v>
      </c>
      <c r="S27">
        <v>0</v>
      </c>
      <c r="T27">
        <v>6</v>
      </c>
      <c r="U27">
        <v>4</v>
      </c>
      <c r="V27">
        <v>0</v>
      </c>
      <c r="W27">
        <v>0</v>
      </c>
      <c r="X27">
        <v>0</v>
      </c>
      <c r="Y27">
        <v>0</v>
      </c>
      <c r="Z27">
        <v>0</v>
      </c>
      <c r="AA27">
        <v>0</v>
      </c>
      <c r="AB27">
        <v>0</v>
      </c>
      <c r="AC27">
        <v>6</v>
      </c>
      <c r="AD27">
        <v>2</v>
      </c>
      <c r="AE27">
        <v>0</v>
      </c>
      <c r="AF27">
        <v>0</v>
      </c>
      <c r="AG27">
        <v>0</v>
      </c>
      <c r="AH27">
        <v>0</v>
      </c>
    </row>
    <row r="28" spans="1:34" x14ac:dyDescent="0.25">
      <c r="A28" t="s">
        <v>28</v>
      </c>
      <c r="B28" t="s">
        <v>3</v>
      </c>
      <c r="C28" t="s">
        <v>3</v>
      </c>
      <c r="D28" t="s">
        <v>3</v>
      </c>
      <c r="E28" t="s">
        <v>3</v>
      </c>
      <c r="F28" t="s">
        <v>3</v>
      </c>
      <c r="G28" t="s">
        <v>3</v>
      </c>
      <c r="H28" t="s">
        <v>3</v>
      </c>
      <c r="I28" t="s">
        <v>3</v>
      </c>
      <c r="J28" t="s">
        <v>3</v>
      </c>
      <c r="K28" t="s">
        <v>3</v>
      </c>
      <c r="L28" t="s">
        <v>3</v>
      </c>
      <c r="M28" t="s">
        <v>3</v>
      </c>
      <c r="N28" t="s">
        <v>3</v>
      </c>
      <c r="O28" t="s">
        <v>3</v>
      </c>
      <c r="P28" t="s">
        <v>3</v>
      </c>
      <c r="Q28" t="s">
        <v>3</v>
      </c>
      <c r="R28" t="s">
        <v>3</v>
      </c>
      <c r="S28" t="s">
        <v>3</v>
      </c>
      <c r="T28" t="s">
        <v>3</v>
      </c>
      <c r="U28">
        <v>0</v>
      </c>
      <c r="V28" t="s">
        <v>3</v>
      </c>
      <c r="W28" t="s">
        <v>3</v>
      </c>
      <c r="X28" t="s">
        <v>3</v>
      </c>
      <c r="Y28" t="s">
        <v>3</v>
      </c>
      <c r="Z28" t="s">
        <v>3</v>
      </c>
      <c r="AA28" t="s">
        <v>3</v>
      </c>
      <c r="AB28" t="s">
        <v>3</v>
      </c>
      <c r="AC28" t="s">
        <v>3</v>
      </c>
      <c r="AD28" t="s">
        <v>3</v>
      </c>
      <c r="AE28" t="s">
        <v>3</v>
      </c>
      <c r="AF28" t="s">
        <v>3</v>
      </c>
      <c r="AG28" t="s">
        <v>3</v>
      </c>
      <c r="AH28" t="s">
        <v>3</v>
      </c>
    </row>
    <row r="29" spans="1:34" x14ac:dyDescent="0.25">
      <c r="A29" t="s">
        <v>29</v>
      </c>
      <c r="B29" t="s">
        <v>3</v>
      </c>
      <c r="C29" t="s">
        <v>3</v>
      </c>
      <c r="D29" t="s">
        <v>3</v>
      </c>
      <c r="E29" t="s">
        <v>3</v>
      </c>
      <c r="F29" t="s">
        <v>3</v>
      </c>
      <c r="G29" t="s">
        <v>3</v>
      </c>
      <c r="H29" t="s">
        <v>3</v>
      </c>
      <c r="I29" t="s">
        <v>3</v>
      </c>
      <c r="J29" t="s">
        <v>3</v>
      </c>
      <c r="K29" t="s">
        <v>3</v>
      </c>
      <c r="L29" t="s">
        <v>3</v>
      </c>
      <c r="M29">
        <v>0</v>
      </c>
      <c r="N29">
        <v>0</v>
      </c>
      <c r="O29">
        <v>0</v>
      </c>
      <c r="P29">
        <v>0</v>
      </c>
      <c r="Q29">
        <v>3</v>
      </c>
      <c r="R29">
        <v>1</v>
      </c>
      <c r="S29">
        <v>0</v>
      </c>
      <c r="T29">
        <v>3</v>
      </c>
      <c r="U29">
        <v>7</v>
      </c>
      <c r="V29">
        <v>4</v>
      </c>
      <c r="W29">
        <v>2</v>
      </c>
      <c r="X29">
        <v>0</v>
      </c>
      <c r="Y29">
        <v>0</v>
      </c>
      <c r="Z29">
        <v>0</v>
      </c>
      <c r="AA29">
        <v>0</v>
      </c>
      <c r="AB29">
        <v>7</v>
      </c>
      <c r="AC29">
        <v>1</v>
      </c>
      <c r="AD29">
        <v>0</v>
      </c>
      <c r="AE29">
        <v>0</v>
      </c>
      <c r="AF29">
        <v>0</v>
      </c>
      <c r="AG29">
        <v>0</v>
      </c>
      <c r="AH29">
        <v>0</v>
      </c>
    </row>
    <row r="30" spans="1:34" x14ac:dyDescent="0.25">
      <c r="A30" t="s">
        <v>30</v>
      </c>
      <c r="B30" t="s">
        <v>3</v>
      </c>
      <c r="C30" t="s">
        <v>3</v>
      </c>
      <c r="D30" t="s">
        <v>3</v>
      </c>
      <c r="E30" t="s">
        <v>3</v>
      </c>
      <c r="F30" t="s">
        <v>3</v>
      </c>
      <c r="G30" t="s">
        <v>3</v>
      </c>
      <c r="H30" t="s">
        <v>3</v>
      </c>
      <c r="I30" t="s">
        <v>3</v>
      </c>
      <c r="J30" t="s">
        <v>3</v>
      </c>
      <c r="K30" t="s">
        <v>3</v>
      </c>
      <c r="L30" t="s">
        <v>3</v>
      </c>
      <c r="M30">
        <v>0</v>
      </c>
      <c r="N30">
        <v>0</v>
      </c>
      <c r="O30">
        <v>0</v>
      </c>
      <c r="P30">
        <v>0</v>
      </c>
      <c r="Q30">
        <v>10</v>
      </c>
      <c r="R30">
        <v>4</v>
      </c>
      <c r="S30">
        <v>6</v>
      </c>
      <c r="T30">
        <v>10</v>
      </c>
      <c r="U30">
        <v>11</v>
      </c>
      <c r="V30">
        <v>5</v>
      </c>
      <c r="W30">
        <v>0</v>
      </c>
      <c r="X30">
        <v>11</v>
      </c>
      <c r="Y30">
        <v>0</v>
      </c>
      <c r="Z30">
        <v>0</v>
      </c>
      <c r="AA30">
        <v>0</v>
      </c>
      <c r="AB30">
        <v>5</v>
      </c>
      <c r="AC30">
        <v>0</v>
      </c>
      <c r="AD30">
        <v>0</v>
      </c>
      <c r="AE30">
        <v>0</v>
      </c>
      <c r="AF30">
        <v>0</v>
      </c>
      <c r="AG30">
        <v>0</v>
      </c>
      <c r="AH30">
        <v>0</v>
      </c>
    </row>
    <row r="31" spans="1:34" x14ac:dyDescent="0.25">
      <c r="A31" t="s">
        <v>31</v>
      </c>
      <c r="B31" t="s">
        <v>3</v>
      </c>
      <c r="C31" t="s">
        <v>3</v>
      </c>
      <c r="D31" t="s">
        <v>3</v>
      </c>
      <c r="E31" t="s">
        <v>3</v>
      </c>
      <c r="F31" t="s">
        <v>3</v>
      </c>
      <c r="G31" t="s">
        <v>3</v>
      </c>
      <c r="H31" t="s">
        <v>3</v>
      </c>
      <c r="I31" t="s">
        <v>3</v>
      </c>
      <c r="J31" t="s">
        <v>3</v>
      </c>
      <c r="K31" t="s">
        <v>3</v>
      </c>
      <c r="L31" t="s">
        <v>3</v>
      </c>
      <c r="M31" t="s">
        <v>3</v>
      </c>
      <c r="N31" t="s">
        <v>3</v>
      </c>
      <c r="O31" t="s">
        <v>3</v>
      </c>
      <c r="P31">
        <v>0</v>
      </c>
      <c r="Q31">
        <v>2</v>
      </c>
      <c r="R31">
        <v>0</v>
      </c>
      <c r="S31">
        <v>0</v>
      </c>
      <c r="T31">
        <v>6</v>
      </c>
      <c r="U31">
        <v>3</v>
      </c>
      <c r="V31">
        <v>2</v>
      </c>
      <c r="W31">
        <v>1</v>
      </c>
      <c r="X31">
        <v>4</v>
      </c>
      <c r="Y31">
        <v>0</v>
      </c>
      <c r="Z31">
        <v>0</v>
      </c>
      <c r="AA31">
        <v>0</v>
      </c>
      <c r="AB31">
        <v>0</v>
      </c>
      <c r="AC31">
        <v>0</v>
      </c>
      <c r="AD31">
        <v>0</v>
      </c>
      <c r="AE31">
        <v>0</v>
      </c>
      <c r="AF31">
        <v>0</v>
      </c>
      <c r="AG31">
        <v>0</v>
      </c>
      <c r="AH31">
        <v>0</v>
      </c>
    </row>
    <row r="32" spans="1:34" x14ac:dyDescent="0.25">
      <c r="A32" t="s">
        <v>32</v>
      </c>
      <c r="B32" t="s">
        <v>3</v>
      </c>
      <c r="C32" t="s">
        <v>3</v>
      </c>
      <c r="D32" t="s">
        <v>3</v>
      </c>
      <c r="E32" t="s">
        <v>3</v>
      </c>
      <c r="F32" t="s">
        <v>3</v>
      </c>
      <c r="G32" t="s">
        <v>3</v>
      </c>
      <c r="H32" t="s">
        <v>3</v>
      </c>
      <c r="I32" t="s">
        <v>3</v>
      </c>
      <c r="J32" t="s">
        <v>3</v>
      </c>
      <c r="K32" t="s">
        <v>3</v>
      </c>
      <c r="L32" t="s">
        <v>3</v>
      </c>
      <c r="M32" t="s">
        <v>3</v>
      </c>
      <c r="N32" t="s">
        <v>3</v>
      </c>
      <c r="O32" t="s">
        <v>3</v>
      </c>
      <c r="P32">
        <v>0</v>
      </c>
      <c r="Q32">
        <v>0</v>
      </c>
      <c r="R32">
        <v>5</v>
      </c>
      <c r="S32">
        <v>2</v>
      </c>
      <c r="T32">
        <v>3</v>
      </c>
      <c r="U32">
        <v>11</v>
      </c>
      <c r="V32">
        <v>6</v>
      </c>
      <c r="W32">
        <v>3</v>
      </c>
      <c r="X32">
        <v>6</v>
      </c>
      <c r="Y32">
        <v>0</v>
      </c>
      <c r="Z32">
        <v>0</v>
      </c>
      <c r="AA32">
        <v>0</v>
      </c>
      <c r="AB32">
        <v>1</v>
      </c>
      <c r="AC32">
        <v>0</v>
      </c>
      <c r="AD32">
        <v>0</v>
      </c>
      <c r="AE32">
        <v>0</v>
      </c>
      <c r="AF32">
        <v>0</v>
      </c>
      <c r="AG32">
        <v>0</v>
      </c>
      <c r="AH32">
        <v>0</v>
      </c>
    </row>
    <row r="33" spans="1:34" x14ac:dyDescent="0.25">
      <c r="A33" t="s">
        <v>33</v>
      </c>
      <c r="B33" t="s">
        <v>3</v>
      </c>
      <c r="C33" t="s">
        <v>3</v>
      </c>
      <c r="D33" t="s">
        <v>3</v>
      </c>
      <c r="E33" t="s">
        <v>3</v>
      </c>
      <c r="F33" t="s">
        <v>3</v>
      </c>
      <c r="G33" t="s">
        <v>3</v>
      </c>
      <c r="H33" t="s">
        <v>3</v>
      </c>
      <c r="I33" t="s">
        <v>3</v>
      </c>
      <c r="J33" t="s">
        <v>3</v>
      </c>
      <c r="K33" t="s">
        <v>3</v>
      </c>
      <c r="L33" t="s">
        <v>3</v>
      </c>
      <c r="M33" t="s">
        <v>3</v>
      </c>
      <c r="N33" t="s">
        <v>3</v>
      </c>
      <c r="O33" t="s">
        <v>3</v>
      </c>
      <c r="P33" t="s">
        <v>3</v>
      </c>
      <c r="Q33">
        <v>0</v>
      </c>
      <c r="R33" t="s">
        <v>3</v>
      </c>
      <c r="S33" t="s">
        <v>3</v>
      </c>
      <c r="T33" t="s">
        <v>3</v>
      </c>
      <c r="U33">
        <v>2</v>
      </c>
      <c r="V33" t="s">
        <v>3</v>
      </c>
      <c r="W33" t="s">
        <v>3</v>
      </c>
      <c r="X33" t="s">
        <v>3</v>
      </c>
      <c r="Y33" t="s">
        <v>3</v>
      </c>
      <c r="Z33" t="s">
        <v>3</v>
      </c>
      <c r="AA33" t="s">
        <v>3</v>
      </c>
      <c r="AB33" t="s">
        <v>3</v>
      </c>
      <c r="AC33" t="s">
        <v>3</v>
      </c>
      <c r="AD33" t="s">
        <v>3</v>
      </c>
      <c r="AE33" t="s">
        <v>3</v>
      </c>
      <c r="AF33" t="s">
        <v>3</v>
      </c>
      <c r="AG33" t="s">
        <v>3</v>
      </c>
      <c r="AH33" t="s">
        <v>3</v>
      </c>
    </row>
    <row r="34" spans="1:34" x14ac:dyDescent="0.25">
      <c r="A34" t="s">
        <v>34</v>
      </c>
      <c r="B34" t="s">
        <v>3</v>
      </c>
      <c r="C34" t="s">
        <v>3</v>
      </c>
      <c r="D34" t="s">
        <v>3</v>
      </c>
      <c r="E34" t="s">
        <v>3</v>
      </c>
      <c r="F34" t="s">
        <v>3</v>
      </c>
      <c r="G34" t="s">
        <v>3</v>
      </c>
      <c r="H34" t="s">
        <v>3</v>
      </c>
      <c r="I34" t="s">
        <v>3</v>
      </c>
      <c r="J34" t="s">
        <v>3</v>
      </c>
      <c r="K34" t="s">
        <v>3</v>
      </c>
      <c r="L34" t="s">
        <v>3</v>
      </c>
      <c r="M34" t="s">
        <v>3</v>
      </c>
      <c r="N34" t="s">
        <v>3</v>
      </c>
      <c r="O34" t="s">
        <v>3</v>
      </c>
      <c r="P34" t="s">
        <v>3</v>
      </c>
      <c r="Q34" t="s">
        <v>3</v>
      </c>
      <c r="R34" t="s">
        <v>3</v>
      </c>
      <c r="S34" t="s">
        <v>3</v>
      </c>
      <c r="T34" t="s">
        <v>3</v>
      </c>
      <c r="U34">
        <v>2</v>
      </c>
      <c r="V34" t="s">
        <v>3</v>
      </c>
      <c r="W34" t="s">
        <v>3</v>
      </c>
      <c r="X34" t="s">
        <v>3</v>
      </c>
      <c r="Y34" t="s">
        <v>3</v>
      </c>
      <c r="Z34" t="s">
        <v>3</v>
      </c>
      <c r="AA34" t="s">
        <v>3</v>
      </c>
      <c r="AB34" t="s">
        <v>3</v>
      </c>
      <c r="AC34" t="s">
        <v>3</v>
      </c>
      <c r="AD34" t="s">
        <v>3</v>
      </c>
      <c r="AE34" t="s">
        <v>3</v>
      </c>
      <c r="AF34" t="s">
        <v>3</v>
      </c>
      <c r="AG34" t="s">
        <v>3</v>
      </c>
      <c r="AH34" t="s">
        <v>3</v>
      </c>
    </row>
    <row r="35" spans="1:34" x14ac:dyDescent="0.25">
      <c r="A35" t="s">
        <v>35</v>
      </c>
      <c r="B35" t="s">
        <v>3</v>
      </c>
      <c r="C35" t="s">
        <v>3</v>
      </c>
      <c r="D35" t="s">
        <v>3</v>
      </c>
      <c r="E35" t="s">
        <v>3</v>
      </c>
      <c r="F35" t="s">
        <v>3</v>
      </c>
      <c r="G35" t="s">
        <v>3</v>
      </c>
      <c r="H35" t="s">
        <v>3</v>
      </c>
      <c r="I35" t="s">
        <v>3</v>
      </c>
      <c r="J35" t="s">
        <v>3</v>
      </c>
      <c r="K35" t="s">
        <v>3</v>
      </c>
      <c r="L35" t="s">
        <v>3</v>
      </c>
      <c r="M35">
        <v>0</v>
      </c>
      <c r="N35">
        <v>0</v>
      </c>
      <c r="O35">
        <v>0</v>
      </c>
      <c r="P35">
        <v>4</v>
      </c>
      <c r="Q35">
        <v>4</v>
      </c>
      <c r="R35">
        <v>0</v>
      </c>
      <c r="S35">
        <v>0</v>
      </c>
      <c r="T35">
        <v>0</v>
      </c>
      <c r="U35">
        <v>12</v>
      </c>
      <c r="V35">
        <v>2</v>
      </c>
      <c r="W35">
        <v>3</v>
      </c>
      <c r="X35">
        <v>0</v>
      </c>
      <c r="Y35">
        <v>0</v>
      </c>
      <c r="Z35">
        <v>0</v>
      </c>
      <c r="AA35">
        <v>3</v>
      </c>
      <c r="AB35">
        <v>5</v>
      </c>
      <c r="AC35">
        <v>1</v>
      </c>
      <c r="AD35">
        <v>14</v>
      </c>
      <c r="AE35">
        <v>0</v>
      </c>
      <c r="AF35">
        <v>0</v>
      </c>
      <c r="AG35">
        <v>0</v>
      </c>
      <c r="AH35">
        <v>0</v>
      </c>
    </row>
    <row r="36" spans="1:34" x14ac:dyDescent="0.25">
      <c r="A36" t="s">
        <v>36</v>
      </c>
      <c r="B36" t="s">
        <v>3</v>
      </c>
      <c r="C36" t="s">
        <v>3</v>
      </c>
      <c r="D36" t="s">
        <v>3</v>
      </c>
      <c r="E36" t="s">
        <v>3</v>
      </c>
      <c r="F36" t="s">
        <v>3</v>
      </c>
      <c r="G36" t="s">
        <v>3</v>
      </c>
      <c r="H36" t="s">
        <v>3</v>
      </c>
      <c r="I36" t="s">
        <v>3</v>
      </c>
      <c r="J36" t="s">
        <v>3</v>
      </c>
      <c r="K36" t="s">
        <v>3</v>
      </c>
      <c r="L36" t="s">
        <v>3</v>
      </c>
      <c r="M36">
        <v>0</v>
      </c>
      <c r="N36">
        <v>0</v>
      </c>
      <c r="O36">
        <v>0</v>
      </c>
      <c r="P36">
        <v>7</v>
      </c>
      <c r="Q36">
        <v>6</v>
      </c>
      <c r="R36">
        <v>3</v>
      </c>
      <c r="S36">
        <v>0</v>
      </c>
      <c r="T36">
        <v>0</v>
      </c>
      <c r="U36">
        <v>7</v>
      </c>
      <c r="V36">
        <v>2</v>
      </c>
      <c r="W36">
        <v>1</v>
      </c>
      <c r="X36">
        <v>0</v>
      </c>
      <c r="Y36">
        <v>0</v>
      </c>
      <c r="Z36">
        <v>0</v>
      </c>
      <c r="AA36">
        <v>2</v>
      </c>
      <c r="AB36">
        <v>8</v>
      </c>
      <c r="AC36">
        <v>1</v>
      </c>
      <c r="AD36">
        <v>9</v>
      </c>
      <c r="AE36">
        <v>0</v>
      </c>
      <c r="AF36">
        <v>0</v>
      </c>
      <c r="AG36">
        <v>0</v>
      </c>
      <c r="AH36">
        <v>0</v>
      </c>
    </row>
    <row r="37" spans="1:34" x14ac:dyDescent="0.25">
      <c r="A37" t="s">
        <v>37</v>
      </c>
      <c r="B37" t="s">
        <v>3</v>
      </c>
      <c r="C37" t="s">
        <v>3</v>
      </c>
      <c r="D37" t="s">
        <v>3</v>
      </c>
      <c r="E37" t="s">
        <v>3</v>
      </c>
      <c r="F37" t="s">
        <v>3</v>
      </c>
      <c r="G37" t="s">
        <v>3</v>
      </c>
      <c r="H37" t="s">
        <v>3</v>
      </c>
      <c r="I37" t="s">
        <v>3</v>
      </c>
      <c r="J37" t="s">
        <v>3</v>
      </c>
      <c r="K37" t="s">
        <v>3</v>
      </c>
      <c r="L37" t="s">
        <v>3</v>
      </c>
      <c r="M37" t="s">
        <v>3</v>
      </c>
      <c r="N37" t="s">
        <v>3</v>
      </c>
      <c r="O37" t="s">
        <v>3</v>
      </c>
      <c r="P37">
        <v>2</v>
      </c>
      <c r="Q37">
        <v>14</v>
      </c>
      <c r="R37">
        <v>25</v>
      </c>
      <c r="S37">
        <v>9</v>
      </c>
      <c r="T37">
        <v>3</v>
      </c>
      <c r="U37">
        <v>3</v>
      </c>
      <c r="V37">
        <v>0</v>
      </c>
      <c r="W37">
        <v>3</v>
      </c>
      <c r="X37">
        <v>0</v>
      </c>
      <c r="Y37">
        <v>0</v>
      </c>
      <c r="Z37">
        <v>0</v>
      </c>
      <c r="AA37">
        <v>5</v>
      </c>
      <c r="AB37">
        <v>5</v>
      </c>
      <c r="AC37">
        <v>1</v>
      </c>
      <c r="AD37">
        <v>0</v>
      </c>
      <c r="AE37">
        <v>0</v>
      </c>
      <c r="AF37">
        <v>0</v>
      </c>
      <c r="AG37">
        <v>0</v>
      </c>
      <c r="AH37">
        <v>0</v>
      </c>
    </row>
    <row r="38" spans="1:34" x14ac:dyDescent="0.25">
      <c r="A38" t="s">
        <v>38</v>
      </c>
      <c r="B38" t="s">
        <v>3</v>
      </c>
      <c r="C38" t="s">
        <v>3</v>
      </c>
      <c r="D38" t="s">
        <v>3</v>
      </c>
      <c r="E38" t="s">
        <v>3</v>
      </c>
      <c r="F38" t="s">
        <v>3</v>
      </c>
      <c r="G38" t="s">
        <v>3</v>
      </c>
      <c r="H38" t="s">
        <v>3</v>
      </c>
      <c r="I38" t="s">
        <v>3</v>
      </c>
      <c r="J38" t="s">
        <v>3</v>
      </c>
      <c r="K38" t="s">
        <v>3</v>
      </c>
      <c r="L38" t="s">
        <v>3</v>
      </c>
      <c r="M38" t="s">
        <v>3</v>
      </c>
      <c r="N38" t="s">
        <v>3</v>
      </c>
      <c r="O38" t="s">
        <v>3</v>
      </c>
      <c r="P38">
        <v>0</v>
      </c>
      <c r="Q38">
        <v>21</v>
      </c>
      <c r="R38">
        <v>21</v>
      </c>
      <c r="S38">
        <v>11</v>
      </c>
      <c r="T38">
        <v>5</v>
      </c>
      <c r="U38">
        <v>6</v>
      </c>
      <c r="V38">
        <v>1</v>
      </c>
      <c r="W38">
        <v>1</v>
      </c>
      <c r="X38">
        <v>0</v>
      </c>
      <c r="Y38">
        <v>0</v>
      </c>
      <c r="Z38">
        <v>0</v>
      </c>
      <c r="AA38">
        <v>4</v>
      </c>
      <c r="AB38">
        <v>2</v>
      </c>
      <c r="AC38">
        <v>0</v>
      </c>
      <c r="AD38">
        <v>0</v>
      </c>
      <c r="AE38">
        <v>0</v>
      </c>
      <c r="AF38">
        <v>0</v>
      </c>
      <c r="AG38">
        <v>0</v>
      </c>
      <c r="AH38">
        <v>0</v>
      </c>
    </row>
    <row r="39" spans="1:34" x14ac:dyDescent="0.25">
      <c r="A39" t="s">
        <v>39</v>
      </c>
      <c r="B39" t="s">
        <v>3</v>
      </c>
      <c r="C39" t="s">
        <v>3</v>
      </c>
      <c r="D39" t="s">
        <v>3</v>
      </c>
      <c r="E39" t="s">
        <v>3</v>
      </c>
      <c r="F39" t="s">
        <v>3</v>
      </c>
      <c r="G39" t="s">
        <v>3</v>
      </c>
      <c r="H39" t="s">
        <v>3</v>
      </c>
      <c r="I39" t="s">
        <v>3</v>
      </c>
      <c r="J39" t="s">
        <v>3</v>
      </c>
      <c r="K39" t="s">
        <v>3</v>
      </c>
      <c r="L39" t="s">
        <v>3</v>
      </c>
      <c r="M39" t="s">
        <v>3</v>
      </c>
      <c r="N39" t="s">
        <v>3</v>
      </c>
      <c r="O39" t="s">
        <v>3</v>
      </c>
      <c r="P39">
        <v>0</v>
      </c>
      <c r="Q39">
        <v>4</v>
      </c>
      <c r="R39">
        <v>1</v>
      </c>
      <c r="S39">
        <v>7</v>
      </c>
      <c r="T39">
        <v>4</v>
      </c>
      <c r="U39">
        <v>1</v>
      </c>
      <c r="V39">
        <v>3</v>
      </c>
      <c r="W39">
        <v>1</v>
      </c>
      <c r="X39">
        <v>0</v>
      </c>
      <c r="Y39">
        <v>0</v>
      </c>
      <c r="Z39">
        <v>0</v>
      </c>
      <c r="AA39">
        <v>0</v>
      </c>
      <c r="AB39">
        <v>1</v>
      </c>
      <c r="AC39">
        <v>0</v>
      </c>
      <c r="AD39">
        <v>0</v>
      </c>
      <c r="AE39">
        <v>0</v>
      </c>
      <c r="AF39">
        <v>0</v>
      </c>
      <c r="AG39">
        <v>0</v>
      </c>
      <c r="AH39">
        <v>0</v>
      </c>
    </row>
    <row r="40" spans="1:34" x14ac:dyDescent="0.25">
      <c r="A40" t="s">
        <v>40</v>
      </c>
      <c r="B40" t="s">
        <v>3</v>
      </c>
      <c r="C40" t="s">
        <v>3</v>
      </c>
      <c r="D40" t="s">
        <v>3</v>
      </c>
      <c r="E40" t="s">
        <v>3</v>
      </c>
      <c r="F40" t="s">
        <v>3</v>
      </c>
      <c r="G40" t="s">
        <v>3</v>
      </c>
      <c r="H40" t="s">
        <v>3</v>
      </c>
      <c r="I40" t="s">
        <v>3</v>
      </c>
      <c r="J40" t="s">
        <v>3</v>
      </c>
      <c r="K40" t="s">
        <v>3</v>
      </c>
      <c r="L40" t="s">
        <v>3</v>
      </c>
      <c r="M40" t="s">
        <v>3</v>
      </c>
      <c r="N40" t="s">
        <v>3</v>
      </c>
      <c r="O40" t="s">
        <v>3</v>
      </c>
      <c r="P40">
        <v>0</v>
      </c>
      <c r="Q40">
        <v>1</v>
      </c>
      <c r="R40">
        <v>5</v>
      </c>
      <c r="S40">
        <v>7</v>
      </c>
      <c r="T40">
        <v>3</v>
      </c>
      <c r="U40">
        <v>2</v>
      </c>
      <c r="V40">
        <v>0</v>
      </c>
      <c r="W40">
        <v>0</v>
      </c>
      <c r="X40">
        <v>1</v>
      </c>
      <c r="Y40">
        <v>0</v>
      </c>
      <c r="Z40">
        <v>0</v>
      </c>
      <c r="AA40">
        <v>0</v>
      </c>
      <c r="AB40">
        <v>0</v>
      </c>
      <c r="AC40">
        <v>0</v>
      </c>
      <c r="AD40">
        <v>0</v>
      </c>
      <c r="AE40">
        <v>1</v>
      </c>
      <c r="AF40">
        <v>0</v>
      </c>
      <c r="AG40">
        <v>0</v>
      </c>
      <c r="AH40">
        <v>0</v>
      </c>
    </row>
    <row r="41" spans="1:34" x14ac:dyDescent="0.25">
      <c r="A41" t="s">
        <v>41</v>
      </c>
      <c r="B41" t="s">
        <v>3</v>
      </c>
      <c r="C41" t="s">
        <v>3</v>
      </c>
      <c r="D41" t="s">
        <v>3</v>
      </c>
      <c r="E41" t="s">
        <v>3</v>
      </c>
      <c r="F41" t="s">
        <v>3</v>
      </c>
      <c r="G41" t="s">
        <v>3</v>
      </c>
      <c r="H41" t="s">
        <v>3</v>
      </c>
      <c r="I41" t="s">
        <v>3</v>
      </c>
      <c r="J41" t="s">
        <v>3</v>
      </c>
      <c r="K41" t="s">
        <v>3</v>
      </c>
      <c r="L41" t="s">
        <v>3</v>
      </c>
      <c r="M41" t="s">
        <v>3</v>
      </c>
      <c r="N41" t="s">
        <v>3</v>
      </c>
      <c r="O41" t="s">
        <v>3</v>
      </c>
      <c r="P41">
        <v>0</v>
      </c>
      <c r="Q41">
        <v>1</v>
      </c>
      <c r="R41">
        <v>3</v>
      </c>
      <c r="S41">
        <v>0</v>
      </c>
      <c r="T41">
        <v>2</v>
      </c>
      <c r="U41">
        <v>0</v>
      </c>
      <c r="V41">
        <v>1</v>
      </c>
      <c r="W41">
        <v>0</v>
      </c>
      <c r="X41">
        <v>0</v>
      </c>
      <c r="Y41">
        <v>0</v>
      </c>
      <c r="Z41">
        <v>0</v>
      </c>
      <c r="AA41">
        <v>0</v>
      </c>
      <c r="AB41">
        <v>0</v>
      </c>
      <c r="AC41">
        <v>0</v>
      </c>
      <c r="AD41">
        <v>0</v>
      </c>
      <c r="AE41">
        <v>0</v>
      </c>
      <c r="AF41">
        <v>0</v>
      </c>
      <c r="AG41">
        <v>0</v>
      </c>
      <c r="AH41" t="s">
        <v>3</v>
      </c>
    </row>
    <row r="42" spans="1:34" x14ac:dyDescent="0.25">
      <c r="A42" t="s">
        <v>42</v>
      </c>
      <c r="B42" t="s">
        <v>3</v>
      </c>
      <c r="C42" t="s">
        <v>3</v>
      </c>
      <c r="D42" t="s">
        <v>3</v>
      </c>
      <c r="E42" t="s">
        <v>3</v>
      </c>
      <c r="F42" t="s">
        <v>3</v>
      </c>
      <c r="G42" t="s">
        <v>3</v>
      </c>
      <c r="H42" t="s">
        <v>3</v>
      </c>
      <c r="I42" t="s">
        <v>3</v>
      </c>
      <c r="J42" t="s">
        <v>3</v>
      </c>
      <c r="K42" t="s">
        <v>3</v>
      </c>
      <c r="L42" t="s">
        <v>3</v>
      </c>
      <c r="M42" t="s">
        <v>3</v>
      </c>
      <c r="N42" t="s">
        <v>3</v>
      </c>
      <c r="O42" t="s">
        <v>3</v>
      </c>
      <c r="P42" t="s">
        <v>3</v>
      </c>
      <c r="Q42" t="s">
        <v>3</v>
      </c>
      <c r="R42" t="s">
        <v>3</v>
      </c>
      <c r="S42" t="s">
        <v>3</v>
      </c>
      <c r="T42">
        <v>30</v>
      </c>
      <c r="U42" t="s">
        <v>3</v>
      </c>
      <c r="V42" t="s">
        <v>3</v>
      </c>
      <c r="W42" t="s">
        <v>3</v>
      </c>
      <c r="X42" t="s">
        <v>3</v>
      </c>
      <c r="Y42" t="s">
        <v>3</v>
      </c>
      <c r="Z42" t="s">
        <v>3</v>
      </c>
      <c r="AA42" t="s">
        <v>3</v>
      </c>
      <c r="AB42" t="s">
        <v>3</v>
      </c>
      <c r="AC42" t="s">
        <v>3</v>
      </c>
      <c r="AD42" t="s">
        <v>3</v>
      </c>
      <c r="AE42" t="s">
        <v>3</v>
      </c>
      <c r="AF42" t="s">
        <v>3</v>
      </c>
      <c r="AG42" t="s">
        <v>3</v>
      </c>
      <c r="AH42" t="s">
        <v>3</v>
      </c>
    </row>
    <row r="43" spans="1:34" x14ac:dyDescent="0.25">
      <c r="A43" t="s">
        <v>43</v>
      </c>
      <c r="B43" t="s">
        <v>3</v>
      </c>
      <c r="C43" t="s">
        <v>3</v>
      </c>
      <c r="D43" t="s">
        <v>3</v>
      </c>
      <c r="E43" t="s">
        <v>3</v>
      </c>
      <c r="F43" t="s">
        <v>3</v>
      </c>
      <c r="G43" t="s">
        <v>3</v>
      </c>
      <c r="H43" t="s">
        <v>3</v>
      </c>
      <c r="I43" t="s">
        <v>3</v>
      </c>
      <c r="J43" t="s">
        <v>3</v>
      </c>
      <c r="K43" t="s">
        <v>3</v>
      </c>
      <c r="L43" t="s">
        <v>3</v>
      </c>
      <c r="M43" t="s">
        <v>3</v>
      </c>
      <c r="N43" t="s">
        <v>3</v>
      </c>
      <c r="O43" t="s">
        <v>3</v>
      </c>
      <c r="P43" t="s">
        <v>3</v>
      </c>
      <c r="Q43" t="s">
        <v>3</v>
      </c>
      <c r="R43" t="s">
        <v>3</v>
      </c>
      <c r="S43" t="s">
        <v>3</v>
      </c>
      <c r="T43">
        <v>11</v>
      </c>
      <c r="U43" t="s">
        <v>3</v>
      </c>
      <c r="V43" t="s">
        <v>3</v>
      </c>
      <c r="W43" t="s">
        <v>3</v>
      </c>
      <c r="X43" t="s">
        <v>3</v>
      </c>
      <c r="Y43" t="s">
        <v>3</v>
      </c>
      <c r="Z43" t="s">
        <v>3</v>
      </c>
      <c r="AA43" t="s">
        <v>3</v>
      </c>
      <c r="AB43" t="s">
        <v>3</v>
      </c>
      <c r="AC43" t="s">
        <v>3</v>
      </c>
      <c r="AD43" t="s">
        <v>3</v>
      </c>
      <c r="AE43" t="s">
        <v>3</v>
      </c>
      <c r="AF43" t="s">
        <v>3</v>
      </c>
      <c r="AG43" t="s">
        <v>3</v>
      </c>
      <c r="AH43" t="s">
        <v>3</v>
      </c>
    </row>
    <row r="44" spans="1:34" x14ac:dyDescent="0.25">
      <c r="A44" t="s">
        <v>44</v>
      </c>
      <c r="B44" t="s">
        <v>3</v>
      </c>
      <c r="C44" t="s">
        <v>3</v>
      </c>
      <c r="D44" t="s">
        <v>3</v>
      </c>
      <c r="E44" t="s">
        <v>3</v>
      </c>
      <c r="F44" t="s">
        <v>3</v>
      </c>
      <c r="G44" t="s">
        <v>3</v>
      </c>
      <c r="H44" t="s">
        <v>3</v>
      </c>
      <c r="I44" t="s">
        <v>3</v>
      </c>
      <c r="J44" t="s">
        <v>3</v>
      </c>
      <c r="K44" t="s">
        <v>3</v>
      </c>
      <c r="L44" t="s">
        <v>3</v>
      </c>
      <c r="M44" t="s">
        <v>3</v>
      </c>
      <c r="N44" t="s">
        <v>3</v>
      </c>
      <c r="O44" t="s">
        <v>3</v>
      </c>
      <c r="P44" t="s">
        <v>3</v>
      </c>
      <c r="Q44" t="s">
        <v>3</v>
      </c>
      <c r="R44" t="s">
        <v>3</v>
      </c>
      <c r="S44" t="s">
        <v>3</v>
      </c>
      <c r="T44">
        <v>26</v>
      </c>
      <c r="U44" t="s">
        <v>3</v>
      </c>
      <c r="V44" t="s">
        <v>3</v>
      </c>
      <c r="W44" t="s">
        <v>3</v>
      </c>
      <c r="X44" t="s">
        <v>3</v>
      </c>
      <c r="Y44" t="s">
        <v>3</v>
      </c>
      <c r="Z44" t="s">
        <v>3</v>
      </c>
      <c r="AA44" t="s">
        <v>3</v>
      </c>
      <c r="AB44" t="s">
        <v>3</v>
      </c>
      <c r="AC44" t="s">
        <v>3</v>
      </c>
      <c r="AD44" t="s">
        <v>3</v>
      </c>
      <c r="AE44" t="s">
        <v>3</v>
      </c>
      <c r="AF44" t="s">
        <v>3</v>
      </c>
      <c r="AG44" t="s">
        <v>3</v>
      </c>
      <c r="AH44" t="s">
        <v>3</v>
      </c>
    </row>
    <row r="45" spans="1:34" x14ac:dyDescent="0.25">
      <c r="A45" t="s">
        <v>45</v>
      </c>
      <c r="B45" t="s">
        <v>3</v>
      </c>
      <c r="C45" t="s">
        <v>3</v>
      </c>
      <c r="D45" t="s">
        <v>3</v>
      </c>
      <c r="E45" t="s">
        <v>3</v>
      </c>
      <c r="F45" t="s">
        <v>3</v>
      </c>
      <c r="G45" t="s">
        <v>3</v>
      </c>
      <c r="H45" t="s">
        <v>3</v>
      </c>
      <c r="I45" t="s">
        <v>3</v>
      </c>
      <c r="J45" t="s">
        <v>3</v>
      </c>
      <c r="K45" t="s">
        <v>3</v>
      </c>
      <c r="L45" t="s">
        <v>3</v>
      </c>
      <c r="M45" t="s">
        <v>3</v>
      </c>
      <c r="N45" t="s">
        <v>3</v>
      </c>
      <c r="O45" t="s">
        <v>3</v>
      </c>
      <c r="P45" t="s">
        <v>3</v>
      </c>
      <c r="Q45" t="s">
        <v>3</v>
      </c>
      <c r="R45" t="s">
        <v>3</v>
      </c>
      <c r="S45" t="s">
        <v>3</v>
      </c>
      <c r="T45" t="s">
        <v>3</v>
      </c>
      <c r="U45" t="s">
        <v>3</v>
      </c>
      <c r="V45" t="s">
        <v>3</v>
      </c>
      <c r="W45" t="s">
        <v>3</v>
      </c>
      <c r="X45" t="s">
        <v>3</v>
      </c>
      <c r="Y45" t="s">
        <v>3</v>
      </c>
      <c r="Z45" t="s">
        <v>3</v>
      </c>
      <c r="AA45" t="s">
        <v>3</v>
      </c>
      <c r="AB45" t="s">
        <v>3</v>
      </c>
      <c r="AC45" t="s">
        <v>3</v>
      </c>
      <c r="AD45" t="s">
        <v>3</v>
      </c>
      <c r="AE45" t="s">
        <v>3</v>
      </c>
      <c r="AF45" t="s">
        <v>3</v>
      </c>
      <c r="AG45" t="s">
        <v>3</v>
      </c>
      <c r="AH45" t="s">
        <v>3</v>
      </c>
    </row>
    <row r="46" spans="1:34" x14ac:dyDescent="0.25">
      <c r="A46" t="s">
        <v>46</v>
      </c>
      <c r="B46" t="s">
        <v>3</v>
      </c>
      <c r="C46" t="s">
        <v>3</v>
      </c>
      <c r="D46" t="s">
        <v>3</v>
      </c>
      <c r="E46" t="s">
        <v>3</v>
      </c>
      <c r="F46" t="s">
        <v>3</v>
      </c>
      <c r="G46" t="s">
        <v>3</v>
      </c>
      <c r="H46" t="s">
        <v>3</v>
      </c>
      <c r="I46" t="s">
        <v>3</v>
      </c>
      <c r="J46" t="s">
        <v>3</v>
      </c>
      <c r="K46" t="s">
        <v>3</v>
      </c>
      <c r="L46" t="s">
        <v>3</v>
      </c>
      <c r="M46" t="s">
        <v>3</v>
      </c>
      <c r="N46" t="s">
        <v>3</v>
      </c>
      <c r="O46" t="s">
        <v>3</v>
      </c>
      <c r="P46" t="s">
        <v>3</v>
      </c>
      <c r="Q46" t="s">
        <v>3</v>
      </c>
      <c r="R46" t="s">
        <v>3</v>
      </c>
      <c r="S46" t="s">
        <v>3</v>
      </c>
      <c r="T46" t="s">
        <v>3</v>
      </c>
      <c r="U46" t="s">
        <v>3</v>
      </c>
      <c r="V46" t="s">
        <v>3</v>
      </c>
      <c r="W46" t="s">
        <v>3</v>
      </c>
      <c r="X46" t="s">
        <v>3</v>
      </c>
      <c r="Y46" t="s">
        <v>3</v>
      </c>
      <c r="Z46" t="s">
        <v>3</v>
      </c>
      <c r="AA46" t="s">
        <v>3</v>
      </c>
      <c r="AB46" t="s">
        <v>3</v>
      </c>
      <c r="AC46" t="s">
        <v>3</v>
      </c>
      <c r="AD46" t="s">
        <v>3</v>
      </c>
      <c r="AE46" t="s">
        <v>3</v>
      </c>
      <c r="AF46" t="s">
        <v>3</v>
      </c>
      <c r="AG46" t="s">
        <v>3</v>
      </c>
      <c r="AH46" t="s">
        <v>3</v>
      </c>
    </row>
    <row r="47" spans="1:34" x14ac:dyDescent="0.25">
      <c r="A47" t="s">
        <v>47</v>
      </c>
      <c r="B47" t="s">
        <v>3</v>
      </c>
      <c r="C47" t="s">
        <v>3</v>
      </c>
      <c r="D47" t="s">
        <v>3</v>
      </c>
      <c r="E47" t="s">
        <v>3</v>
      </c>
      <c r="F47" t="s">
        <v>3</v>
      </c>
      <c r="G47" t="s">
        <v>3</v>
      </c>
      <c r="H47" t="s">
        <v>3</v>
      </c>
      <c r="I47" t="s">
        <v>3</v>
      </c>
      <c r="J47" t="s">
        <v>3</v>
      </c>
      <c r="K47" t="s">
        <v>3</v>
      </c>
      <c r="L47" t="s">
        <v>3</v>
      </c>
      <c r="M47" t="s">
        <v>3</v>
      </c>
      <c r="N47" t="s">
        <v>3</v>
      </c>
      <c r="O47" t="s">
        <v>3</v>
      </c>
      <c r="P47" t="s">
        <v>3</v>
      </c>
      <c r="Q47" t="s">
        <v>3</v>
      </c>
      <c r="R47" t="s">
        <v>3</v>
      </c>
      <c r="S47" t="s">
        <v>3</v>
      </c>
      <c r="T47" t="s">
        <v>3</v>
      </c>
      <c r="U47" t="s">
        <v>3</v>
      </c>
      <c r="V47" t="s">
        <v>3</v>
      </c>
      <c r="W47" t="s">
        <v>3</v>
      </c>
      <c r="X47" t="s">
        <v>3</v>
      </c>
      <c r="Y47" t="s">
        <v>3</v>
      </c>
      <c r="Z47" t="s">
        <v>3</v>
      </c>
      <c r="AA47" t="s">
        <v>3</v>
      </c>
      <c r="AB47" t="s">
        <v>3</v>
      </c>
      <c r="AC47" t="s">
        <v>3</v>
      </c>
      <c r="AD47" t="s">
        <v>3</v>
      </c>
      <c r="AE47" t="s">
        <v>3</v>
      </c>
      <c r="AF47" t="s">
        <v>3</v>
      </c>
      <c r="AG47" t="s">
        <v>3</v>
      </c>
      <c r="AH47" t="s">
        <v>3</v>
      </c>
    </row>
    <row r="48" spans="1:34" x14ac:dyDescent="0.25">
      <c r="A48" t="s">
        <v>48</v>
      </c>
      <c r="B48" t="s">
        <v>3</v>
      </c>
      <c r="C48" t="s">
        <v>3</v>
      </c>
      <c r="D48" t="s">
        <v>3</v>
      </c>
      <c r="E48" t="s">
        <v>3</v>
      </c>
      <c r="F48" t="s">
        <v>3</v>
      </c>
      <c r="G48" t="s">
        <v>3</v>
      </c>
      <c r="H48" t="s">
        <v>3</v>
      </c>
      <c r="I48" t="s">
        <v>3</v>
      </c>
      <c r="J48" t="s">
        <v>3</v>
      </c>
      <c r="K48" t="s">
        <v>3</v>
      </c>
      <c r="L48" t="s">
        <v>3</v>
      </c>
      <c r="M48" t="s">
        <v>3</v>
      </c>
      <c r="N48" t="s">
        <v>3</v>
      </c>
      <c r="O48" t="s">
        <v>3</v>
      </c>
      <c r="P48" t="s">
        <v>3</v>
      </c>
      <c r="Q48" t="s">
        <v>3</v>
      </c>
      <c r="R48" t="s">
        <v>3</v>
      </c>
      <c r="S48" t="s">
        <v>3</v>
      </c>
      <c r="T48" t="s">
        <v>3</v>
      </c>
      <c r="U48" t="s">
        <v>3</v>
      </c>
      <c r="V48" t="s">
        <v>3</v>
      </c>
      <c r="W48" t="s">
        <v>3</v>
      </c>
      <c r="X48" t="s">
        <v>3</v>
      </c>
      <c r="Y48" t="s">
        <v>3</v>
      </c>
      <c r="Z48" t="s">
        <v>3</v>
      </c>
      <c r="AA48" t="s">
        <v>3</v>
      </c>
      <c r="AB48" t="s">
        <v>3</v>
      </c>
      <c r="AC48" t="s">
        <v>3</v>
      </c>
      <c r="AD48" t="s">
        <v>3</v>
      </c>
      <c r="AE48" t="s">
        <v>3</v>
      </c>
      <c r="AF48" t="s">
        <v>3</v>
      </c>
      <c r="AG48" t="s">
        <v>3</v>
      </c>
      <c r="AH48" t="s">
        <v>3</v>
      </c>
    </row>
    <row r="49" spans="1:34" x14ac:dyDescent="0.25">
      <c r="A49" t="s">
        <v>49</v>
      </c>
      <c r="B49" t="s">
        <v>3</v>
      </c>
      <c r="C49" t="s">
        <v>3</v>
      </c>
      <c r="D49" t="s">
        <v>3</v>
      </c>
      <c r="E49" t="s">
        <v>3</v>
      </c>
      <c r="F49" t="s">
        <v>3</v>
      </c>
      <c r="G49" t="s">
        <v>3</v>
      </c>
      <c r="H49" t="s">
        <v>3</v>
      </c>
      <c r="I49" t="s">
        <v>3</v>
      </c>
      <c r="J49" t="s">
        <v>3</v>
      </c>
      <c r="K49" t="s">
        <v>3</v>
      </c>
      <c r="L49" t="s">
        <v>3</v>
      </c>
      <c r="M49" t="s">
        <v>3</v>
      </c>
      <c r="N49" t="s">
        <v>3</v>
      </c>
      <c r="O49">
        <v>0</v>
      </c>
      <c r="P49">
        <v>0</v>
      </c>
      <c r="Q49">
        <v>0</v>
      </c>
      <c r="R49">
        <v>0</v>
      </c>
      <c r="S49">
        <v>7</v>
      </c>
      <c r="T49">
        <v>3</v>
      </c>
      <c r="U49">
        <v>1</v>
      </c>
      <c r="V49">
        <v>0</v>
      </c>
      <c r="W49">
        <v>2</v>
      </c>
      <c r="X49">
        <v>0</v>
      </c>
      <c r="Y49">
        <v>0</v>
      </c>
      <c r="Z49">
        <v>0</v>
      </c>
      <c r="AA49">
        <v>0</v>
      </c>
      <c r="AB49">
        <v>2</v>
      </c>
      <c r="AC49">
        <v>6</v>
      </c>
      <c r="AD49">
        <v>1</v>
      </c>
      <c r="AE49">
        <v>0</v>
      </c>
      <c r="AF49">
        <v>0</v>
      </c>
      <c r="AG49">
        <v>0</v>
      </c>
      <c r="AH49">
        <v>0</v>
      </c>
    </row>
    <row r="50" spans="1:34" x14ac:dyDescent="0.25">
      <c r="A50" t="s">
        <v>50</v>
      </c>
      <c r="B50" t="s">
        <v>3</v>
      </c>
      <c r="C50" t="s">
        <v>3</v>
      </c>
      <c r="D50" t="s">
        <v>3</v>
      </c>
      <c r="E50" t="s">
        <v>3</v>
      </c>
      <c r="F50" t="s">
        <v>3</v>
      </c>
      <c r="G50" t="s">
        <v>3</v>
      </c>
      <c r="H50" t="s">
        <v>3</v>
      </c>
      <c r="I50" t="s">
        <v>3</v>
      </c>
      <c r="J50" t="s">
        <v>3</v>
      </c>
      <c r="K50" t="s">
        <v>3</v>
      </c>
      <c r="L50" t="s">
        <v>3</v>
      </c>
      <c r="M50" t="s">
        <v>3</v>
      </c>
      <c r="N50" t="s">
        <v>3</v>
      </c>
      <c r="O50">
        <v>0</v>
      </c>
      <c r="P50">
        <v>0</v>
      </c>
      <c r="Q50">
        <v>2</v>
      </c>
      <c r="R50">
        <v>5</v>
      </c>
      <c r="S50">
        <v>19</v>
      </c>
      <c r="T50">
        <v>10</v>
      </c>
      <c r="U50">
        <v>9</v>
      </c>
      <c r="V50">
        <v>4</v>
      </c>
      <c r="W50">
        <v>27</v>
      </c>
      <c r="X50">
        <v>0</v>
      </c>
      <c r="Y50">
        <v>0</v>
      </c>
      <c r="Z50">
        <v>0</v>
      </c>
      <c r="AA50">
        <v>0</v>
      </c>
      <c r="AB50">
        <v>4</v>
      </c>
      <c r="AC50">
        <v>7</v>
      </c>
      <c r="AD50">
        <v>0</v>
      </c>
      <c r="AE50">
        <v>2</v>
      </c>
      <c r="AF50">
        <v>0</v>
      </c>
      <c r="AG50">
        <v>0</v>
      </c>
      <c r="AH50">
        <v>0</v>
      </c>
    </row>
    <row r="51" spans="1:34" x14ac:dyDescent="0.25">
      <c r="A51" t="s">
        <v>51</v>
      </c>
      <c r="B51" t="s">
        <v>3</v>
      </c>
      <c r="C51" t="s">
        <v>3</v>
      </c>
      <c r="D51" t="s">
        <v>3</v>
      </c>
      <c r="E51" t="s">
        <v>3</v>
      </c>
      <c r="F51" t="s">
        <v>3</v>
      </c>
      <c r="G51" t="s">
        <v>3</v>
      </c>
      <c r="H51" t="s">
        <v>3</v>
      </c>
      <c r="I51" t="s">
        <v>3</v>
      </c>
      <c r="J51" t="s">
        <v>3</v>
      </c>
      <c r="K51" t="s">
        <v>3</v>
      </c>
      <c r="L51" t="s">
        <v>3</v>
      </c>
      <c r="M51" t="s">
        <v>3</v>
      </c>
      <c r="N51" t="s">
        <v>3</v>
      </c>
      <c r="O51">
        <v>0</v>
      </c>
      <c r="P51">
        <v>0</v>
      </c>
      <c r="Q51">
        <v>0</v>
      </c>
      <c r="R51">
        <v>1</v>
      </c>
      <c r="S51">
        <v>5</v>
      </c>
      <c r="T51">
        <v>4</v>
      </c>
      <c r="U51">
        <v>0</v>
      </c>
      <c r="V51">
        <v>1</v>
      </c>
      <c r="W51">
        <v>5</v>
      </c>
      <c r="X51">
        <v>0</v>
      </c>
      <c r="Y51">
        <v>0</v>
      </c>
      <c r="Z51">
        <v>0</v>
      </c>
      <c r="AA51">
        <v>0</v>
      </c>
      <c r="AB51">
        <v>2</v>
      </c>
      <c r="AC51">
        <v>3</v>
      </c>
      <c r="AD51">
        <v>1</v>
      </c>
      <c r="AE51">
        <v>0</v>
      </c>
      <c r="AF51">
        <v>0</v>
      </c>
      <c r="AG51">
        <v>0</v>
      </c>
      <c r="AH51">
        <v>0</v>
      </c>
    </row>
    <row r="52" spans="1:34" x14ac:dyDescent="0.25">
      <c r="A52" t="s">
        <v>52</v>
      </c>
      <c r="B52" t="s">
        <v>3</v>
      </c>
      <c r="C52" t="s">
        <v>3</v>
      </c>
      <c r="D52">
        <v>0</v>
      </c>
      <c r="E52" t="s">
        <v>3</v>
      </c>
      <c r="F52" t="s">
        <v>3</v>
      </c>
      <c r="G52" t="s">
        <v>3</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row>
    <row r="53" spans="1:34" x14ac:dyDescent="0.25">
      <c r="A53" t="s">
        <v>53</v>
      </c>
      <c r="B53" t="s">
        <v>3</v>
      </c>
      <c r="C53" t="s">
        <v>3</v>
      </c>
      <c r="D53" t="s">
        <v>3</v>
      </c>
      <c r="E53" t="s">
        <v>3</v>
      </c>
      <c r="F53" t="s">
        <v>3</v>
      </c>
      <c r="G53" t="s">
        <v>3</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c r="AH53">
        <v>0</v>
      </c>
    </row>
    <row r="54" spans="1:34" x14ac:dyDescent="0.25">
      <c r="A54" t="s">
        <v>54</v>
      </c>
      <c r="B54" t="s">
        <v>3</v>
      </c>
      <c r="C54" t="s">
        <v>3</v>
      </c>
      <c r="D54" t="s">
        <v>3</v>
      </c>
      <c r="E54" t="s">
        <v>3</v>
      </c>
      <c r="F54" t="s">
        <v>3</v>
      </c>
      <c r="G54" t="s">
        <v>3</v>
      </c>
      <c r="H54">
        <v>0</v>
      </c>
      <c r="I54">
        <v>0</v>
      </c>
      <c r="J54">
        <v>0</v>
      </c>
      <c r="K54">
        <v>0</v>
      </c>
      <c r="L54">
        <v>0</v>
      </c>
      <c r="M54">
        <v>0</v>
      </c>
      <c r="N54">
        <v>0</v>
      </c>
      <c r="O54">
        <v>0</v>
      </c>
      <c r="P54">
        <v>0</v>
      </c>
      <c r="Q54">
        <v>0</v>
      </c>
      <c r="R54">
        <v>0</v>
      </c>
      <c r="S54">
        <v>0</v>
      </c>
      <c r="T54">
        <v>0</v>
      </c>
      <c r="U54">
        <v>0</v>
      </c>
      <c r="V54">
        <v>0</v>
      </c>
      <c r="W54">
        <v>0</v>
      </c>
      <c r="X54">
        <v>0</v>
      </c>
      <c r="Y54">
        <v>0</v>
      </c>
      <c r="Z54">
        <v>0</v>
      </c>
      <c r="AA54">
        <v>0</v>
      </c>
      <c r="AB54">
        <v>0</v>
      </c>
      <c r="AC54">
        <v>0</v>
      </c>
      <c r="AD54">
        <v>0</v>
      </c>
      <c r="AE54">
        <v>0</v>
      </c>
      <c r="AF54">
        <v>0</v>
      </c>
      <c r="AG54">
        <v>0</v>
      </c>
      <c r="AH54">
        <v>0</v>
      </c>
    </row>
    <row r="55" spans="1:34" x14ac:dyDescent="0.25">
      <c r="A55" t="s">
        <v>55</v>
      </c>
      <c r="B55" t="s">
        <v>3</v>
      </c>
      <c r="C55" t="s">
        <v>3</v>
      </c>
      <c r="D55" t="s">
        <v>3</v>
      </c>
      <c r="E55" t="s">
        <v>3</v>
      </c>
      <c r="F55" t="s">
        <v>3</v>
      </c>
      <c r="G55" t="s">
        <v>3</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row>
    <row r="56" spans="1:34" x14ac:dyDescent="0.25">
      <c r="A56" t="s">
        <v>56</v>
      </c>
      <c r="B56" t="s">
        <v>3</v>
      </c>
      <c r="C56" t="s">
        <v>3</v>
      </c>
      <c r="D56" t="s">
        <v>3</v>
      </c>
      <c r="E56" t="s">
        <v>3</v>
      </c>
      <c r="F56" t="s">
        <v>3</v>
      </c>
      <c r="G56" t="s">
        <v>3</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c r="AH56">
        <v>0</v>
      </c>
    </row>
    <row r="57" spans="1:34" x14ac:dyDescent="0.25">
      <c r="A57" t="s">
        <v>57</v>
      </c>
      <c r="B57" t="s">
        <v>3</v>
      </c>
      <c r="C57" t="s">
        <v>3</v>
      </c>
      <c r="D57">
        <v>0</v>
      </c>
      <c r="E57" t="s">
        <v>3</v>
      </c>
      <c r="F57" t="s">
        <v>3</v>
      </c>
      <c r="G57" t="s">
        <v>3</v>
      </c>
      <c r="H57">
        <v>0</v>
      </c>
      <c r="I57" t="s">
        <v>3</v>
      </c>
      <c r="J57">
        <v>0</v>
      </c>
      <c r="K57">
        <v>0</v>
      </c>
      <c r="L57">
        <v>0</v>
      </c>
      <c r="M57">
        <v>0</v>
      </c>
      <c r="N57">
        <v>0</v>
      </c>
      <c r="O57">
        <v>0</v>
      </c>
      <c r="P57">
        <v>0</v>
      </c>
      <c r="Q57">
        <v>0</v>
      </c>
      <c r="R57">
        <v>0</v>
      </c>
      <c r="S57">
        <v>0</v>
      </c>
      <c r="T57">
        <v>0</v>
      </c>
      <c r="U57">
        <v>1</v>
      </c>
      <c r="V57">
        <v>0</v>
      </c>
      <c r="W57">
        <v>0</v>
      </c>
      <c r="X57">
        <v>0</v>
      </c>
      <c r="Y57">
        <v>0</v>
      </c>
      <c r="Z57">
        <v>0</v>
      </c>
      <c r="AA57">
        <v>0</v>
      </c>
      <c r="AB57">
        <v>0</v>
      </c>
      <c r="AC57">
        <v>2</v>
      </c>
      <c r="AD57">
        <v>0</v>
      </c>
      <c r="AE57">
        <v>0</v>
      </c>
      <c r="AF57">
        <v>0</v>
      </c>
      <c r="AG57">
        <v>0</v>
      </c>
      <c r="AH57">
        <v>0</v>
      </c>
    </row>
    <row r="58" spans="1:34" x14ac:dyDescent="0.25">
      <c r="A58" t="s">
        <v>58</v>
      </c>
      <c r="B58" t="s">
        <v>3</v>
      </c>
      <c r="C58" t="s">
        <v>3</v>
      </c>
      <c r="D58">
        <v>0</v>
      </c>
      <c r="E58" t="s">
        <v>3</v>
      </c>
      <c r="F58" t="s">
        <v>3</v>
      </c>
      <c r="G58" t="s">
        <v>3</v>
      </c>
      <c r="H58">
        <v>0</v>
      </c>
      <c r="I58">
        <v>0</v>
      </c>
      <c r="J58">
        <v>0</v>
      </c>
      <c r="K58">
        <v>0</v>
      </c>
      <c r="L58">
        <v>0</v>
      </c>
      <c r="M58">
        <v>0</v>
      </c>
      <c r="N58">
        <v>0</v>
      </c>
      <c r="O58">
        <v>0</v>
      </c>
      <c r="P58">
        <v>0</v>
      </c>
      <c r="Q58">
        <v>2</v>
      </c>
      <c r="R58">
        <v>5</v>
      </c>
      <c r="S58">
        <v>0</v>
      </c>
      <c r="T58">
        <v>3</v>
      </c>
      <c r="U58">
        <v>10</v>
      </c>
      <c r="V58">
        <v>1</v>
      </c>
      <c r="W58">
        <v>3</v>
      </c>
      <c r="X58">
        <v>0</v>
      </c>
      <c r="Y58">
        <v>3</v>
      </c>
      <c r="Z58">
        <v>0</v>
      </c>
      <c r="AA58">
        <v>0</v>
      </c>
      <c r="AB58">
        <v>0</v>
      </c>
      <c r="AC58">
        <v>1</v>
      </c>
      <c r="AD58">
        <v>0</v>
      </c>
      <c r="AE58">
        <v>1</v>
      </c>
      <c r="AF58">
        <v>0</v>
      </c>
      <c r="AG58">
        <v>0</v>
      </c>
      <c r="AH58">
        <v>0</v>
      </c>
    </row>
    <row r="59" spans="1:34" x14ac:dyDescent="0.25">
      <c r="A59" t="s">
        <v>59</v>
      </c>
      <c r="B59" t="s">
        <v>3</v>
      </c>
      <c r="C59" t="s">
        <v>3</v>
      </c>
      <c r="D59">
        <v>0</v>
      </c>
      <c r="E59" t="s">
        <v>3</v>
      </c>
      <c r="F59" t="s">
        <v>3</v>
      </c>
      <c r="G59" t="s">
        <v>3</v>
      </c>
      <c r="H59">
        <v>0</v>
      </c>
      <c r="I59">
        <v>0</v>
      </c>
      <c r="J59">
        <v>0</v>
      </c>
      <c r="K59">
        <v>0</v>
      </c>
      <c r="L59">
        <v>0</v>
      </c>
      <c r="M59">
        <v>0</v>
      </c>
      <c r="N59">
        <v>0</v>
      </c>
      <c r="O59">
        <v>0</v>
      </c>
      <c r="P59">
        <v>0</v>
      </c>
      <c r="Q59">
        <v>0</v>
      </c>
      <c r="R59">
        <v>5</v>
      </c>
      <c r="S59">
        <v>0</v>
      </c>
      <c r="T59">
        <v>1</v>
      </c>
      <c r="U59">
        <v>9</v>
      </c>
      <c r="V59">
        <v>2</v>
      </c>
      <c r="W59">
        <v>1</v>
      </c>
      <c r="X59">
        <v>0</v>
      </c>
      <c r="Y59">
        <v>5</v>
      </c>
      <c r="Z59">
        <v>0</v>
      </c>
      <c r="AA59">
        <v>0</v>
      </c>
      <c r="AB59">
        <v>0</v>
      </c>
      <c r="AC59">
        <v>3</v>
      </c>
      <c r="AD59">
        <v>3</v>
      </c>
      <c r="AE59">
        <v>1</v>
      </c>
      <c r="AF59">
        <v>0</v>
      </c>
      <c r="AG59">
        <v>0</v>
      </c>
      <c r="AH59">
        <v>0</v>
      </c>
    </row>
    <row r="60" spans="1:34" x14ac:dyDescent="0.25">
      <c r="A60" t="s">
        <v>60</v>
      </c>
      <c r="B60" t="s">
        <v>3</v>
      </c>
      <c r="C60" t="s">
        <v>3</v>
      </c>
      <c r="D60">
        <v>0</v>
      </c>
      <c r="E60" t="s">
        <v>3</v>
      </c>
      <c r="F60" t="s">
        <v>3</v>
      </c>
      <c r="G60" t="s">
        <v>3</v>
      </c>
      <c r="H60">
        <v>0</v>
      </c>
      <c r="I60">
        <v>0</v>
      </c>
      <c r="J60">
        <v>0</v>
      </c>
      <c r="K60">
        <v>0</v>
      </c>
      <c r="L60">
        <v>0</v>
      </c>
      <c r="M60">
        <v>0</v>
      </c>
      <c r="N60">
        <v>0</v>
      </c>
      <c r="O60">
        <v>0</v>
      </c>
      <c r="P60">
        <v>0</v>
      </c>
      <c r="Q60">
        <v>0</v>
      </c>
      <c r="R60">
        <v>7</v>
      </c>
      <c r="S60">
        <v>0</v>
      </c>
      <c r="T60">
        <v>7</v>
      </c>
      <c r="U60">
        <v>8</v>
      </c>
      <c r="V60">
        <v>4</v>
      </c>
      <c r="W60">
        <v>5</v>
      </c>
      <c r="X60">
        <v>0</v>
      </c>
      <c r="Y60">
        <v>7</v>
      </c>
      <c r="Z60">
        <v>0</v>
      </c>
      <c r="AA60">
        <v>0</v>
      </c>
      <c r="AB60">
        <v>0</v>
      </c>
      <c r="AC60">
        <v>4</v>
      </c>
      <c r="AD60">
        <v>2</v>
      </c>
      <c r="AE60">
        <v>0</v>
      </c>
      <c r="AF60">
        <v>0</v>
      </c>
      <c r="AG60">
        <v>0</v>
      </c>
      <c r="AH60">
        <v>0</v>
      </c>
    </row>
    <row r="61" spans="1:34" x14ac:dyDescent="0.25">
      <c r="A61" t="s">
        <v>61</v>
      </c>
      <c r="B61" t="s">
        <v>3</v>
      </c>
      <c r="C61" t="s">
        <v>3</v>
      </c>
      <c r="D61" t="s">
        <v>3</v>
      </c>
      <c r="E61" t="s">
        <v>3</v>
      </c>
      <c r="F61" t="s">
        <v>3</v>
      </c>
      <c r="G61" t="s">
        <v>3</v>
      </c>
      <c r="H61" t="s">
        <v>3</v>
      </c>
      <c r="I61" t="s">
        <v>3</v>
      </c>
      <c r="J61">
        <v>0</v>
      </c>
      <c r="K61">
        <v>0</v>
      </c>
      <c r="L61">
        <v>0</v>
      </c>
      <c r="M61">
        <v>0</v>
      </c>
      <c r="N61">
        <v>0</v>
      </c>
      <c r="O61">
        <v>0</v>
      </c>
      <c r="P61">
        <v>0</v>
      </c>
      <c r="Q61">
        <v>0</v>
      </c>
      <c r="R61">
        <v>0</v>
      </c>
      <c r="S61">
        <v>0</v>
      </c>
      <c r="T61">
        <v>27</v>
      </c>
      <c r="U61">
        <v>29</v>
      </c>
      <c r="V61">
        <v>16</v>
      </c>
      <c r="W61">
        <v>28</v>
      </c>
      <c r="X61">
        <v>0</v>
      </c>
      <c r="Y61">
        <v>0</v>
      </c>
      <c r="Z61">
        <v>0</v>
      </c>
      <c r="AA61">
        <v>0</v>
      </c>
      <c r="AB61">
        <v>0</v>
      </c>
      <c r="AC61">
        <v>1</v>
      </c>
      <c r="AD61">
        <v>3</v>
      </c>
      <c r="AE61">
        <v>0</v>
      </c>
      <c r="AF61">
        <v>0</v>
      </c>
      <c r="AG61">
        <v>0</v>
      </c>
      <c r="AH61">
        <v>0</v>
      </c>
    </row>
    <row r="62" spans="1:34" x14ac:dyDescent="0.25">
      <c r="A62" t="s">
        <v>62</v>
      </c>
      <c r="B62" t="s">
        <v>3</v>
      </c>
      <c r="C62" t="s">
        <v>3</v>
      </c>
      <c r="D62" t="s">
        <v>3</v>
      </c>
      <c r="E62" t="s">
        <v>3</v>
      </c>
      <c r="F62" t="s">
        <v>3</v>
      </c>
      <c r="G62" t="s">
        <v>3</v>
      </c>
      <c r="H62" t="s">
        <v>3</v>
      </c>
      <c r="I62" t="s">
        <v>3</v>
      </c>
      <c r="J62">
        <v>0</v>
      </c>
      <c r="K62">
        <v>0</v>
      </c>
      <c r="L62">
        <v>0</v>
      </c>
      <c r="M62">
        <v>0</v>
      </c>
      <c r="N62">
        <v>0</v>
      </c>
      <c r="O62">
        <v>0</v>
      </c>
      <c r="P62">
        <v>0</v>
      </c>
      <c r="Q62">
        <v>0</v>
      </c>
      <c r="R62">
        <v>0</v>
      </c>
      <c r="S62">
        <v>0</v>
      </c>
      <c r="T62">
        <v>27</v>
      </c>
      <c r="U62">
        <v>53</v>
      </c>
      <c r="V62">
        <v>22</v>
      </c>
      <c r="W62">
        <v>0</v>
      </c>
      <c r="X62">
        <v>0</v>
      </c>
      <c r="Y62">
        <v>0</v>
      </c>
      <c r="Z62">
        <v>0</v>
      </c>
      <c r="AA62">
        <v>0</v>
      </c>
      <c r="AB62">
        <v>0</v>
      </c>
      <c r="AC62">
        <v>4</v>
      </c>
      <c r="AD62">
        <v>3</v>
      </c>
      <c r="AE62">
        <v>0</v>
      </c>
      <c r="AF62">
        <v>0</v>
      </c>
      <c r="AG62">
        <v>0</v>
      </c>
      <c r="AH62">
        <v>0</v>
      </c>
    </row>
    <row r="63" spans="1:34" x14ac:dyDescent="0.25">
      <c r="A63" t="s">
        <v>63</v>
      </c>
      <c r="B63" t="s">
        <v>3</v>
      </c>
      <c r="C63" t="s">
        <v>3</v>
      </c>
      <c r="D63" t="s">
        <v>3</v>
      </c>
      <c r="E63" t="s">
        <v>3</v>
      </c>
      <c r="F63" t="s">
        <v>3</v>
      </c>
      <c r="G63" t="s">
        <v>3</v>
      </c>
      <c r="H63" t="s">
        <v>3</v>
      </c>
      <c r="I63" t="s">
        <v>3</v>
      </c>
      <c r="J63" t="s">
        <v>3</v>
      </c>
      <c r="K63" t="s">
        <v>3</v>
      </c>
      <c r="L63" t="s">
        <v>3</v>
      </c>
      <c r="M63" t="s">
        <v>3</v>
      </c>
      <c r="N63" t="s">
        <v>3</v>
      </c>
      <c r="O63" t="s">
        <v>3</v>
      </c>
      <c r="P63" t="s">
        <v>3</v>
      </c>
      <c r="Q63" t="s">
        <v>3</v>
      </c>
      <c r="R63" t="s">
        <v>3</v>
      </c>
      <c r="S63" t="s">
        <v>3</v>
      </c>
      <c r="T63" t="s">
        <v>3</v>
      </c>
      <c r="U63" t="s">
        <v>3</v>
      </c>
      <c r="V63" t="s">
        <v>3</v>
      </c>
      <c r="W63" t="s">
        <v>3</v>
      </c>
      <c r="X63" t="s">
        <v>3</v>
      </c>
      <c r="Y63" t="s">
        <v>3</v>
      </c>
      <c r="Z63" t="s">
        <v>3</v>
      </c>
      <c r="AA63" t="s">
        <v>3</v>
      </c>
      <c r="AB63" t="s">
        <v>3</v>
      </c>
      <c r="AC63">
        <v>1</v>
      </c>
      <c r="AD63">
        <v>0</v>
      </c>
      <c r="AE63">
        <v>0</v>
      </c>
      <c r="AF63">
        <v>0</v>
      </c>
      <c r="AG63">
        <v>0</v>
      </c>
      <c r="AH63">
        <v>0</v>
      </c>
    </row>
    <row r="64" spans="1:34" x14ac:dyDescent="0.25">
      <c r="A64" t="s">
        <v>64</v>
      </c>
      <c r="B64" t="s">
        <v>3</v>
      </c>
      <c r="C64" t="s">
        <v>3</v>
      </c>
      <c r="D64">
        <v>0</v>
      </c>
      <c r="E64" t="s">
        <v>3</v>
      </c>
      <c r="F64" t="s">
        <v>3</v>
      </c>
      <c r="G64" t="s">
        <v>3</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2</v>
      </c>
      <c r="AD64">
        <v>0</v>
      </c>
      <c r="AE64">
        <v>0</v>
      </c>
      <c r="AF64">
        <v>0</v>
      </c>
      <c r="AG64">
        <v>0</v>
      </c>
      <c r="AH64">
        <v>0</v>
      </c>
    </row>
    <row r="65" spans="1:34" x14ac:dyDescent="0.25">
      <c r="A65" t="s">
        <v>65</v>
      </c>
      <c r="B65" t="s">
        <v>3</v>
      </c>
      <c r="C65" t="s">
        <v>3</v>
      </c>
      <c r="D65">
        <v>0</v>
      </c>
      <c r="E65" t="s">
        <v>3</v>
      </c>
      <c r="F65" t="s">
        <v>3</v>
      </c>
      <c r="G65" t="s">
        <v>3</v>
      </c>
      <c r="H65">
        <v>0</v>
      </c>
      <c r="I65">
        <v>0</v>
      </c>
      <c r="J65">
        <v>0</v>
      </c>
      <c r="K65">
        <v>0</v>
      </c>
      <c r="L65">
        <v>0</v>
      </c>
      <c r="M65">
        <v>0</v>
      </c>
      <c r="N65">
        <v>0</v>
      </c>
      <c r="O65">
        <v>0</v>
      </c>
      <c r="P65">
        <v>0</v>
      </c>
      <c r="Q65">
        <v>3</v>
      </c>
      <c r="R65">
        <v>0</v>
      </c>
      <c r="S65">
        <v>0</v>
      </c>
      <c r="T65">
        <v>1</v>
      </c>
      <c r="U65">
        <v>0</v>
      </c>
      <c r="V65">
        <v>0</v>
      </c>
      <c r="W65">
        <v>0</v>
      </c>
      <c r="X65">
        <v>0</v>
      </c>
      <c r="Y65">
        <v>0</v>
      </c>
      <c r="Z65">
        <v>0</v>
      </c>
      <c r="AA65">
        <v>0</v>
      </c>
      <c r="AB65">
        <v>0</v>
      </c>
      <c r="AC65">
        <v>0</v>
      </c>
      <c r="AD65">
        <v>0</v>
      </c>
      <c r="AE65">
        <v>0</v>
      </c>
      <c r="AF65">
        <v>0</v>
      </c>
      <c r="AG65">
        <v>0</v>
      </c>
      <c r="AH65">
        <v>0</v>
      </c>
    </row>
    <row r="66" spans="1:34" x14ac:dyDescent="0.25">
      <c r="A66" t="s">
        <v>66</v>
      </c>
      <c r="B66" t="s">
        <v>3</v>
      </c>
      <c r="C66" t="s">
        <v>3</v>
      </c>
      <c r="D66">
        <v>0</v>
      </c>
      <c r="E66" t="s">
        <v>3</v>
      </c>
      <c r="F66" t="s">
        <v>3</v>
      </c>
      <c r="G66" t="s">
        <v>3</v>
      </c>
      <c r="H66">
        <v>0</v>
      </c>
      <c r="I66">
        <v>0</v>
      </c>
      <c r="J66">
        <v>0</v>
      </c>
      <c r="K66">
        <v>0</v>
      </c>
      <c r="L66">
        <v>0</v>
      </c>
      <c r="M66">
        <v>0</v>
      </c>
      <c r="N66">
        <v>0</v>
      </c>
      <c r="O66">
        <v>0</v>
      </c>
      <c r="P66">
        <v>0</v>
      </c>
      <c r="Q66">
        <v>0</v>
      </c>
      <c r="R66">
        <v>0</v>
      </c>
      <c r="S66">
        <v>0</v>
      </c>
      <c r="T66">
        <v>0</v>
      </c>
      <c r="U66">
        <v>1</v>
      </c>
      <c r="V66">
        <v>0</v>
      </c>
      <c r="W66">
        <v>0</v>
      </c>
      <c r="X66">
        <v>0</v>
      </c>
      <c r="Y66">
        <v>0</v>
      </c>
      <c r="Z66">
        <v>0</v>
      </c>
      <c r="AA66">
        <v>0</v>
      </c>
      <c r="AB66">
        <v>0</v>
      </c>
      <c r="AC66">
        <v>0</v>
      </c>
      <c r="AD66">
        <v>0</v>
      </c>
      <c r="AE66">
        <v>0</v>
      </c>
      <c r="AF66">
        <v>0</v>
      </c>
      <c r="AG66">
        <v>0</v>
      </c>
      <c r="AH66">
        <v>0</v>
      </c>
    </row>
    <row r="67" spans="1:34" x14ac:dyDescent="0.25">
      <c r="A67" t="s">
        <v>67</v>
      </c>
      <c r="B67" t="s">
        <v>3</v>
      </c>
      <c r="C67" t="s">
        <v>3</v>
      </c>
      <c r="D67">
        <v>0</v>
      </c>
      <c r="E67" t="s">
        <v>3</v>
      </c>
      <c r="F67" t="s">
        <v>3</v>
      </c>
      <c r="G67" t="s">
        <v>3</v>
      </c>
      <c r="H67">
        <v>0</v>
      </c>
      <c r="I67">
        <v>0</v>
      </c>
      <c r="J67">
        <v>0</v>
      </c>
      <c r="K67">
        <v>0</v>
      </c>
      <c r="L67">
        <v>0</v>
      </c>
      <c r="M67">
        <v>0</v>
      </c>
      <c r="N67">
        <v>0</v>
      </c>
      <c r="O67">
        <v>0</v>
      </c>
      <c r="P67">
        <v>0</v>
      </c>
      <c r="Q67">
        <v>3</v>
      </c>
      <c r="R67">
        <v>0</v>
      </c>
      <c r="S67">
        <v>0</v>
      </c>
      <c r="T67">
        <v>0</v>
      </c>
      <c r="U67">
        <v>4</v>
      </c>
      <c r="V67">
        <v>0</v>
      </c>
      <c r="W67">
        <v>0</v>
      </c>
      <c r="X67">
        <v>0</v>
      </c>
      <c r="Y67">
        <v>1</v>
      </c>
      <c r="Z67">
        <v>0</v>
      </c>
      <c r="AA67">
        <v>0</v>
      </c>
      <c r="AB67">
        <v>0</v>
      </c>
      <c r="AC67">
        <v>3</v>
      </c>
      <c r="AD67">
        <v>0</v>
      </c>
      <c r="AE67">
        <v>0</v>
      </c>
      <c r="AF67">
        <v>0</v>
      </c>
      <c r="AG67">
        <v>0</v>
      </c>
      <c r="AH67">
        <v>0</v>
      </c>
    </row>
    <row r="68" spans="1:34" x14ac:dyDescent="0.25">
      <c r="A68" t="s">
        <v>68</v>
      </c>
      <c r="B68" t="s">
        <v>3</v>
      </c>
      <c r="C68" t="s">
        <v>3</v>
      </c>
      <c r="D68">
        <v>0</v>
      </c>
      <c r="E68" t="s">
        <v>3</v>
      </c>
      <c r="F68" t="s">
        <v>3</v>
      </c>
      <c r="G68" t="s">
        <v>3</v>
      </c>
      <c r="H68">
        <v>0</v>
      </c>
      <c r="I68">
        <v>0</v>
      </c>
      <c r="J68">
        <v>0</v>
      </c>
      <c r="K68">
        <v>0</v>
      </c>
      <c r="L68">
        <v>0</v>
      </c>
      <c r="M68">
        <v>0</v>
      </c>
      <c r="N68">
        <v>0</v>
      </c>
      <c r="O68">
        <v>0</v>
      </c>
      <c r="P68">
        <v>0</v>
      </c>
      <c r="Q68">
        <v>0</v>
      </c>
      <c r="R68">
        <v>0</v>
      </c>
      <c r="S68">
        <v>0</v>
      </c>
      <c r="T68">
        <v>0</v>
      </c>
      <c r="U68">
        <v>1</v>
      </c>
      <c r="V68">
        <v>0</v>
      </c>
      <c r="W68">
        <v>0</v>
      </c>
      <c r="X68">
        <v>0</v>
      </c>
      <c r="Y68">
        <v>0</v>
      </c>
      <c r="Z68">
        <v>0</v>
      </c>
      <c r="AA68">
        <v>0</v>
      </c>
      <c r="AB68">
        <v>0</v>
      </c>
      <c r="AC68">
        <v>1</v>
      </c>
      <c r="AD68">
        <v>0</v>
      </c>
      <c r="AE68">
        <v>0</v>
      </c>
      <c r="AF68">
        <v>0</v>
      </c>
      <c r="AG68">
        <v>0</v>
      </c>
      <c r="AH68">
        <v>0</v>
      </c>
    </row>
    <row r="69" spans="1:34" x14ac:dyDescent="0.25">
      <c r="A69" t="s">
        <v>69</v>
      </c>
      <c r="B69" t="s">
        <v>3</v>
      </c>
      <c r="C69" t="s">
        <v>3</v>
      </c>
      <c r="D69">
        <v>0</v>
      </c>
      <c r="E69" t="s">
        <v>3</v>
      </c>
      <c r="F69" t="s">
        <v>3</v>
      </c>
      <c r="G69" t="s">
        <v>3</v>
      </c>
      <c r="H69">
        <v>0</v>
      </c>
      <c r="I69">
        <v>0</v>
      </c>
      <c r="J69">
        <v>0</v>
      </c>
      <c r="K69">
        <v>0</v>
      </c>
      <c r="L69">
        <v>0</v>
      </c>
      <c r="M69">
        <v>0</v>
      </c>
      <c r="N69">
        <v>0</v>
      </c>
      <c r="O69">
        <v>0</v>
      </c>
      <c r="P69">
        <v>0</v>
      </c>
      <c r="Q69">
        <v>3</v>
      </c>
      <c r="R69">
        <v>0</v>
      </c>
      <c r="S69">
        <v>0</v>
      </c>
      <c r="T69">
        <v>13</v>
      </c>
      <c r="U69">
        <v>11</v>
      </c>
      <c r="V69">
        <v>8</v>
      </c>
      <c r="W69">
        <v>2</v>
      </c>
      <c r="X69">
        <v>0</v>
      </c>
      <c r="Y69">
        <v>8</v>
      </c>
      <c r="Z69">
        <v>0</v>
      </c>
      <c r="AA69">
        <v>0</v>
      </c>
      <c r="AB69">
        <v>0</v>
      </c>
      <c r="AC69">
        <v>0</v>
      </c>
      <c r="AD69">
        <v>4</v>
      </c>
      <c r="AE69">
        <v>0</v>
      </c>
      <c r="AF69">
        <v>0</v>
      </c>
      <c r="AG69">
        <v>0</v>
      </c>
      <c r="AH69">
        <v>0</v>
      </c>
    </row>
    <row r="70" spans="1:34" x14ac:dyDescent="0.25">
      <c r="A70" t="s">
        <v>70</v>
      </c>
      <c r="B70" t="s">
        <v>3</v>
      </c>
      <c r="C70" t="s">
        <v>3</v>
      </c>
      <c r="D70">
        <v>0</v>
      </c>
      <c r="E70" t="s">
        <v>3</v>
      </c>
      <c r="F70" t="s">
        <v>3</v>
      </c>
      <c r="G70" t="s">
        <v>3</v>
      </c>
      <c r="H70">
        <v>0</v>
      </c>
      <c r="I70">
        <v>0</v>
      </c>
      <c r="J70">
        <v>0</v>
      </c>
      <c r="K70">
        <v>0</v>
      </c>
      <c r="L70">
        <v>0</v>
      </c>
      <c r="M70">
        <v>0</v>
      </c>
      <c r="N70">
        <v>0</v>
      </c>
      <c r="O70">
        <v>0</v>
      </c>
      <c r="P70">
        <v>0</v>
      </c>
      <c r="Q70">
        <v>0</v>
      </c>
      <c r="R70">
        <v>0</v>
      </c>
      <c r="S70">
        <v>0</v>
      </c>
      <c r="T70">
        <v>1</v>
      </c>
      <c r="U70">
        <v>6</v>
      </c>
      <c r="V70">
        <v>3</v>
      </c>
      <c r="W70">
        <v>0</v>
      </c>
      <c r="X70">
        <v>0</v>
      </c>
      <c r="Y70">
        <v>0</v>
      </c>
      <c r="Z70">
        <v>0</v>
      </c>
      <c r="AA70">
        <v>0</v>
      </c>
      <c r="AB70">
        <v>0</v>
      </c>
      <c r="AC70">
        <v>0</v>
      </c>
      <c r="AD70">
        <v>0</v>
      </c>
      <c r="AE70">
        <v>0</v>
      </c>
      <c r="AF70">
        <v>0</v>
      </c>
      <c r="AG70">
        <v>0</v>
      </c>
      <c r="AH70">
        <v>0</v>
      </c>
    </row>
    <row r="71" spans="1:34" x14ac:dyDescent="0.25">
      <c r="A71" t="s">
        <v>71</v>
      </c>
      <c r="B71" t="s">
        <v>3</v>
      </c>
      <c r="C71" t="s">
        <v>3</v>
      </c>
      <c r="D71" t="s">
        <v>3</v>
      </c>
      <c r="E71" t="s">
        <v>3</v>
      </c>
      <c r="F71" t="s">
        <v>3</v>
      </c>
      <c r="G71" t="s">
        <v>3</v>
      </c>
      <c r="H71" t="s">
        <v>3</v>
      </c>
      <c r="I71" t="s">
        <v>3</v>
      </c>
      <c r="J71" t="s">
        <v>3</v>
      </c>
      <c r="K71" t="s">
        <v>3</v>
      </c>
      <c r="L71" t="s">
        <v>3</v>
      </c>
      <c r="M71" t="s">
        <v>3</v>
      </c>
      <c r="N71" t="s">
        <v>3</v>
      </c>
      <c r="O71" t="s">
        <v>3</v>
      </c>
      <c r="P71" t="s">
        <v>3</v>
      </c>
      <c r="Q71" t="s">
        <v>3</v>
      </c>
      <c r="R71" t="s">
        <v>3</v>
      </c>
      <c r="S71" t="s">
        <v>3</v>
      </c>
      <c r="T71">
        <v>0</v>
      </c>
      <c r="U71">
        <v>0</v>
      </c>
      <c r="V71" t="s">
        <v>3</v>
      </c>
      <c r="W71">
        <v>1</v>
      </c>
      <c r="X71" t="s">
        <v>3</v>
      </c>
      <c r="Y71" t="s">
        <v>3</v>
      </c>
      <c r="Z71" t="s">
        <v>3</v>
      </c>
      <c r="AA71" t="s">
        <v>3</v>
      </c>
      <c r="AB71">
        <v>12</v>
      </c>
      <c r="AC71">
        <v>3</v>
      </c>
      <c r="AD71">
        <v>8</v>
      </c>
      <c r="AE71" t="s">
        <v>3</v>
      </c>
      <c r="AF71" t="s">
        <v>3</v>
      </c>
      <c r="AG71" t="s">
        <v>3</v>
      </c>
      <c r="AH71" t="s">
        <v>3</v>
      </c>
    </row>
    <row r="72" spans="1:34" x14ac:dyDescent="0.25">
      <c r="A72" t="s">
        <v>72</v>
      </c>
      <c r="B72" t="s">
        <v>3</v>
      </c>
      <c r="C72" t="s">
        <v>3</v>
      </c>
      <c r="D72">
        <v>0</v>
      </c>
      <c r="E72" t="s">
        <v>3</v>
      </c>
      <c r="F72" t="s">
        <v>3</v>
      </c>
      <c r="G72" t="s">
        <v>3</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c r="AH72">
        <v>0</v>
      </c>
    </row>
    <row r="73" spans="1:34" x14ac:dyDescent="0.25">
      <c r="A73" t="s">
        <v>73</v>
      </c>
      <c r="B73" t="s">
        <v>3</v>
      </c>
      <c r="C73" t="s">
        <v>3</v>
      </c>
      <c r="D73">
        <v>0</v>
      </c>
      <c r="E73" t="s">
        <v>3</v>
      </c>
      <c r="F73" t="s">
        <v>3</v>
      </c>
      <c r="G73" t="s">
        <v>3</v>
      </c>
      <c r="H73">
        <v>0</v>
      </c>
      <c r="I73">
        <v>0</v>
      </c>
      <c r="J73">
        <v>0</v>
      </c>
      <c r="K73">
        <v>0</v>
      </c>
      <c r="L73">
        <v>0</v>
      </c>
      <c r="M73">
        <v>0</v>
      </c>
      <c r="N73">
        <v>0</v>
      </c>
      <c r="O73">
        <v>0</v>
      </c>
      <c r="P73">
        <v>0</v>
      </c>
      <c r="Q73">
        <v>1</v>
      </c>
      <c r="R73">
        <v>0</v>
      </c>
      <c r="S73">
        <v>0</v>
      </c>
      <c r="T73">
        <v>0</v>
      </c>
      <c r="U73">
        <v>0</v>
      </c>
      <c r="V73">
        <v>0</v>
      </c>
      <c r="W73">
        <v>0</v>
      </c>
      <c r="X73">
        <v>0</v>
      </c>
      <c r="Y73">
        <v>0</v>
      </c>
      <c r="Z73">
        <v>0</v>
      </c>
      <c r="AA73">
        <v>0</v>
      </c>
      <c r="AB73">
        <v>0</v>
      </c>
      <c r="AC73">
        <v>0</v>
      </c>
      <c r="AD73">
        <v>0</v>
      </c>
      <c r="AE73">
        <v>0</v>
      </c>
      <c r="AF73">
        <v>0</v>
      </c>
      <c r="AG73">
        <v>0</v>
      </c>
      <c r="AH73">
        <v>0</v>
      </c>
    </row>
    <row r="74" spans="1:34" x14ac:dyDescent="0.25">
      <c r="A74" t="s">
        <v>74</v>
      </c>
      <c r="B74" t="s">
        <v>3</v>
      </c>
      <c r="C74" t="s">
        <v>3</v>
      </c>
      <c r="D74">
        <v>0</v>
      </c>
      <c r="E74" t="s">
        <v>3</v>
      </c>
      <c r="F74" t="s">
        <v>3</v>
      </c>
      <c r="G74" t="s">
        <v>3</v>
      </c>
      <c r="H74" t="s">
        <v>3</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row>
    <row r="75" spans="1:34" x14ac:dyDescent="0.25">
      <c r="A75" t="s">
        <v>75</v>
      </c>
      <c r="B75" t="s">
        <v>3</v>
      </c>
      <c r="C75" t="s">
        <v>3</v>
      </c>
      <c r="D75">
        <v>0</v>
      </c>
      <c r="E75" t="s">
        <v>3</v>
      </c>
      <c r="F75" t="s">
        <v>3</v>
      </c>
      <c r="G75" t="s">
        <v>3</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row>
    <row r="76" spans="1:34" x14ac:dyDescent="0.25">
      <c r="A76" t="s">
        <v>76</v>
      </c>
      <c r="B76" t="s">
        <v>3</v>
      </c>
      <c r="C76" t="s">
        <v>3</v>
      </c>
      <c r="D76" t="s">
        <v>3</v>
      </c>
      <c r="E76" t="s">
        <v>3</v>
      </c>
      <c r="F76" t="s">
        <v>3</v>
      </c>
      <c r="G76" t="s">
        <v>3</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1</v>
      </c>
      <c r="AD76">
        <v>0</v>
      </c>
      <c r="AE76">
        <v>0</v>
      </c>
      <c r="AF76">
        <v>0</v>
      </c>
      <c r="AG76">
        <v>0</v>
      </c>
      <c r="AH76">
        <v>0</v>
      </c>
    </row>
    <row r="77" spans="1:34" x14ac:dyDescent="0.25">
      <c r="A77" t="s">
        <v>77</v>
      </c>
      <c r="B77" t="s">
        <v>3</v>
      </c>
      <c r="C77" t="s">
        <v>3</v>
      </c>
      <c r="D77" t="s">
        <v>3</v>
      </c>
      <c r="E77" t="s">
        <v>3</v>
      </c>
      <c r="F77" t="s">
        <v>3</v>
      </c>
      <c r="G77" t="s">
        <v>3</v>
      </c>
      <c r="H77">
        <v>0</v>
      </c>
      <c r="I77">
        <v>0</v>
      </c>
      <c r="J77">
        <v>0</v>
      </c>
      <c r="K77">
        <v>0</v>
      </c>
      <c r="L77">
        <v>0</v>
      </c>
      <c r="M77">
        <v>0</v>
      </c>
      <c r="N77">
        <v>0</v>
      </c>
      <c r="O77">
        <v>0</v>
      </c>
      <c r="P77">
        <v>0</v>
      </c>
      <c r="Q77">
        <v>0</v>
      </c>
      <c r="R77">
        <v>0</v>
      </c>
      <c r="S77">
        <v>0</v>
      </c>
      <c r="T77">
        <v>2</v>
      </c>
      <c r="U77">
        <v>0</v>
      </c>
      <c r="V77">
        <v>0</v>
      </c>
      <c r="W77">
        <v>0</v>
      </c>
      <c r="X77">
        <v>0</v>
      </c>
      <c r="Y77">
        <v>0</v>
      </c>
      <c r="Z77">
        <v>0</v>
      </c>
      <c r="AA77">
        <v>0</v>
      </c>
      <c r="AB77">
        <v>0</v>
      </c>
      <c r="AC77">
        <v>0</v>
      </c>
      <c r="AD77">
        <v>1</v>
      </c>
      <c r="AE77">
        <v>0</v>
      </c>
      <c r="AF77">
        <v>0</v>
      </c>
      <c r="AG77">
        <v>0</v>
      </c>
      <c r="AH77">
        <v>0</v>
      </c>
    </row>
    <row r="78" spans="1:34" x14ac:dyDescent="0.25">
      <c r="A78" t="s">
        <v>78</v>
      </c>
      <c r="B78" t="s">
        <v>3</v>
      </c>
      <c r="C78" t="s">
        <v>3</v>
      </c>
      <c r="D78" t="s">
        <v>3</v>
      </c>
      <c r="E78" t="s">
        <v>3</v>
      </c>
      <c r="F78" t="s">
        <v>3</v>
      </c>
      <c r="G78" t="s">
        <v>3</v>
      </c>
      <c r="H78">
        <v>0</v>
      </c>
      <c r="I78">
        <v>0</v>
      </c>
      <c r="J78">
        <v>0</v>
      </c>
      <c r="K78">
        <v>0</v>
      </c>
      <c r="L78">
        <v>0</v>
      </c>
      <c r="M78">
        <v>0</v>
      </c>
      <c r="N78">
        <v>0</v>
      </c>
      <c r="O78">
        <v>0</v>
      </c>
      <c r="P78">
        <v>0</v>
      </c>
      <c r="Q78">
        <v>1</v>
      </c>
      <c r="R78">
        <v>0</v>
      </c>
      <c r="S78">
        <v>0</v>
      </c>
      <c r="T78">
        <v>0</v>
      </c>
      <c r="U78">
        <v>0</v>
      </c>
      <c r="V78">
        <v>0</v>
      </c>
      <c r="W78">
        <v>0</v>
      </c>
      <c r="X78">
        <v>0</v>
      </c>
      <c r="Y78">
        <v>0</v>
      </c>
      <c r="Z78">
        <v>0</v>
      </c>
      <c r="AA78">
        <v>0</v>
      </c>
      <c r="AB78">
        <v>0</v>
      </c>
      <c r="AC78">
        <v>0</v>
      </c>
      <c r="AD78">
        <v>0</v>
      </c>
      <c r="AE78">
        <v>0</v>
      </c>
      <c r="AF78">
        <v>0</v>
      </c>
      <c r="AG78">
        <v>0</v>
      </c>
      <c r="AH78">
        <v>0</v>
      </c>
    </row>
    <row r="79" spans="1:34" x14ac:dyDescent="0.25">
      <c r="A79" t="s">
        <v>79</v>
      </c>
      <c r="B79" t="s">
        <v>3</v>
      </c>
      <c r="C79" t="s">
        <v>3</v>
      </c>
      <c r="D79">
        <v>0</v>
      </c>
      <c r="E79" t="s">
        <v>3</v>
      </c>
      <c r="F79" t="s">
        <v>3</v>
      </c>
      <c r="G79" t="s">
        <v>3</v>
      </c>
      <c r="H79">
        <v>0</v>
      </c>
      <c r="I79">
        <v>0</v>
      </c>
      <c r="J79">
        <v>0</v>
      </c>
      <c r="K79">
        <v>0</v>
      </c>
      <c r="L79">
        <v>0</v>
      </c>
      <c r="M79">
        <v>0</v>
      </c>
      <c r="N79">
        <v>0</v>
      </c>
      <c r="O79">
        <v>0</v>
      </c>
      <c r="P79">
        <v>0</v>
      </c>
      <c r="Q79">
        <v>2</v>
      </c>
      <c r="R79">
        <v>0</v>
      </c>
      <c r="S79">
        <v>0</v>
      </c>
      <c r="T79">
        <v>6</v>
      </c>
      <c r="U79">
        <v>1</v>
      </c>
      <c r="V79">
        <v>0</v>
      </c>
      <c r="W79">
        <v>0</v>
      </c>
      <c r="X79">
        <v>0</v>
      </c>
      <c r="Y79">
        <v>0</v>
      </c>
      <c r="Z79">
        <v>0</v>
      </c>
      <c r="AA79">
        <v>0</v>
      </c>
      <c r="AB79">
        <v>0</v>
      </c>
      <c r="AC79">
        <v>0</v>
      </c>
      <c r="AD79">
        <v>1</v>
      </c>
      <c r="AE79">
        <v>0</v>
      </c>
      <c r="AF79">
        <v>0</v>
      </c>
      <c r="AG79">
        <v>0</v>
      </c>
      <c r="AH79">
        <v>0</v>
      </c>
    </row>
    <row r="80" spans="1:34" x14ac:dyDescent="0.25">
      <c r="A80" t="s">
        <v>80</v>
      </c>
      <c r="B80" t="s">
        <v>3</v>
      </c>
      <c r="C80" t="s">
        <v>3</v>
      </c>
      <c r="D80">
        <v>0</v>
      </c>
      <c r="E80" t="s">
        <v>3</v>
      </c>
      <c r="F80" t="s">
        <v>3</v>
      </c>
      <c r="G80" t="s">
        <v>3</v>
      </c>
      <c r="H80">
        <v>0</v>
      </c>
      <c r="I80">
        <v>0</v>
      </c>
      <c r="J80">
        <v>0</v>
      </c>
      <c r="K80">
        <v>0</v>
      </c>
      <c r="L80">
        <v>0</v>
      </c>
      <c r="M80">
        <v>0</v>
      </c>
      <c r="N80">
        <v>0</v>
      </c>
      <c r="O80">
        <v>0</v>
      </c>
      <c r="P80">
        <v>0</v>
      </c>
      <c r="Q80">
        <v>2</v>
      </c>
      <c r="R80">
        <v>0</v>
      </c>
      <c r="S80">
        <v>0</v>
      </c>
      <c r="T80">
        <v>0</v>
      </c>
      <c r="U80">
        <v>0</v>
      </c>
      <c r="V80">
        <v>0</v>
      </c>
      <c r="W80">
        <v>0</v>
      </c>
      <c r="X80">
        <v>0</v>
      </c>
      <c r="Y80">
        <v>0</v>
      </c>
      <c r="Z80">
        <v>0</v>
      </c>
      <c r="AA80">
        <v>0</v>
      </c>
      <c r="AB80">
        <v>0</v>
      </c>
      <c r="AC80">
        <v>1</v>
      </c>
      <c r="AD80">
        <v>0</v>
      </c>
      <c r="AE80">
        <v>0</v>
      </c>
      <c r="AF80">
        <v>0</v>
      </c>
      <c r="AG80">
        <v>0</v>
      </c>
      <c r="AH80">
        <v>0</v>
      </c>
    </row>
    <row r="81" spans="1:34" x14ac:dyDescent="0.25">
      <c r="A81" t="s">
        <v>81</v>
      </c>
      <c r="B81" t="s">
        <v>3</v>
      </c>
      <c r="C81" t="s">
        <v>3</v>
      </c>
      <c r="D81">
        <v>0</v>
      </c>
      <c r="E81" t="s">
        <v>3</v>
      </c>
      <c r="F81" t="s">
        <v>3</v>
      </c>
      <c r="G81" t="s">
        <v>3</v>
      </c>
      <c r="H81">
        <v>0</v>
      </c>
      <c r="I81">
        <v>0</v>
      </c>
      <c r="J81">
        <v>0</v>
      </c>
      <c r="K81">
        <v>0</v>
      </c>
      <c r="L81">
        <v>0</v>
      </c>
      <c r="M81">
        <v>0</v>
      </c>
      <c r="N81">
        <v>0</v>
      </c>
      <c r="O81">
        <v>0</v>
      </c>
      <c r="P81">
        <v>0</v>
      </c>
      <c r="Q81">
        <v>9</v>
      </c>
      <c r="R81">
        <v>10</v>
      </c>
      <c r="S81">
        <v>0</v>
      </c>
      <c r="T81">
        <v>6</v>
      </c>
      <c r="U81">
        <v>6</v>
      </c>
      <c r="V81">
        <v>4</v>
      </c>
      <c r="W81">
        <v>10</v>
      </c>
      <c r="X81">
        <v>0</v>
      </c>
      <c r="Y81">
        <v>2</v>
      </c>
      <c r="Z81">
        <v>0</v>
      </c>
      <c r="AA81">
        <v>0</v>
      </c>
      <c r="AB81">
        <v>0</v>
      </c>
      <c r="AC81">
        <v>6</v>
      </c>
      <c r="AD81">
        <v>0</v>
      </c>
      <c r="AE81">
        <v>0</v>
      </c>
      <c r="AF81">
        <v>0</v>
      </c>
      <c r="AG81">
        <v>0</v>
      </c>
      <c r="AH81">
        <v>0</v>
      </c>
    </row>
    <row r="82" spans="1:34" x14ac:dyDescent="0.25">
      <c r="A82" t="s">
        <v>82</v>
      </c>
      <c r="B82" t="s">
        <v>3</v>
      </c>
      <c r="C82" t="s">
        <v>3</v>
      </c>
      <c r="D82">
        <v>0</v>
      </c>
      <c r="E82" t="s">
        <v>3</v>
      </c>
      <c r="F82" t="s">
        <v>3</v>
      </c>
      <c r="G82" t="s">
        <v>3</v>
      </c>
      <c r="H82">
        <v>0</v>
      </c>
      <c r="I82">
        <v>0</v>
      </c>
      <c r="J82">
        <v>0</v>
      </c>
      <c r="K82">
        <v>0</v>
      </c>
      <c r="L82">
        <v>0</v>
      </c>
      <c r="M82">
        <v>0</v>
      </c>
      <c r="N82">
        <v>0</v>
      </c>
      <c r="O82">
        <v>0</v>
      </c>
      <c r="P82">
        <v>0</v>
      </c>
      <c r="Q82">
        <v>0</v>
      </c>
      <c r="R82">
        <v>0</v>
      </c>
      <c r="S82">
        <v>0</v>
      </c>
      <c r="T82">
        <v>0</v>
      </c>
      <c r="U82">
        <v>2</v>
      </c>
      <c r="V82">
        <v>1</v>
      </c>
      <c r="W82">
        <v>0</v>
      </c>
      <c r="X82">
        <v>0</v>
      </c>
      <c r="Y82">
        <v>2</v>
      </c>
      <c r="Z82">
        <v>0</v>
      </c>
      <c r="AA82">
        <v>0</v>
      </c>
      <c r="AB82">
        <v>0</v>
      </c>
      <c r="AC82">
        <v>0</v>
      </c>
      <c r="AD82">
        <v>0</v>
      </c>
      <c r="AE82">
        <v>0</v>
      </c>
      <c r="AF82">
        <v>0</v>
      </c>
      <c r="AG82">
        <v>0</v>
      </c>
      <c r="AH82">
        <v>0</v>
      </c>
    </row>
    <row r="83" spans="1:34" x14ac:dyDescent="0.25">
      <c r="A83" t="s">
        <v>83</v>
      </c>
      <c r="B83" t="s">
        <v>3</v>
      </c>
      <c r="C83" t="s">
        <v>3</v>
      </c>
      <c r="D83">
        <v>0</v>
      </c>
      <c r="E83" t="s">
        <v>3</v>
      </c>
      <c r="F83" t="s">
        <v>3</v>
      </c>
      <c r="G83" t="s">
        <v>3</v>
      </c>
      <c r="H83">
        <v>0</v>
      </c>
      <c r="I83">
        <v>0</v>
      </c>
      <c r="J83">
        <v>0</v>
      </c>
      <c r="K83">
        <v>0</v>
      </c>
      <c r="L83">
        <v>0</v>
      </c>
      <c r="M83">
        <v>0</v>
      </c>
      <c r="N83">
        <v>0</v>
      </c>
      <c r="O83">
        <v>0</v>
      </c>
      <c r="P83">
        <v>0</v>
      </c>
      <c r="Q83">
        <v>2</v>
      </c>
      <c r="R83">
        <v>0</v>
      </c>
      <c r="S83">
        <v>0</v>
      </c>
      <c r="T83">
        <v>2</v>
      </c>
      <c r="U83">
        <v>3</v>
      </c>
      <c r="V83">
        <v>3</v>
      </c>
      <c r="W83">
        <v>0</v>
      </c>
      <c r="X83">
        <v>0</v>
      </c>
      <c r="Y83">
        <v>2</v>
      </c>
      <c r="Z83">
        <v>0</v>
      </c>
      <c r="AA83">
        <v>0</v>
      </c>
      <c r="AB83">
        <v>0</v>
      </c>
      <c r="AC83">
        <v>0</v>
      </c>
      <c r="AD83">
        <v>0</v>
      </c>
      <c r="AE83">
        <v>0</v>
      </c>
      <c r="AF83">
        <v>0</v>
      </c>
      <c r="AG83">
        <v>0</v>
      </c>
      <c r="AH83">
        <v>0</v>
      </c>
    </row>
    <row r="84" spans="1:34" x14ac:dyDescent="0.25">
      <c r="A84" t="s">
        <v>84</v>
      </c>
      <c r="B84" t="s">
        <v>3</v>
      </c>
      <c r="C84" t="s">
        <v>3</v>
      </c>
      <c r="D84">
        <v>0</v>
      </c>
      <c r="E84" t="s">
        <v>3</v>
      </c>
      <c r="F84" t="s">
        <v>3</v>
      </c>
      <c r="G84" t="s">
        <v>3</v>
      </c>
      <c r="H84">
        <v>0</v>
      </c>
      <c r="I84">
        <v>0</v>
      </c>
      <c r="J84">
        <v>0</v>
      </c>
      <c r="K84">
        <v>0</v>
      </c>
      <c r="L84">
        <v>0</v>
      </c>
      <c r="M84">
        <v>0</v>
      </c>
      <c r="N84">
        <v>0</v>
      </c>
      <c r="O84">
        <v>0</v>
      </c>
      <c r="P84">
        <v>0</v>
      </c>
      <c r="Q84">
        <v>2</v>
      </c>
      <c r="R84">
        <v>5</v>
      </c>
      <c r="S84">
        <v>0</v>
      </c>
      <c r="T84">
        <v>6</v>
      </c>
      <c r="U84">
        <v>6</v>
      </c>
      <c r="V84">
        <v>2</v>
      </c>
      <c r="W84">
        <v>8</v>
      </c>
      <c r="X84">
        <v>0</v>
      </c>
      <c r="Y84">
        <v>6</v>
      </c>
      <c r="Z84">
        <v>0</v>
      </c>
      <c r="AA84">
        <v>0</v>
      </c>
      <c r="AB84">
        <v>0</v>
      </c>
      <c r="AC84">
        <v>4</v>
      </c>
      <c r="AD84">
        <v>0</v>
      </c>
      <c r="AE84">
        <v>0</v>
      </c>
      <c r="AF84">
        <v>0</v>
      </c>
      <c r="AG84">
        <v>0</v>
      </c>
      <c r="AH84">
        <v>0</v>
      </c>
    </row>
    <row r="85" spans="1:34" x14ac:dyDescent="0.25">
      <c r="A85" t="s">
        <v>85</v>
      </c>
      <c r="B85" t="s">
        <v>3</v>
      </c>
      <c r="C85" t="s">
        <v>3</v>
      </c>
      <c r="D85">
        <v>0</v>
      </c>
      <c r="E85" t="s">
        <v>3</v>
      </c>
      <c r="F85" t="s">
        <v>3</v>
      </c>
      <c r="G85" t="s">
        <v>3</v>
      </c>
      <c r="H85">
        <v>0</v>
      </c>
      <c r="I85">
        <v>0</v>
      </c>
      <c r="J85">
        <v>0</v>
      </c>
      <c r="K85">
        <v>0</v>
      </c>
      <c r="L85">
        <v>0</v>
      </c>
      <c r="M85">
        <v>0</v>
      </c>
      <c r="N85">
        <v>0</v>
      </c>
      <c r="O85">
        <v>0</v>
      </c>
      <c r="P85">
        <v>0</v>
      </c>
      <c r="Q85">
        <v>0</v>
      </c>
      <c r="R85">
        <v>4</v>
      </c>
      <c r="S85">
        <v>0</v>
      </c>
      <c r="T85">
        <v>6</v>
      </c>
      <c r="U85">
        <v>8</v>
      </c>
      <c r="V85">
        <v>4</v>
      </c>
      <c r="W85">
        <v>5</v>
      </c>
      <c r="X85">
        <v>0</v>
      </c>
      <c r="Y85">
        <v>8</v>
      </c>
      <c r="Z85">
        <v>0</v>
      </c>
      <c r="AA85">
        <v>0</v>
      </c>
      <c r="AB85">
        <v>0</v>
      </c>
      <c r="AC85">
        <v>2</v>
      </c>
      <c r="AD85">
        <v>0</v>
      </c>
      <c r="AE85">
        <v>1</v>
      </c>
      <c r="AF85">
        <v>0</v>
      </c>
      <c r="AG85">
        <v>0</v>
      </c>
      <c r="AH85">
        <v>0</v>
      </c>
    </row>
    <row r="86" spans="1:34" x14ac:dyDescent="0.25">
      <c r="A86" t="s">
        <v>86</v>
      </c>
      <c r="B86" t="s">
        <v>3</v>
      </c>
      <c r="C86" t="s">
        <v>3</v>
      </c>
      <c r="D86">
        <v>0</v>
      </c>
      <c r="E86" t="s">
        <v>3</v>
      </c>
      <c r="F86" t="s">
        <v>3</v>
      </c>
      <c r="G86" t="s">
        <v>3</v>
      </c>
      <c r="H86">
        <v>0</v>
      </c>
      <c r="I86">
        <v>0</v>
      </c>
      <c r="J86">
        <v>0</v>
      </c>
      <c r="K86">
        <v>0</v>
      </c>
      <c r="L86">
        <v>0</v>
      </c>
      <c r="M86">
        <v>0</v>
      </c>
      <c r="N86">
        <v>0</v>
      </c>
      <c r="O86">
        <v>0</v>
      </c>
      <c r="P86">
        <v>0</v>
      </c>
      <c r="Q86">
        <v>0</v>
      </c>
      <c r="R86">
        <v>2</v>
      </c>
      <c r="S86">
        <v>0</v>
      </c>
      <c r="T86">
        <v>1</v>
      </c>
      <c r="U86">
        <v>21</v>
      </c>
      <c r="V86">
        <v>0</v>
      </c>
      <c r="W86">
        <v>3</v>
      </c>
      <c r="X86">
        <v>0</v>
      </c>
      <c r="Y86">
        <v>6</v>
      </c>
      <c r="Z86">
        <v>0</v>
      </c>
      <c r="AA86">
        <v>0</v>
      </c>
      <c r="AB86">
        <v>0</v>
      </c>
      <c r="AC86">
        <v>6</v>
      </c>
      <c r="AD86">
        <v>2</v>
      </c>
      <c r="AE86">
        <v>1</v>
      </c>
      <c r="AF86">
        <v>0</v>
      </c>
      <c r="AG86">
        <v>0</v>
      </c>
      <c r="AH86">
        <v>0</v>
      </c>
    </row>
    <row r="87" spans="1:34" x14ac:dyDescent="0.25">
      <c r="A87" t="s">
        <v>87</v>
      </c>
      <c r="B87" t="s">
        <v>3</v>
      </c>
      <c r="C87" t="s">
        <v>3</v>
      </c>
      <c r="D87" t="s">
        <v>3</v>
      </c>
      <c r="E87" t="s">
        <v>3</v>
      </c>
      <c r="F87" t="s">
        <v>3</v>
      </c>
      <c r="G87" t="s">
        <v>3</v>
      </c>
      <c r="H87" t="s">
        <v>3</v>
      </c>
      <c r="I87" t="s">
        <v>3</v>
      </c>
      <c r="J87">
        <v>0</v>
      </c>
      <c r="K87">
        <v>0</v>
      </c>
      <c r="L87">
        <v>0</v>
      </c>
      <c r="M87">
        <v>0</v>
      </c>
      <c r="N87">
        <v>0</v>
      </c>
      <c r="O87">
        <v>0</v>
      </c>
      <c r="P87">
        <v>0</v>
      </c>
      <c r="Q87">
        <v>0</v>
      </c>
      <c r="R87">
        <v>2</v>
      </c>
      <c r="S87">
        <v>0</v>
      </c>
      <c r="T87">
        <v>5</v>
      </c>
      <c r="U87">
        <v>4</v>
      </c>
      <c r="V87">
        <v>10</v>
      </c>
      <c r="W87">
        <v>0</v>
      </c>
      <c r="X87">
        <v>0</v>
      </c>
      <c r="Y87">
        <v>0</v>
      </c>
      <c r="Z87">
        <v>0</v>
      </c>
      <c r="AA87">
        <v>0</v>
      </c>
      <c r="AB87">
        <v>2</v>
      </c>
      <c r="AC87">
        <v>2</v>
      </c>
      <c r="AD87">
        <v>0</v>
      </c>
      <c r="AE87">
        <v>0</v>
      </c>
      <c r="AF87">
        <v>0</v>
      </c>
      <c r="AG87">
        <v>0</v>
      </c>
      <c r="AH87">
        <v>0</v>
      </c>
    </row>
    <row r="88" spans="1:34" x14ac:dyDescent="0.25">
      <c r="A88" t="s">
        <v>88</v>
      </c>
      <c r="B88" t="s">
        <v>3</v>
      </c>
      <c r="C88" t="s">
        <v>3</v>
      </c>
      <c r="D88" t="s">
        <v>3</v>
      </c>
      <c r="E88" t="s">
        <v>3</v>
      </c>
      <c r="F88" t="s">
        <v>3</v>
      </c>
      <c r="G88" t="s">
        <v>3</v>
      </c>
      <c r="H88" t="s">
        <v>3</v>
      </c>
      <c r="I88" t="s">
        <v>3</v>
      </c>
      <c r="J88">
        <v>0</v>
      </c>
      <c r="K88">
        <v>0</v>
      </c>
      <c r="L88">
        <v>0</v>
      </c>
      <c r="M88">
        <v>0</v>
      </c>
      <c r="N88">
        <v>0</v>
      </c>
      <c r="O88">
        <v>0</v>
      </c>
      <c r="P88">
        <v>0</v>
      </c>
      <c r="Q88">
        <v>0</v>
      </c>
      <c r="R88">
        <v>0</v>
      </c>
      <c r="S88">
        <v>0</v>
      </c>
      <c r="T88">
        <v>0</v>
      </c>
      <c r="U88">
        <v>3</v>
      </c>
      <c r="V88">
        <v>2</v>
      </c>
      <c r="W88">
        <v>0</v>
      </c>
      <c r="X88">
        <v>0</v>
      </c>
      <c r="Y88">
        <v>0</v>
      </c>
      <c r="Z88">
        <v>0</v>
      </c>
      <c r="AA88">
        <v>0</v>
      </c>
      <c r="AB88">
        <v>1</v>
      </c>
      <c r="AC88">
        <v>1</v>
      </c>
      <c r="AD88">
        <v>0</v>
      </c>
      <c r="AE88">
        <v>0</v>
      </c>
      <c r="AF88">
        <v>0</v>
      </c>
      <c r="AG88">
        <v>0</v>
      </c>
      <c r="AH88">
        <v>0</v>
      </c>
    </row>
    <row r="89" spans="1:34" x14ac:dyDescent="0.25">
      <c r="A89" t="s">
        <v>89</v>
      </c>
      <c r="B89" t="s">
        <v>3</v>
      </c>
      <c r="C89" t="s">
        <v>3</v>
      </c>
      <c r="D89" t="s">
        <v>3</v>
      </c>
      <c r="E89" t="s">
        <v>3</v>
      </c>
      <c r="F89" t="s">
        <v>3</v>
      </c>
      <c r="G89" t="s">
        <v>3</v>
      </c>
      <c r="H89" t="s">
        <v>3</v>
      </c>
      <c r="I89" t="s">
        <v>3</v>
      </c>
      <c r="J89">
        <v>0</v>
      </c>
      <c r="K89">
        <v>0</v>
      </c>
      <c r="L89">
        <v>0</v>
      </c>
      <c r="M89">
        <v>0</v>
      </c>
      <c r="N89">
        <v>0</v>
      </c>
      <c r="O89">
        <v>0</v>
      </c>
      <c r="P89">
        <v>0</v>
      </c>
      <c r="Q89">
        <v>0</v>
      </c>
      <c r="R89">
        <v>0</v>
      </c>
      <c r="S89">
        <v>0</v>
      </c>
      <c r="T89">
        <v>2</v>
      </c>
      <c r="U89">
        <v>4</v>
      </c>
      <c r="V89">
        <v>0</v>
      </c>
      <c r="W89">
        <v>0</v>
      </c>
      <c r="X89">
        <v>0</v>
      </c>
      <c r="Y89">
        <v>0</v>
      </c>
      <c r="Z89">
        <v>0</v>
      </c>
      <c r="AA89">
        <v>0</v>
      </c>
      <c r="AB89">
        <v>3</v>
      </c>
      <c r="AC89">
        <v>0</v>
      </c>
      <c r="AD89">
        <v>0</v>
      </c>
      <c r="AE89">
        <v>0</v>
      </c>
      <c r="AF89">
        <v>0</v>
      </c>
      <c r="AG89">
        <v>0</v>
      </c>
      <c r="AH89">
        <v>0</v>
      </c>
    </row>
    <row r="90" spans="1:34" x14ac:dyDescent="0.25">
      <c r="A90" t="s">
        <v>90</v>
      </c>
      <c r="B90" t="s">
        <v>3</v>
      </c>
      <c r="C90" t="s">
        <v>3</v>
      </c>
      <c r="D90" t="s">
        <v>3</v>
      </c>
      <c r="E90" t="s">
        <v>3</v>
      </c>
      <c r="F90" t="s">
        <v>3</v>
      </c>
      <c r="G90" t="s">
        <v>3</v>
      </c>
      <c r="H90" t="s">
        <v>3</v>
      </c>
      <c r="I90" t="s">
        <v>3</v>
      </c>
      <c r="J90">
        <v>0</v>
      </c>
      <c r="K90" t="s">
        <v>3</v>
      </c>
      <c r="L90" t="s">
        <v>3</v>
      </c>
      <c r="M90" t="s">
        <v>3</v>
      </c>
      <c r="N90" t="s">
        <v>3</v>
      </c>
      <c r="O90" t="s">
        <v>3</v>
      </c>
      <c r="P90" t="s">
        <v>3</v>
      </c>
      <c r="Q90" t="s">
        <v>3</v>
      </c>
      <c r="R90" t="s">
        <v>3</v>
      </c>
      <c r="S90" t="s">
        <v>3</v>
      </c>
      <c r="T90" t="s">
        <v>3</v>
      </c>
      <c r="U90" t="s">
        <v>3</v>
      </c>
      <c r="V90" t="s">
        <v>3</v>
      </c>
      <c r="W90" t="s">
        <v>3</v>
      </c>
      <c r="X90" t="s">
        <v>3</v>
      </c>
      <c r="Y90" t="s">
        <v>3</v>
      </c>
      <c r="Z90" t="s">
        <v>3</v>
      </c>
      <c r="AA90" t="s">
        <v>3</v>
      </c>
      <c r="AB90">
        <v>0</v>
      </c>
      <c r="AC90">
        <v>0</v>
      </c>
      <c r="AD90">
        <v>0</v>
      </c>
      <c r="AE90">
        <v>0</v>
      </c>
      <c r="AF90">
        <v>0</v>
      </c>
      <c r="AG90">
        <v>0</v>
      </c>
      <c r="AH90">
        <v>0</v>
      </c>
    </row>
    <row r="91" spans="1:34" x14ac:dyDescent="0.25">
      <c r="A91" t="s">
        <v>91</v>
      </c>
      <c r="B91" t="s">
        <v>3</v>
      </c>
      <c r="C91" t="s">
        <v>3</v>
      </c>
      <c r="D91" t="s">
        <v>3</v>
      </c>
      <c r="E91" t="s">
        <v>3</v>
      </c>
      <c r="F91" t="s">
        <v>3</v>
      </c>
      <c r="G91" t="s">
        <v>3</v>
      </c>
      <c r="H91" t="s">
        <v>3</v>
      </c>
      <c r="I91" t="s">
        <v>3</v>
      </c>
      <c r="J91" t="s">
        <v>3</v>
      </c>
      <c r="K91" t="s">
        <v>3</v>
      </c>
      <c r="L91" t="s">
        <v>3</v>
      </c>
      <c r="M91" t="s">
        <v>3</v>
      </c>
      <c r="N91" t="s">
        <v>3</v>
      </c>
      <c r="O91" t="s">
        <v>3</v>
      </c>
      <c r="P91" t="s">
        <v>3</v>
      </c>
      <c r="Q91" t="s">
        <v>3</v>
      </c>
      <c r="R91" t="s">
        <v>3</v>
      </c>
      <c r="S91" t="s">
        <v>3</v>
      </c>
      <c r="T91" t="s">
        <v>3</v>
      </c>
      <c r="U91" t="s">
        <v>3</v>
      </c>
      <c r="V91" t="s">
        <v>3</v>
      </c>
      <c r="W91" t="s">
        <v>3</v>
      </c>
      <c r="X91" t="s">
        <v>3</v>
      </c>
      <c r="Y91" t="s">
        <v>3</v>
      </c>
      <c r="Z91" t="s">
        <v>3</v>
      </c>
      <c r="AA91" t="s">
        <v>3</v>
      </c>
      <c r="AB91" t="s">
        <v>3</v>
      </c>
      <c r="AC91">
        <v>0</v>
      </c>
      <c r="AD91" t="s">
        <v>3</v>
      </c>
      <c r="AE91" t="s">
        <v>3</v>
      </c>
      <c r="AF91" t="s">
        <v>3</v>
      </c>
      <c r="AG91" t="s">
        <v>3</v>
      </c>
      <c r="AH91" t="s">
        <v>3</v>
      </c>
    </row>
    <row r="92" spans="1:34" x14ac:dyDescent="0.25">
      <c r="A92" t="s">
        <v>92</v>
      </c>
      <c r="B92" t="s">
        <v>3</v>
      </c>
      <c r="C92" t="s">
        <v>3</v>
      </c>
      <c r="D92" t="s">
        <v>3</v>
      </c>
      <c r="E92" t="s">
        <v>3</v>
      </c>
      <c r="F92" t="s">
        <v>3</v>
      </c>
      <c r="G92" t="s">
        <v>3</v>
      </c>
      <c r="H92" t="s">
        <v>3</v>
      </c>
      <c r="I92" t="s">
        <v>3</v>
      </c>
      <c r="J92" t="s">
        <v>3</v>
      </c>
      <c r="K92" t="s">
        <v>3</v>
      </c>
      <c r="L92" t="s">
        <v>3</v>
      </c>
      <c r="M92" t="s">
        <v>3</v>
      </c>
      <c r="N92" t="s">
        <v>3</v>
      </c>
      <c r="O92" t="s">
        <v>3</v>
      </c>
      <c r="P92">
        <v>0</v>
      </c>
      <c r="Q92">
        <v>1</v>
      </c>
      <c r="R92">
        <v>4</v>
      </c>
      <c r="S92">
        <v>0</v>
      </c>
      <c r="T92">
        <v>1</v>
      </c>
      <c r="U92">
        <v>0</v>
      </c>
      <c r="V92">
        <v>2</v>
      </c>
      <c r="W92">
        <v>0</v>
      </c>
      <c r="X92">
        <v>0</v>
      </c>
      <c r="Y92">
        <v>0</v>
      </c>
      <c r="Z92">
        <v>1</v>
      </c>
      <c r="AA92">
        <v>2</v>
      </c>
      <c r="AB92">
        <v>0</v>
      </c>
      <c r="AC92">
        <v>1</v>
      </c>
      <c r="AD92">
        <v>0</v>
      </c>
      <c r="AE92">
        <v>1</v>
      </c>
      <c r="AF92">
        <v>0</v>
      </c>
      <c r="AG92">
        <v>0</v>
      </c>
      <c r="AH92" t="s">
        <v>3</v>
      </c>
    </row>
    <row r="93" spans="1:34" x14ac:dyDescent="0.25">
      <c r="A93" t="s">
        <v>93</v>
      </c>
      <c r="B93" t="s">
        <v>3</v>
      </c>
      <c r="C93" t="s">
        <v>3</v>
      </c>
      <c r="D93" t="s">
        <v>3</v>
      </c>
      <c r="E93" t="s">
        <v>3</v>
      </c>
      <c r="F93" t="s">
        <v>3</v>
      </c>
      <c r="G93" t="s">
        <v>3</v>
      </c>
      <c r="H93" t="s">
        <v>3</v>
      </c>
      <c r="I93" t="s">
        <v>3</v>
      </c>
      <c r="J93" t="s">
        <v>3</v>
      </c>
      <c r="K93" t="s">
        <v>3</v>
      </c>
      <c r="L93" t="s">
        <v>3</v>
      </c>
      <c r="M93" t="s">
        <v>3</v>
      </c>
      <c r="N93" t="s">
        <v>3</v>
      </c>
      <c r="O93" t="s">
        <v>3</v>
      </c>
      <c r="P93" t="s">
        <v>3</v>
      </c>
      <c r="Q93" t="s">
        <v>3</v>
      </c>
      <c r="R93" t="s">
        <v>3</v>
      </c>
      <c r="S93" t="s">
        <v>3</v>
      </c>
      <c r="T93" t="s">
        <v>3</v>
      </c>
      <c r="U93">
        <v>0</v>
      </c>
      <c r="V93" t="s">
        <v>3</v>
      </c>
      <c r="W93" t="s">
        <v>3</v>
      </c>
      <c r="X93" t="s">
        <v>3</v>
      </c>
      <c r="Y93" t="s">
        <v>3</v>
      </c>
      <c r="Z93" t="s">
        <v>3</v>
      </c>
      <c r="AA93" t="s">
        <v>3</v>
      </c>
      <c r="AB93" t="s">
        <v>3</v>
      </c>
      <c r="AC93" t="s">
        <v>3</v>
      </c>
      <c r="AD93" t="s">
        <v>3</v>
      </c>
      <c r="AE93" t="s">
        <v>3</v>
      </c>
      <c r="AF93" t="s">
        <v>3</v>
      </c>
      <c r="AG93" t="s">
        <v>3</v>
      </c>
      <c r="AH93" t="s">
        <v>3</v>
      </c>
    </row>
    <row r="94" spans="1:34" x14ac:dyDescent="0.25">
      <c r="A94" t="s">
        <v>94</v>
      </c>
      <c r="B94" t="s">
        <v>3</v>
      </c>
      <c r="C94" t="s">
        <v>3</v>
      </c>
      <c r="D94" t="s">
        <v>3</v>
      </c>
      <c r="E94" t="s">
        <v>3</v>
      </c>
      <c r="F94" t="s">
        <v>3</v>
      </c>
      <c r="G94" t="s">
        <v>3</v>
      </c>
      <c r="H94" t="s">
        <v>3</v>
      </c>
      <c r="I94" t="s">
        <v>3</v>
      </c>
      <c r="J94" t="s">
        <v>3</v>
      </c>
      <c r="K94" t="s">
        <v>3</v>
      </c>
      <c r="L94" t="s">
        <v>3</v>
      </c>
      <c r="M94" t="s">
        <v>3</v>
      </c>
      <c r="N94" t="s">
        <v>3</v>
      </c>
      <c r="O94" t="s">
        <v>3</v>
      </c>
      <c r="P94" t="s">
        <v>3</v>
      </c>
      <c r="Q94" t="s">
        <v>3</v>
      </c>
      <c r="R94" t="s">
        <v>3</v>
      </c>
      <c r="S94" t="s">
        <v>3</v>
      </c>
      <c r="T94">
        <v>50</v>
      </c>
      <c r="U94" t="s">
        <v>3</v>
      </c>
      <c r="V94" t="s">
        <v>3</v>
      </c>
      <c r="W94" t="s">
        <v>3</v>
      </c>
      <c r="X94" t="s">
        <v>3</v>
      </c>
      <c r="Y94" t="s">
        <v>3</v>
      </c>
      <c r="Z94" t="s">
        <v>3</v>
      </c>
      <c r="AA94" t="s">
        <v>3</v>
      </c>
      <c r="AB94" t="s">
        <v>3</v>
      </c>
      <c r="AC94" t="s">
        <v>3</v>
      </c>
      <c r="AD94" t="s">
        <v>3</v>
      </c>
      <c r="AE94" t="s">
        <v>3</v>
      </c>
      <c r="AF94" t="s">
        <v>3</v>
      </c>
      <c r="AG94" t="s">
        <v>3</v>
      </c>
      <c r="AH94" t="s">
        <v>3</v>
      </c>
    </row>
    <row r="95" spans="1:34" x14ac:dyDescent="0.25">
      <c r="A95" t="s">
        <v>95</v>
      </c>
      <c r="B95" t="s">
        <v>3</v>
      </c>
      <c r="C95" t="s">
        <v>3</v>
      </c>
      <c r="D95" t="s">
        <v>3</v>
      </c>
      <c r="E95" t="s">
        <v>3</v>
      </c>
      <c r="F95" t="s">
        <v>3</v>
      </c>
      <c r="G95" t="s">
        <v>3</v>
      </c>
      <c r="H95" t="s">
        <v>3</v>
      </c>
      <c r="I95" t="s">
        <v>3</v>
      </c>
      <c r="J95" t="s">
        <v>3</v>
      </c>
      <c r="K95" t="s">
        <v>3</v>
      </c>
      <c r="L95" t="s">
        <v>3</v>
      </c>
      <c r="M95" t="s">
        <v>3</v>
      </c>
      <c r="N95" t="s">
        <v>3</v>
      </c>
      <c r="O95" t="s">
        <v>3</v>
      </c>
      <c r="P95" t="s">
        <v>3</v>
      </c>
      <c r="Q95" t="s">
        <v>3</v>
      </c>
      <c r="R95" t="s">
        <v>3</v>
      </c>
      <c r="S95" t="s">
        <v>3</v>
      </c>
      <c r="T95" t="s">
        <v>3</v>
      </c>
      <c r="U95" t="s">
        <v>3</v>
      </c>
      <c r="V95" t="s">
        <v>3</v>
      </c>
      <c r="W95" t="s">
        <v>3</v>
      </c>
      <c r="X95" t="s">
        <v>3</v>
      </c>
      <c r="Y95" t="s">
        <v>3</v>
      </c>
      <c r="Z95" t="s">
        <v>3</v>
      </c>
      <c r="AA95" t="s">
        <v>3</v>
      </c>
      <c r="AB95" t="s">
        <v>3</v>
      </c>
      <c r="AC95">
        <v>0</v>
      </c>
      <c r="AD95" t="s">
        <v>3</v>
      </c>
      <c r="AE95" t="s">
        <v>3</v>
      </c>
      <c r="AF95" t="s">
        <v>3</v>
      </c>
      <c r="AG95" t="s">
        <v>3</v>
      </c>
      <c r="AH95" t="s">
        <v>3</v>
      </c>
    </row>
    <row r="96" spans="1:34" x14ac:dyDescent="0.25">
      <c r="A96" t="s">
        <v>96</v>
      </c>
      <c r="B96" t="s">
        <v>3</v>
      </c>
      <c r="C96" t="s">
        <v>3</v>
      </c>
      <c r="D96" t="s">
        <v>3</v>
      </c>
      <c r="E96" t="s">
        <v>3</v>
      </c>
      <c r="F96" t="s">
        <v>3</v>
      </c>
      <c r="G96" t="s">
        <v>3</v>
      </c>
      <c r="H96" t="s">
        <v>3</v>
      </c>
      <c r="I96" t="s">
        <v>3</v>
      </c>
      <c r="J96" t="s">
        <v>3</v>
      </c>
      <c r="K96" t="s">
        <v>3</v>
      </c>
      <c r="L96" t="s">
        <v>3</v>
      </c>
      <c r="M96" t="s">
        <v>3</v>
      </c>
      <c r="N96" t="s">
        <v>3</v>
      </c>
      <c r="O96" t="s">
        <v>3</v>
      </c>
      <c r="P96" t="s">
        <v>3</v>
      </c>
      <c r="Q96" t="s">
        <v>3</v>
      </c>
      <c r="R96" t="s">
        <v>3</v>
      </c>
      <c r="S96" t="s">
        <v>3</v>
      </c>
      <c r="T96" t="s">
        <v>3</v>
      </c>
      <c r="U96" t="s">
        <v>3</v>
      </c>
      <c r="V96" t="s">
        <v>3</v>
      </c>
      <c r="W96" t="s">
        <v>3</v>
      </c>
      <c r="X96" t="s">
        <v>3</v>
      </c>
      <c r="Y96" t="s">
        <v>3</v>
      </c>
      <c r="Z96" t="s">
        <v>3</v>
      </c>
      <c r="AA96" t="s">
        <v>3</v>
      </c>
      <c r="AB96" t="s">
        <v>3</v>
      </c>
      <c r="AC96">
        <v>2</v>
      </c>
      <c r="AD96" t="s">
        <v>3</v>
      </c>
      <c r="AE96" t="s">
        <v>3</v>
      </c>
      <c r="AF96" t="s">
        <v>3</v>
      </c>
      <c r="AG96" t="s">
        <v>3</v>
      </c>
      <c r="AH96" t="s">
        <v>3</v>
      </c>
    </row>
    <row r="97" spans="1:34" x14ac:dyDescent="0.25">
      <c r="A97" t="s">
        <v>97</v>
      </c>
      <c r="B97" t="s">
        <v>3</v>
      </c>
      <c r="C97" t="s">
        <v>3</v>
      </c>
      <c r="D97" t="s">
        <v>3</v>
      </c>
      <c r="E97" t="s">
        <v>3</v>
      </c>
      <c r="F97" t="s">
        <v>3</v>
      </c>
      <c r="G97" t="s">
        <v>3</v>
      </c>
      <c r="H97" t="s">
        <v>3</v>
      </c>
      <c r="I97" t="s">
        <v>3</v>
      </c>
      <c r="J97" t="s">
        <v>3</v>
      </c>
      <c r="K97" t="s">
        <v>3</v>
      </c>
      <c r="L97" t="s">
        <v>3</v>
      </c>
      <c r="M97" t="s">
        <v>3</v>
      </c>
      <c r="N97" t="s">
        <v>3</v>
      </c>
      <c r="O97" t="s">
        <v>3</v>
      </c>
      <c r="P97" t="s">
        <v>3</v>
      </c>
      <c r="Q97" t="s">
        <v>3</v>
      </c>
      <c r="R97" t="s">
        <v>3</v>
      </c>
      <c r="S97" t="s">
        <v>3</v>
      </c>
      <c r="T97" t="s">
        <v>3</v>
      </c>
      <c r="U97" t="s">
        <v>3</v>
      </c>
      <c r="V97" t="s">
        <v>3</v>
      </c>
      <c r="W97" t="s">
        <v>3</v>
      </c>
      <c r="X97" t="s">
        <v>3</v>
      </c>
      <c r="Y97" t="s">
        <v>3</v>
      </c>
      <c r="Z97" t="s">
        <v>3</v>
      </c>
      <c r="AA97" t="s">
        <v>3</v>
      </c>
      <c r="AB97">
        <v>0</v>
      </c>
      <c r="AC97" t="s">
        <v>3</v>
      </c>
      <c r="AD97" t="s">
        <v>3</v>
      </c>
      <c r="AE97" t="s">
        <v>3</v>
      </c>
      <c r="AF97" t="s">
        <v>3</v>
      </c>
      <c r="AG97" t="s">
        <v>3</v>
      </c>
      <c r="AH97" t="s">
        <v>3</v>
      </c>
    </row>
    <row r="98" spans="1:34" x14ac:dyDescent="0.25">
      <c r="A98" t="s">
        <v>98</v>
      </c>
      <c r="B98" t="s">
        <v>3</v>
      </c>
      <c r="C98" t="s">
        <v>3</v>
      </c>
      <c r="D98" t="s">
        <v>3</v>
      </c>
      <c r="E98" t="s">
        <v>3</v>
      </c>
      <c r="F98" t="s">
        <v>3</v>
      </c>
      <c r="G98" t="s">
        <v>3</v>
      </c>
      <c r="H98" t="s">
        <v>3</v>
      </c>
      <c r="I98" t="s">
        <v>3</v>
      </c>
      <c r="J98" t="s">
        <v>3</v>
      </c>
      <c r="K98" t="s">
        <v>3</v>
      </c>
      <c r="L98" t="s">
        <v>3</v>
      </c>
      <c r="M98" t="s">
        <v>3</v>
      </c>
      <c r="N98" t="s">
        <v>3</v>
      </c>
      <c r="O98" t="s">
        <v>3</v>
      </c>
      <c r="P98" t="s">
        <v>3</v>
      </c>
      <c r="Q98" t="s">
        <v>3</v>
      </c>
      <c r="R98" t="s">
        <v>3</v>
      </c>
      <c r="S98" t="s">
        <v>3</v>
      </c>
      <c r="T98" t="s">
        <v>3</v>
      </c>
      <c r="U98" t="s">
        <v>3</v>
      </c>
      <c r="V98" t="s">
        <v>3</v>
      </c>
      <c r="W98" t="s">
        <v>3</v>
      </c>
      <c r="X98" t="s">
        <v>3</v>
      </c>
      <c r="Y98" t="s">
        <v>3</v>
      </c>
      <c r="Z98" t="s">
        <v>3</v>
      </c>
      <c r="AA98" t="s">
        <v>3</v>
      </c>
      <c r="AB98">
        <v>1</v>
      </c>
      <c r="AC98" t="s">
        <v>3</v>
      </c>
      <c r="AD98" t="s">
        <v>3</v>
      </c>
      <c r="AE98" t="s">
        <v>3</v>
      </c>
      <c r="AF98" t="s">
        <v>3</v>
      </c>
      <c r="AG98" t="s">
        <v>3</v>
      </c>
      <c r="AH98" t="s">
        <v>3</v>
      </c>
    </row>
    <row r="99" spans="1:34" x14ac:dyDescent="0.25">
      <c r="A99" t="s">
        <v>99</v>
      </c>
      <c r="B99" t="s">
        <v>3</v>
      </c>
      <c r="C99" t="s">
        <v>3</v>
      </c>
      <c r="D99" t="s">
        <v>3</v>
      </c>
      <c r="E99" t="s">
        <v>3</v>
      </c>
      <c r="F99" t="s">
        <v>3</v>
      </c>
      <c r="G99" t="s">
        <v>3</v>
      </c>
      <c r="H99" t="s">
        <v>3</v>
      </c>
      <c r="I99" t="s">
        <v>3</v>
      </c>
      <c r="J99" t="s">
        <v>3</v>
      </c>
      <c r="K99" t="s">
        <v>3</v>
      </c>
      <c r="L99" t="s">
        <v>3</v>
      </c>
      <c r="M99" t="s">
        <v>3</v>
      </c>
      <c r="N99" t="s">
        <v>3</v>
      </c>
      <c r="O99" t="s">
        <v>3</v>
      </c>
      <c r="P99" t="s">
        <v>3</v>
      </c>
      <c r="Q99" t="s">
        <v>3</v>
      </c>
      <c r="R99" t="s">
        <v>3</v>
      </c>
      <c r="S99" t="s">
        <v>3</v>
      </c>
      <c r="T99" t="s">
        <v>3</v>
      </c>
      <c r="U99" t="s">
        <v>3</v>
      </c>
      <c r="V99" t="s">
        <v>3</v>
      </c>
      <c r="W99" t="s">
        <v>3</v>
      </c>
      <c r="X99" t="s">
        <v>3</v>
      </c>
      <c r="Y99" t="s">
        <v>3</v>
      </c>
      <c r="Z99" t="s">
        <v>3</v>
      </c>
      <c r="AA99" t="s">
        <v>3</v>
      </c>
      <c r="AB99">
        <v>1</v>
      </c>
      <c r="AC99" t="s">
        <v>3</v>
      </c>
      <c r="AD99" t="s">
        <v>3</v>
      </c>
      <c r="AE99" t="s">
        <v>3</v>
      </c>
      <c r="AF99" t="s">
        <v>3</v>
      </c>
      <c r="AG99" t="s">
        <v>3</v>
      </c>
      <c r="AH99" t="s">
        <v>3</v>
      </c>
    </row>
    <row r="100" spans="1:34" x14ac:dyDescent="0.25">
      <c r="A100" t="s">
        <v>100</v>
      </c>
      <c r="B100" t="s">
        <v>3</v>
      </c>
      <c r="C100" t="s">
        <v>3</v>
      </c>
      <c r="D100" t="s">
        <v>3</v>
      </c>
      <c r="E100" t="s">
        <v>3</v>
      </c>
      <c r="F100" t="s">
        <v>3</v>
      </c>
      <c r="G100" t="s">
        <v>3</v>
      </c>
      <c r="H100" t="s">
        <v>3</v>
      </c>
      <c r="I100" t="s">
        <v>3</v>
      </c>
      <c r="J100" t="s">
        <v>3</v>
      </c>
      <c r="K100" t="s">
        <v>3</v>
      </c>
      <c r="L100" t="s">
        <v>3</v>
      </c>
      <c r="M100" t="s">
        <v>3</v>
      </c>
      <c r="N100" t="s">
        <v>3</v>
      </c>
      <c r="O100" t="s">
        <v>3</v>
      </c>
      <c r="P100" t="s">
        <v>3</v>
      </c>
      <c r="Q100" t="s">
        <v>3</v>
      </c>
      <c r="R100" t="s">
        <v>3</v>
      </c>
      <c r="S100" t="s">
        <v>3</v>
      </c>
      <c r="T100">
        <v>4</v>
      </c>
      <c r="U100" t="s">
        <v>3</v>
      </c>
      <c r="V100" t="s">
        <v>3</v>
      </c>
      <c r="W100" t="s">
        <v>3</v>
      </c>
      <c r="X100" t="s">
        <v>3</v>
      </c>
      <c r="Y100" t="s">
        <v>3</v>
      </c>
      <c r="Z100" t="s">
        <v>3</v>
      </c>
      <c r="AA100" t="s">
        <v>3</v>
      </c>
      <c r="AB100" t="s">
        <v>3</v>
      </c>
      <c r="AC100" t="s">
        <v>3</v>
      </c>
      <c r="AD100" t="s">
        <v>3</v>
      </c>
      <c r="AE100" t="s">
        <v>3</v>
      </c>
      <c r="AF100" t="s">
        <v>3</v>
      </c>
      <c r="AG100" t="s">
        <v>3</v>
      </c>
      <c r="AH100" t="s">
        <v>3</v>
      </c>
    </row>
    <row r="101" spans="1:34" x14ac:dyDescent="0.25">
      <c r="A101" t="s">
        <v>101</v>
      </c>
      <c r="B101" t="s">
        <v>3</v>
      </c>
      <c r="C101" t="s">
        <v>3</v>
      </c>
      <c r="D101" t="s">
        <v>3</v>
      </c>
      <c r="E101" t="s">
        <v>3</v>
      </c>
      <c r="F101" t="s">
        <v>3</v>
      </c>
      <c r="G101" t="s">
        <v>3</v>
      </c>
      <c r="H101" t="s">
        <v>3</v>
      </c>
      <c r="I101" t="s">
        <v>3</v>
      </c>
      <c r="J101" t="s">
        <v>3</v>
      </c>
      <c r="K101" t="s">
        <v>3</v>
      </c>
      <c r="L101" t="s">
        <v>3</v>
      </c>
      <c r="M101" t="s">
        <v>3</v>
      </c>
      <c r="N101" t="s">
        <v>3</v>
      </c>
      <c r="O101" t="s">
        <v>3</v>
      </c>
      <c r="P101" t="s">
        <v>3</v>
      </c>
      <c r="Q101" t="s">
        <v>3</v>
      </c>
      <c r="R101" t="s">
        <v>3</v>
      </c>
      <c r="S101" t="s">
        <v>3</v>
      </c>
      <c r="T101" t="s">
        <v>3</v>
      </c>
      <c r="U101">
        <v>1</v>
      </c>
      <c r="V101" t="s">
        <v>3</v>
      </c>
      <c r="W101" t="s">
        <v>3</v>
      </c>
      <c r="X101" t="s">
        <v>3</v>
      </c>
      <c r="Y101" t="s">
        <v>3</v>
      </c>
      <c r="Z101" t="s">
        <v>3</v>
      </c>
      <c r="AA101" t="s">
        <v>3</v>
      </c>
      <c r="AB101" t="s">
        <v>3</v>
      </c>
      <c r="AC101" t="s">
        <v>3</v>
      </c>
      <c r="AD101" t="s">
        <v>3</v>
      </c>
      <c r="AE101" t="s">
        <v>3</v>
      </c>
      <c r="AF101" t="s">
        <v>3</v>
      </c>
      <c r="AG101" t="s">
        <v>3</v>
      </c>
      <c r="AH101" t="s">
        <v>3</v>
      </c>
    </row>
    <row r="102" spans="1:34" x14ac:dyDescent="0.25">
      <c r="A102" t="s">
        <v>102</v>
      </c>
      <c r="B102" t="s">
        <v>3</v>
      </c>
      <c r="C102" t="s">
        <v>3</v>
      </c>
      <c r="D102" t="s">
        <v>3</v>
      </c>
      <c r="E102" t="s">
        <v>3</v>
      </c>
      <c r="F102" t="s">
        <v>3</v>
      </c>
      <c r="G102" t="s">
        <v>3</v>
      </c>
      <c r="H102" t="s">
        <v>3</v>
      </c>
      <c r="I102" t="s">
        <v>3</v>
      </c>
      <c r="J102" t="s">
        <v>3</v>
      </c>
      <c r="K102" t="s">
        <v>3</v>
      </c>
      <c r="L102" t="s">
        <v>3</v>
      </c>
      <c r="M102" t="s">
        <v>3</v>
      </c>
      <c r="N102" t="s">
        <v>3</v>
      </c>
      <c r="O102" t="s">
        <v>3</v>
      </c>
      <c r="P102" t="s">
        <v>3</v>
      </c>
      <c r="Q102" t="s">
        <v>3</v>
      </c>
      <c r="R102" t="s">
        <v>3</v>
      </c>
      <c r="S102" t="s">
        <v>3</v>
      </c>
      <c r="T102" t="s">
        <v>3</v>
      </c>
      <c r="U102">
        <v>18</v>
      </c>
      <c r="V102" t="s">
        <v>3</v>
      </c>
      <c r="W102" t="s">
        <v>3</v>
      </c>
      <c r="X102" t="s">
        <v>3</v>
      </c>
      <c r="Y102" t="s">
        <v>3</v>
      </c>
      <c r="Z102" t="s">
        <v>3</v>
      </c>
      <c r="AA102" t="s">
        <v>3</v>
      </c>
      <c r="AB102" t="s">
        <v>3</v>
      </c>
      <c r="AC102" t="s">
        <v>3</v>
      </c>
      <c r="AD102" t="s">
        <v>3</v>
      </c>
      <c r="AE102" t="s">
        <v>3</v>
      </c>
      <c r="AF102" t="s">
        <v>3</v>
      </c>
      <c r="AG102" t="s">
        <v>3</v>
      </c>
      <c r="AH102" t="s">
        <v>3</v>
      </c>
    </row>
    <row r="103" spans="1:34" x14ac:dyDescent="0.25">
      <c r="A103" t="s">
        <v>103</v>
      </c>
      <c r="B103" t="s">
        <v>3</v>
      </c>
      <c r="C103" t="s">
        <v>3</v>
      </c>
      <c r="D103" t="s">
        <v>3</v>
      </c>
      <c r="E103" t="s">
        <v>3</v>
      </c>
      <c r="F103" t="s">
        <v>3</v>
      </c>
      <c r="G103" t="s">
        <v>3</v>
      </c>
      <c r="H103" t="s">
        <v>3</v>
      </c>
      <c r="I103" t="s">
        <v>3</v>
      </c>
      <c r="J103" t="s">
        <v>3</v>
      </c>
      <c r="K103" t="s">
        <v>3</v>
      </c>
      <c r="L103" t="s">
        <v>3</v>
      </c>
      <c r="M103" t="s">
        <v>3</v>
      </c>
      <c r="N103" t="s">
        <v>3</v>
      </c>
      <c r="O103" t="s">
        <v>3</v>
      </c>
      <c r="P103" t="s">
        <v>3</v>
      </c>
      <c r="Q103">
        <v>0</v>
      </c>
      <c r="R103" t="s">
        <v>3</v>
      </c>
      <c r="S103" t="s">
        <v>3</v>
      </c>
      <c r="T103">
        <v>6</v>
      </c>
      <c r="U103">
        <v>11</v>
      </c>
      <c r="V103">
        <v>7</v>
      </c>
      <c r="W103">
        <v>18</v>
      </c>
      <c r="X103">
        <v>12</v>
      </c>
      <c r="Y103">
        <v>0</v>
      </c>
      <c r="Z103">
        <v>0</v>
      </c>
      <c r="AA103">
        <v>0</v>
      </c>
      <c r="AB103">
        <v>0</v>
      </c>
      <c r="AC103">
        <v>3</v>
      </c>
      <c r="AD103">
        <v>3</v>
      </c>
      <c r="AE103">
        <v>0</v>
      </c>
      <c r="AF103">
        <v>0</v>
      </c>
      <c r="AG103">
        <v>0</v>
      </c>
      <c r="AH103">
        <v>0</v>
      </c>
    </row>
    <row r="104" spans="1:34" x14ac:dyDescent="0.25">
      <c r="A104" t="s">
        <v>104</v>
      </c>
      <c r="B104" t="s">
        <v>3</v>
      </c>
      <c r="C104" t="s">
        <v>3</v>
      </c>
      <c r="D104" t="s">
        <v>3</v>
      </c>
      <c r="E104" t="s">
        <v>3</v>
      </c>
      <c r="F104" t="s">
        <v>3</v>
      </c>
      <c r="G104" t="s">
        <v>3</v>
      </c>
      <c r="H104" t="s">
        <v>3</v>
      </c>
      <c r="I104" t="s">
        <v>3</v>
      </c>
      <c r="J104" t="s">
        <v>3</v>
      </c>
      <c r="K104" t="s">
        <v>3</v>
      </c>
      <c r="L104" t="s">
        <v>3</v>
      </c>
      <c r="M104" t="s">
        <v>3</v>
      </c>
      <c r="N104" t="s">
        <v>3</v>
      </c>
      <c r="O104" t="s">
        <v>3</v>
      </c>
      <c r="P104" t="s">
        <v>3</v>
      </c>
      <c r="Q104" t="s">
        <v>3</v>
      </c>
      <c r="R104" t="s">
        <v>3</v>
      </c>
      <c r="S104" t="s">
        <v>3</v>
      </c>
      <c r="T104" t="s">
        <v>3</v>
      </c>
      <c r="U104">
        <v>0</v>
      </c>
      <c r="V104">
        <v>0</v>
      </c>
      <c r="W104" t="s">
        <v>3</v>
      </c>
      <c r="X104" t="s">
        <v>3</v>
      </c>
      <c r="Y104" t="s">
        <v>3</v>
      </c>
      <c r="Z104" t="s">
        <v>3</v>
      </c>
      <c r="AA104" t="s">
        <v>3</v>
      </c>
      <c r="AB104" t="s">
        <v>3</v>
      </c>
      <c r="AC104" t="s">
        <v>3</v>
      </c>
      <c r="AD104" t="s">
        <v>3</v>
      </c>
      <c r="AE104" t="s">
        <v>3</v>
      </c>
      <c r="AF104" t="s">
        <v>3</v>
      </c>
      <c r="AG104" t="s">
        <v>3</v>
      </c>
      <c r="AH104" t="s">
        <v>3</v>
      </c>
    </row>
    <row r="105" spans="1:34" x14ac:dyDescent="0.25">
      <c r="A105" t="s">
        <v>105</v>
      </c>
      <c r="B105" t="s">
        <v>3</v>
      </c>
      <c r="C105" t="s">
        <v>3</v>
      </c>
      <c r="D105" t="s">
        <v>3</v>
      </c>
      <c r="E105" t="s">
        <v>3</v>
      </c>
      <c r="F105" t="s">
        <v>3</v>
      </c>
      <c r="G105" t="s">
        <v>3</v>
      </c>
      <c r="H105" t="s">
        <v>3</v>
      </c>
      <c r="I105" t="s">
        <v>3</v>
      </c>
      <c r="J105" t="s">
        <v>3</v>
      </c>
      <c r="K105" t="s">
        <v>3</v>
      </c>
      <c r="L105" t="s">
        <v>3</v>
      </c>
      <c r="M105" t="s">
        <v>3</v>
      </c>
      <c r="N105" t="s">
        <v>3</v>
      </c>
      <c r="O105" t="s">
        <v>3</v>
      </c>
      <c r="P105">
        <v>0</v>
      </c>
      <c r="Q105">
        <v>1</v>
      </c>
      <c r="R105">
        <v>3</v>
      </c>
      <c r="S105">
        <v>8</v>
      </c>
      <c r="T105">
        <v>7</v>
      </c>
      <c r="U105">
        <v>6</v>
      </c>
      <c r="V105">
        <v>0</v>
      </c>
      <c r="W105">
        <v>2</v>
      </c>
      <c r="X105">
        <v>13</v>
      </c>
      <c r="Y105">
        <v>0</v>
      </c>
      <c r="Z105">
        <v>3</v>
      </c>
      <c r="AA105">
        <v>3</v>
      </c>
      <c r="AB105">
        <v>4</v>
      </c>
      <c r="AC105">
        <v>4</v>
      </c>
      <c r="AD105">
        <v>0</v>
      </c>
      <c r="AE105">
        <v>0</v>
      </c>
      <c r="AF105">
        <v>0</v>
      </c>
      <c r="AG105">
        <v>0</v>
      </c>
      <c r="AH105">
        <v>0</v>
      </c>
    </row>
    <row r="106" spans="1:34" x14ac:dyDescent="0.25">
      <c r="A106" t="s">
        <v>106</v>
      </c>
      <c r="B106" t="s">
        <v>3</v>
      </c>
      <c r="C106" t="s">
        <v>3</v>
      </c>
      <c r="D106" t="s">
        <v>3</v>
      </c>
      <c r="E106" t="s">
        <v>3</v>
      </c>
      <c r="F106" t="s">
        <v>3</v>
      </c>
      <c r="G106" t="s">
        <v>3</v>
      </c>
      <c r="H106" t="s">
        <v>3</v>
      </c>
      <c r="I106" t="s">
        <v>3</v>
      </c>
      <c r="J106" t="s">
        <v>3</v>
      </c>
      <c r="K106" t="s">
        <v>3</v>
      </c>
      <c r="L106" t="s">
        <v>3</v>
      </c>
      <c r="M106" t="s">
        <v>3</v>
      </c>
      <c r="N106" t="s">
        <v>3</v>
      </c>
      <c r="O106" t="s">
        <v>3</v>
      </c>
      <c r="P106" t="s">
        <v>3</v>
      </c>
      <c r="Q106" t="s">
        <v>3</v>
      </c>
      <c r="R106" t="s">
        <v>3</v>
      </c>
      <c r="S106" t="s">
        <v>3</v>
      </c>
      <c r="T106" t="s">
        <v>3</v>
      </c>
      <c r="U106">
        <v>6</v>
      </c>
      <c r="V106" t="s">
        <v>3</v>
      </c>
      <c r="W106" t="s">
        <v>3</v>
      </c>
      <c r="X106" t="s">
        <v>3</v>
      </c>
      <c r="Y106" t="s">
        <v>3</v>
      </c>
      <c r="Z106" t="s">
        <v>3</v>
      </c>
      <c r="AA106" t="s">
        <v>3</v>
      </c>
      <c r="AB106" t="s">
        <v>3</v>
      </c>
      <c r="AC106" t="s">
        <v>3</v>
      </c>
      <c r="AD106" t="s">
        <v>3</v>
      </c>
      <c r="AE106" t="s">
        <v>3</v>
      </c>
      <c r="AF106" t="s">
        <v>3</v>
      </c>
      <c r="AG106" t="s">
        <v>3</v>
      </c>
      <c r="AH106" t="s">
        <v>3</v>
      </c>
    </row>
    <row r="107" spans="1:34" x14ac:dyDescent="0.25">
      <c r="A107" t="s">
        <v>107</v>
      </c>
      <c r="B107" t="s">
        <v>3</v>
      </c>
      <c r="C107" t="s">
        <v>3</v>
      </c>
      <c r="D107" t="s">
        <v>3</v>
      </c>
      <c r="E107" t="s">
        <v>3</v>
      </c>
      <c r="F107" t="s">
        <v>3</v>
      </c>
      <c r="G107" t="s">
        <v>3</v>
      </c>
      <c r="H107" t="s">
        <v>3</v>
      </c>
      <c r="I107" t="s">
        <v>3</v>
      </c>
      <c r="J107" t="s">
        <v>3</v>
      </c>
      <c r="K107" t="s">
        <v>3</v>
      </c>
      <c r="L107" t="s">
        <v>3</v>
      </c>
      <c r="M107" t="s">
        <v>3</v>
      </c>
      <c r="N107" t="s">
        <v>3</v>
      </c>
      <c r="O107" t="s">
        <v>3</v>
      </c>
      <c r="P107" t="s">
        <v>3</v>
      </c>
      <c r="Q107" t="s">
        <v>3</v>
      </c>
      <c r="R107" t="s">
        <v>3</v>
      </c>
      <c r="S107" t="s">
        <v>3</v>
      </c>
      <c r="T107" t="s">
        <v>3</v>
      </c>
      <c r="U107">
        <v>6</v>
      </c>
      <c r="V107" t="s">
        <v>3</v>
      </c>
      <c r="W107" t="s">
        <v>3</v>
      </c>
      <c r="X107" t="s">
        <v>3</v>
      </c>
      <c r="Y107" t="s">
        <v>3</v>
      </c>
      <c r="Z107" t="s">
        <v>3</v>
      </c>
      <c r="AA107" t="s">
        <v>3</v>
      </c>
      <c r="AB107" t="s">
        <v>3</v>
      </c>
      <c r="AC107" t="s">
        <v>3</v>
      </c>
      <c r="AD107" t="s">
        <v>3</v>
      </c>
      <c r="AE107" t="s">
        <v>3</v>
      </c>
      <c r="AF107" t="s">
        <v>3</v>
      </c>
      <c r="AG107" t="s">
        <v>3</v>
      </c>
      <c r="AH107" t="s">
        <v>3</v>
      </c>
    </row>
    <row r="108" spans="1:34" x14ac:dyDescent="0.25">
      <c r="A108" t="s">
        <v>108</v>
      </c>
      <c r="B108" t="s">
        <v>3</v>
      </c>
      <c r="C108" t="s">
        <v>3</v>
      </c>
      <c r="D108" t="s">
        <v>3</v>
      </c>
      <c r="E108" t="s">
        <v>3</v>
      </c>
      <c r="F108" t="s">
        <v>3</v>
      </c>
      <c r="G108" t="s">
        <v>3</v>
      </c>
      <c r="H108" t="s">
        <v>3</v>
      </c>
      <c r="I108" t="s">
        <v>3</v>
      </c>
      <c r="J108" t="s">
        <v>3</v>
      </c>
      <c r="K108" t="s">
        <v>3</v>
      </c>
      <c r="L108" t="s">
        <v>3</v>
      </c>
      <c r="M108" t="s">
        <v>3</v>
      </c>
      <c r="N108" t="s">
        <v>3</v>
      </c>
      <c r="O108" t="s">
        <v>3</v>
      </c>
      <c r="P108" t="s">
        <v>3</v>
      </c>
      <c r="Q108" t="s">
        <v>3</v>
      </c>
      <c r="R108" t="s">
        <v>3</v>
      </c>
      <c r="S108" t="s">
        <v>3</v>
      </c>
      <c r="T108" t="s">
        <v>3</v>
      </c>
      <c r="U108">
        <v>5</v>
      </c>
      <c r="V108" t="s">
        <v>3</v>
      </c>
      <c r="W108" t="s">
        <v>3</v>
      </c>
      <c r="X108" t="s">
        <v>3</v>
      </c>
      <c r="Y108" t="s">
        <v>3</v>
      </c>
      <c r="Z108" t="s">
        <v>3</v>
      </c>
      <c r="AA108" t="s">
        <v>3</v>
      </c>
      <c r="AB108" t="s">
        <v>3</v>
      </c>
      <c r="AC108" t="s">
        <v>3</v>
      </c>
      <c r="AD108" t="s">
        <v>3</v>
      </c>
      <c r="AE108" t="s">
        <v>3</v>
      </c>
      <c r="AF108" t="s">
        <v>3</v>
      </c>
      <c r="AG108" t="s">
        <v>3</v>
      </c>
      <c r="AH108" t="s">
        <v>3</v>
      </c>
    </row>
    <row r="109" spans="1:34" x14ac:dyDescent="0.25">
      <c r="A109" t="s">
        <v>109</v>
      </c>
      <c r="B109" t="s">
        <v>3</v>
      </c>
      <c r="C109" t="s">
        <v>3</v>
      </c>
      <c r="D109" t="s">
        <v>3</v>
      </c>
      <c r="E109" t="s">
        <v>3</v>
      </c>
      <c r="F109" t="s">
        <v>3</v>
      </c>
      <c r="G109" t="s">
        <v>3</v>
      </c>
      <c r="H109" t="s">
        <v>3</v>
      </c>
      <c r="I109" t="s">
        <v>3</v>
      </c>
      <c r="J109" t="s">
        <v>3</v>
      </c>
      <c r="K109" t="s">
        <v>3</v>
      </c>
      <c r="L109" t="s">
        <v>3</v>
      </c>
      <c r="M109" t="s">
        <v>3</v>
      </c>
      <c r="N109" t="s">
        <v>3</v>
      </c>
      <c r="O109" t="s">
        <v>3</v>
      </c>
      <c r="P109" t="s">
        <v>3</v>
      </c>
      <c r="Q109" t="s">
        <v>3</v>
      </c>
      <c r="R109" t="s">
        <v>3</v>
      </c>
      <c r="S109" t="s">
        <v>3</v>
      </c>
      <c r="T109" t="s">
        <v>3</v>
      </c>
      <c r="U109" t="s">
        <v>3</v>
      </c>
      <c r="V109" t="s">
        <v>3</v>
      </c>
      <c r="W109" t="s">
        <v>3</v>
      </c>
      <c r="X109" t="s">
        <v>3</v>
      </c>
      <c r="Y109" t="s">
        <v>3</v>
      </c>
      <c r="Z109" t="s">
        <v>3</v>
      </c>
      <c r="AA109" t="s">
        <v>3</v>
      </c>
      <c r="AB109" t="s">
        <v>3</v>
      </c>
      <c r="AC109" t="s">
        <v>3</v>
      </c>
      <c r="AD109" t="s">
        <v>3</v>
      </c>
      <c r="AE109" t="s">
        <v>3</v>
      </c>
      <c r="AF109" t="s">
        <v>3</v>
      </c>
      <c r="AG109" t="s">
        <v>3</v>
      </c>
      <c r="AH109" t="s">
        <v>3</v>
      </c>
    </row>
    <row r="110" spans="1:34" x14ac:dyDescent="0.25">
      <c r="A110" t="s">
        <v>110</v>
      </c>
      <c r="B110" t="s">
        <v>3</v>
      </c>
      <c r="C110" t="s">
        <v>3</v>
      </c>
      <c r="D110" t="s">
        <v>3</v>
      </c>
      <c r="E110" t="s">
        <v>3</v>
      </c>
      <c r="F110" t="s">
        <v>3</v>
      </c>
      <c r="G110" t="s">
        <v>3</v>
      </c>
      <c r="H110" t="s">
        <v>3</v>
      </c>
      <c r="I110" t="s">
        <v>3</v>
      </c>
      <c r="J110" t="s">
        <v>3</v>
      </c>
      <c r="K110" t="s">
        <v>3</v>
      </c>
      <c r="L110" t="s">
        <v>3</v>
      </c>
      <c r="M110" t="s">
        <v>3</v>
      </c>
      <c r="N110" t="s">
        <v>3</v>
      </c>
      <c r="O110" t="s">
        <v>3</v>
      </c>
      <c r="P110" t="s">
        <v>3</v>
      </c>
      <c r="Q110" t="s">
        <v>3</v>
      </c>
      <c r="R110" t="s">
        <v>3</v>
      </c>
      <c r="S110" t="s">
        <v>3</v>
      </c>
      <c r="T110" t="s">
        <v>3</v>
      </c>
      <c r="U110" t="s">
        <v>3</v>
      </c>
      <c r="V110" t="s">
        <v>3</v>
      </c>
      <c r="W110" t="s">
        <v>3</v>
      </c>
      <c r="X110" t="s">
        <v>3</v>
      </c>
      <c r="Y110" t="s">
        <v>3</v>
      </c>
      <c r="Z110" t="s">
        <v>3</v>
      </c>
      <c r="AA110" t="s">
        <v>3</v>
      </c>
      <c r="AB110" t="s">
        <v>3</v>
      </c>
      <c r="AC110" t="s">
        <v>3</v>
      </c>
      <c r="AD110" t="s">
        <v>3</v>
      </c>
      <c r="AE110" t="s">
        <v>3</v>
      </c>
      <c r="AF110" t="s">
        <v>3</v>
      </c>
      <c r="AG110" t="s">
        <v>3</v>
      </c>
      <c r="AH110" t="s">
        <v>3</v>
      </c>
    </row>
    <row r="111" spans="1:34" x14ac:dyDescent="0.25">
      <c r="A111" t="s">
        <v>3</v>
      </c>
      <c r="B111" t="s">
        <v>3</v>
      </c>
      <c r="C111" t="s">
        <v>3</v>
      </c>
      <c r="D111" t="s">
        <v>3</v>
      </c>
      <c r="E111" t="s">
        <v>3</v>
      </c>
      <c r="F111" t="s">
        <v>3</v>
      </c>
      <c r="G111" t="s">
        <v>3</v>
      </c>
      <c r="H111" t="s">
        <v>3</v>
      </c>
      <c r="I111" t="s">
        <v>3</v>
      </c>
      <c r="J111" t="s">
        <v>3</v>
      </c>
      <c r="K111" t="s">
        <v>3</v>
      </c>
      <c r="L111" t="s">
        <v>3</v>
      </c>
      <c r="M111" t="s">
        <v>3</v>
      </c>
      <c r="N111" t="s">
        <v>3</v>
      </c>
      <c r="O111" t="s">
        <v>3</v>
      </c>
      <c r="P111" t="s">
        <v>3</v>
      </c>
      <c r="Q111" t="s">
        <v>3</v>
      </c>
      <c r="R111" t="s">
        <v>3</v>
      </c>
      <c r="S111" t="s">
        <v>3</v>
      </c>
      <c r="T111" t="s">
        <v>3</v>
      </c>
      <c r="U111" t="s">
        <v>3</v>
      </c>
      <c r="V111" t="s">
        <v>3</v>
      </c>
      <c r="W111" t="s">
        <v>3</v>
      </c>
      <c r="X111" t="s">
        <v>3</v>
      </c>
      <c r="Y111" t="s">
        <v>3</v>
      </c>
      <c r="Z111" t="s">
        <v>3</v>
      </c>
      <c r="AA111" t="s">
        <v>3</v>
      </c>
      <c r="AB111" t="s">
        <v>3</v>
      </c>
      <c r="AC111" t="s">
        <v>3</v>
      </c>
      <c r="AD111" t="s">
        <v>3</v>
      </c>
      <c r="AE111" t="s">
        <v>3</v>
      </c>
      <c r="AF111" t="s">
        <v>3</v>
      </c>
      <c r="AG111" t="s">
        <v>3</v>
      </c>
      <c r="AH111" t="s">
        <v>3</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9404CD-8F7E-42FA-93FB-E2B8595D105D}">
  <dimension ref="A1:AF210"/>
  <sheetViews>
    <sheetView workbookViewId="0">
      <pane ySplit="3" topLeftCell="A130" activePane="bottomLeft" state="frozen"/>
      <selection pane="bottomLeft" activeCell="S202" sqref="S202:S205"/>
    </sheetView>
  </sheetViews>
  <sheetFormatPr defaultRowHeight="15" x14ac:dyDescent="0.25"/>
  <cols>
    <col min="1" max="1" width="9.140625" style="19"/>
    <col min="2" max="2" width="12.140625" style="19" customWidth="1"/>
    <col min="3" max="3" width="9.140625" style="19"/>
    <col min="4" max="4" width="8.28515625" style="19" customWidth="1"/>
    <col min="5" max="6" width="7.28515625" style="19" customWidth="1"/>
    <col min="7" max="10" width="9.140625" style="19"/>
    <col min="11" max="11" width="24.5703125" style="19" customWidth="1"/>
    <col min="12" max="12" width="9.7109375" style="120" customWidth="1"/>
    <col min="13" max="13" width="9.140625" style="19" customWidth="1"/>
    <col min="14" max="15" width="9.140625" style="19"/>
    <col min="16" max="16" width="10" style="19" customWidth="1"/>
    <col min="17" max="19" width="9.140625" style="19"/>
    <col min="20" max="20" width="12.7109375" style="19" customWidth="1"/>
    <col min="21" max="21" width="9.140625" style="19"/>
    <col min="22" max="22" width="16.28515625" style="19" customWidth="1"/>
    <col min="23" max="23" width="9.140625" style="19"/>
    <col min="24" max="24" width="12" style="19" customWidth="1"/>
    <col min="25" max="25" width="13.5703125" style="19" customWidth="1"/>
    <col min="26" max="26" width="9.140625" style="19" bestFit="1" customWidth="1"/>
    <col min="27" max="16384" width="9.140625" style="19"/>
  </cols>
  <sheetData>
    <row r="1" spans="1:23" x14ac:dyDescent="0.25">
      <c r="A1" s="3"/>
      <c r="B1" s="4"/>
      <c r="C1" s="5"/>
      <c r="D1" s="6"/>
      <c r="E1" s="7"/>
      <c r="F1" s="6"/>
      <c r="G1" s="6"/>
      <c r="H1" s="6"/>
      <c r="I1" s="8"/>
      <c r="J1" s="4"/>
      <c r="K1" s="9"/>
      <c r="L1" s="10"/>
      <c r="M1" s="11"/>
      <c r="N1" s="12"/>
      <c r="O1" s="13"/>
      <c r="P1" s="14" t="s">
        <v>113</v>
      </c>
      <c r="Q1" s="14" t="s">
        <v>113</v>
      </c>
      <c r="R1" s="15" t="s">
        <v>114</v>
      </c>
      <c r="S1" s="16"/>
      <c r="T1" s="17" t="s">
        <v>115</v>
      </c>
      <c r="U1" s="15"/>
      <c r="V1" s="15"/>
      <c r="W1" s="18"/>
    </row>
    <row r="2" spans="1:23" x14ac:dyDescent="0.25">
      <c r="A2" s="20"/>
      <c r="B2" s="21" t="s">
        <v>114</v>
      </c>
      <c r="C2" s="22"/>
      <c r="D2" s="23" t="s">
        <v>116</v>
      </c>
      <c r="E2" s="24"/>
      <c r="F2" s="25"/>
      <c r="G2" s="25"/>
      <c r="H2" s="25"/>
      <c r="I2" s="26" t="s">
        <v>114</v>
      </c>
      <c r="J2" s="21" t="s">
        <v>114</v>
      </c>
      <c r="K2" s="26" t="s">
        <v>114</v>
      </c>
      <c r="L2" s="27" t="s">
        <v>117</v>
      </c>
      <c r="M2" s="28"/>
      <c r="N2" s="29"/>
      <c r="O2" s="30"/>
      <c r="P2" s="31" t="s">
        <v>118</v>
      </c>
      <c r="Q2" s="31" t="s">
        <v>119</v>
      </c>
      <c r="R2" s="32" t="s">
        <v>114</v>
      </c>
      <c r="S2" s="33"/>
      <c r="T2" s="34"/>
      <c r="U2" s="35" t="s">
        <v>114</v>
      </c>
      <c r="V2" s="35" t="s">
        <v>114</v>
      </c>
      <c r="W2" s="36" t="s">
        <v>114</v>
      </c>
    </row>
    <row r="3" spans="1:23" ht="36.75" thickBot="1" x14ac:dyDescent="0.3">
      <c r="A3" s="37" t="s">
        <v>120</v>
      </c>
      <c r="B3" s="38" t="s">
        <v>121</v>
      </c>
      <c r="C3" s="39" t="s">
        <v>122</v>
      </c>
      <c r="D3" s="40" t="s">
        <v>123</v>
      </c>
      <c r="E3" s="41" t="s">
        <v>124</v>
      </c>
      <c r="F3" s="40" t="s">
        <v>125</v>
      </c>
      <c r="G3" s="42" t="s">
        <v>126</v>
      </c>
      <c r="H3" s="42" t="s">
        <v>127</v>
      </c>
      <c r="I3" s="43" t="s">
        <v>128</v>
      </c>
      <c r="J3" s="44" t="s">
        <v>129</v>
      </c>
      <c r="K3" s="45" t="s">
        <v>130</v>
      </c>
      <c r="L3" s="46" t="s">
        <v>131</v>
      </c>
      <c r="M3" s="47" t="s">
        <v>132</v>
      </c>
      <c r="N3" s="48" t="s">
        <v>133</v>
      </c>
      <c r="O3" s="49" t="s">
        <v>134</v>
      </c>
      <c r="P3" s="50" t="s">
        <v>134</v>
      </c>
      <c r="Q3" s="50" t="s">
        <v>134</v>
      </c>
      <c r="R3" s="51" t="s">
        <v>135</v>
      </c>
      <c r="S3" s="52" t="s">
        <v>135</v>
      </c>
      <c r="T3" s="53" t="s">
        <v>115</v>
      </c>
      <c r="U3" s="54" t="s">
        <v>136</v>
      </c>
      <c r="V3" s="54" t="s">
        <v>137</v>
      </c>
      <c r="W3" s="55" t="s">
        <v>138</v>
      </c>
    </row>
    <row r="4" spans="1:23" x14ac:dyDescent="0.25">
      <c r="A4" s="19" t="s">
        <v>139</v>
      </c>
      <c r="B4" s="56" t="s">
        <v>140</v>
      </c>
      <c r="C4" s="57" t="s">
        <v>141</v>
      </c>
      <c r="D4" s="23">
        <v>0</v>
      </c>
      <c r="E4" s="23">
        <v>4.8</v>
      </c>
      <c r="F4" s="23">
        <f>(E4-D4)</f>
        <v>4.8</v>
      </c>
      <c r="G4" s="23">
        <v>2.2999999999999998</v>
      </c>
      <c r="H4" s="23">
        <f>G4-D4</f>
        <v>2.2999999999999998</v>
      </c>
      <c r="I4" s="56" t="s">
        <v>142</v>
      </c>
      <c r="J4" s="56" t="s">
        <v>143</v>
      </c>
      <c r="K4" s="56" t="s">
        <v>144</v>
      </c>
      <c r="L4" s="58">
        <v>0</v>
      </c>
      <c r="M4" s="59"/>
      <c r="N4" s="60"/>
      <c r="O4" s="59">
        <f t="shared" ref="O4:O7" si="0">L4</f>
        <v>0</v>
      </c>
      <c r="P4" s="60">
        <v>1</v>
      </c>
      <c r="Q4" s="60">
        <v>1</v>
      </c>
      <c r="R4" s="61">
        <v>0</v>
      </c>
      <c r="S4" s="59">
        <f>O4-R4</f>
        <v>0</v>
      </c>
      <c r="T4" s="62">
        <f t="shared" ref="T4:T7" si="1">U4/$F4</f>
        <v>0</v>
      </c>
      <c r="U4" s="63">
        <f>P4*S4</f>
        <v>0</v>
      </c>
      <c r="V4" s="63">
        <f>U4</f>
        <v>0</v>
      </c>
      <c r="W4" s="59">
        <f>V4+U4</f>
        <v>0</v>
      </c>
    </row>
    <row r="5" spans="1:23" x14ac:dyDescent="0.25">
      <c r="B5" s="56" t="s">
        <v>140</v>
      </c>
      <c r="C5" s="57" t="s">
        <v>141</v>
      </c>
      <c r="D5" s="23">
        <v>4.8</v>
      </c>
      <c r="E5" s="23">
        <v>6.9</v>
      </c>
      <c r="F5" s="23">
        <f>(E5-D5)</f>
        <v>2.1000000000000005</v>
      </c>
      <c r="G5" s="23">
        <v>6.9</v>
      </c>
      <c r="H5" s="23">
        <f t="shared" ref="H5:H7" si="2">G5-D5</f>
        <v>2.1000000000000005</v>
      </c>
      <c r="I5" s="56" t="s">
        <v>142</v>
      </c>
      <c r="J5" s="56" t="s">
        <v>143</v>
      </c>
      <c r="K5" s="56" t="s">
        <v>144</v>
      </c>
      <c r="L5" s="58">
        <v>0</v>
      </c>
      <c r="M5" s="59"/>
      <c r="N5" s="60"/>
      <c r="O5" s="59">
        <f t="shared" si="0"/>
        <v>0</v>
      </c>
      <c r="P5" s="60">
        <v>1</v>
      </c>
      <c r="Q5" s="60">
        <v>1</v>
      </c>
      <c r="R5" s="61">
        <v>0</v>
      </c>
      <c r="S5" s="59">
        <f t="shared" ref="S5:S7" si="3">O5-R5</f>
        <v>0</v>
      </c>
      <c r="T5" s="62">
        <f t="shared" si="1"/>
        <v>0</v>
      </c>
      <c r="U5" s="63">
        <f>ROUND(+P5*S5,0)</f>
        <v>0</v>
      </c>
      <c r="V5" s="63">
        <f t="shared" ref="V5:V84" si="4">U5</f>
        <v>0</v>
      </c>
      <c r="W5" s="59">
        <f>V5+U5</f>
        <v>0</v>
      </c>
    </row>
    <row r="6" spans="1:23" x14ac:dyDescent="0.25">
      <c r="B6" s="56" t="s">
        <v>140</v>
      </c>
      <c r="C6" s="57" t="s">
        <v>141</v>
      </c>
      <c r="D6" s="23">
        <v>6.9</v>
      </c>
      <c r="E6" s="23">
        <v>7.8</v>
      </c>
      <c r="F6" s="23">
        <f t="shared" ref="F6:F7" si="5">(E6-D6)</f>
        <v>0.89999999999999947</v>
      </c>
      <c r="G6" s="23">
        <v>7.8</v>
      </c>
      <c r="H6" s="23">
        <f t="shared" si="2"/>
        <v>0.89999999999999947</v>
      </c>
      <c r="I6" s="56" t="s">
        <v>142</v>
      </c>
      <c r="J6" s="56" t="s">
        <v>143</v>
      </c>
      <c r="K6" s="56" t="s">
        <v>144</v>
      </c>
      <c r="L6" s="58">
        <v>0</v>
      </c>
      <c r="M6" s="59"/>
      <c r="N6" s="60"/>
      <c r="O6" s="59">
        <f t="shared" si="0"/>
        <v>0</v>
      </c>
      <c r="P6" s="60">
        <v>1</v>
      </c>
      <c r="Q6" s="60">
        <v>1</v>
      </c>
      <c r="R6" s="61">
        <v>0</v>
      </c>
      <c r="S6" s="59">
        <f t="shared" si="3"/>
        <v>0</v>
      </c>
      <c r="T6" s="62">
        <f t="shared" si="1"/>
        <v>0</v>
      </c>
      <c r="U6" s="63">
        <f t="shared" ref="U6:U7" si="6">ROUND(+P6*S6,0)</f>
        <v>0</v>
      </c>
      <c r="V6" s="63">
        <f t="shared" si="4"/>
        <v>0</v>
      </c>
      <c r="W6" s="59">
        <f>V6+U6</f>
        <v>0</v>
      </c>
    </row>
    <row r="7" spans="1:23" x14ac:dyDescent="0.25">
      <c r="B7" s="56" t="s">
        <v>140</v>
      </c>
      <c r="C7" s="57" t="s">
        <v>141</v>
      </c>
      <c r="D7" s="23">
        <v>7.8</v>
      </c>
      <c r="E7" s="23">
        <v>10.9</v>
      </c>
      <c r="F7" s="23">
        <f t="shared" si="5"/>
        <v>3.1000000000000005</v>
      </c>
      <c r="G7" s="23">
        <v>10.9</v>
      </c>
      <c r="H7" s="23">
        <f t="shared" si="2"/>
        <v>3.1000000000000005</v>
      </c>
      <c r="I7" s="56" t="s">
        <v>142</v>
      </c>
      <c r="J7" s="56" t="s">
        <v>143</v>
      </c>
      <c r="K7" s="56" t="s">
        <v>144</v>
      </c>
      <c r="L7" s="58">
        <v>0</v>
      </c>
      <c r="M7" s="59"/>
      <c r="N7" s="60"/>
      <c r="O7" s="59">
        <f t="shared" si="0"/>
        <v>0</v>
      </c>
      <c r="P7" s="60">
        <v>1</v>
      </c>
      <c r="Q7" s="60">
        <v>1</v>
      </c>
      <c r="R7" s="61">
        <v>0</v>
      </c>
      <c r="S7" s="59">
        <f t="shared" si="3"/>
        <v>0</v>
      </c>
      <c r="T7" s="62">
        <f t="shared" si="1"/>
        <v>0</v>
      </c>
      <c r="U7" s="63">
        <f t="shared" si="6"/>
        <v>0</v>
      </c>
      <c r="V7" s="63">
        <f t="shared" si="4"/>
        <v>0</v>
      </c>
      <c r="W7" s="59">
        <f t="shared" ref="W7:W27" si="7">V7+U7</f>
        <v>0</v>
      </c>
    </row>
    <row r="8" spans="1:23" x14ac:dyDescent="0.25">
      <c r="B8" s="56"/>
      <c r="C8" s="57"/>
      <c r="D8" s="23"/>
      <c r="E8" s="23"/>
      <c r="F8" s="23"/>
      <c r="G8" s="23"/>
      <c r="H8" s="23"/>
      <c r="I8" s="56"/>
      <c r="J8" s="56"/>
      <c r="K8" s="56"/>
      <c r="L8" s="64">
        <f>SUM(L4:L7)</f>
        <v>0</v>
      </c>
      <c r="M8" s="59"/>
      <c r="N8" s="60"/>
      <c r="O8" s="65">
        <f>SUM(O4:O7)</f>
        <v>0</v>
      </c>
      <c r="P8" s="60"/>
      <c r="Q8" s="60"/>
      <c r="R8" s="61"/>
      <c r="S8" s="59"/>
      <c r="T8" s="62"/>
      <c r="U8" s="63"/>
      <c r="V8" s="63"/>
      <c r="W8" s="65">
        <f>SUM(W4:W7)</f>
        <v>0</v>
      </c>
    </row>
    <row r="9" spans="1:23" x14ac:dyDescent="0.25">
      <c r="B9" s="56"/>
      <c r="C9" s="57"/>
      <c r="D9" s="23"/>
      <c r="E9" s="23"/>
      <c r="F9" s="23"/>
      <c r="G9" s="23"/>
      <c r="H9" s="23"/>
      <c r="I9" s="56"/>
      <c r="J9" s="56"/>
      <c r="K9" s="56"/>
      <c r="L9" s="58"/>
      <c r="M9" s="59"/>
      <c r="N9" s="60"/>
      <c r="O9" s="59"/>
      <c r="P9" s="60"/>
      <c r="Q9" s="60"/>
      <c r="R9" s="61"/>
      <c r="S9" s="59"/>
      <c r="T9" s="62"/>
      <c r="U9" s="63"/>
      <c r="V9" s="63"/>
      <c r="W9" s="59"/>
    </row>
    <row r="10" spans="1:23" x14ac:dyDescent="0.25">
      <c r="B10" s="56" t="s">
        <v>145</v>
      </c>
      <c r="C10" s="57" t="s">
        <v>141</v>
      </c>
      <c r="D10" s="23">
        <v>10.9</v>
      </c>
      <c r="E10" s="23">
        <v>11</v>
      </c>
      <c r="F10" s="23">
        <f>(E10-D10)</f>
        <v>9.9999999999999645E-2</v>
      </c>
      <c r="G10" s="23">
        <v>11</v>
      </c>
      <c r="H10" s="23">
        <f t="shared" ref="H10:H27" si="8">G10-D10</f>
        <v>9.9999999999999645E-2</v>
      </c>
      <c r="I10" s="56" t="s">
        <v>142</v>
      </c>
      <c r="J10" s="56" t="s">
        <v>143</v>
      </c>
      <c r="K10" s="56" t="s">
        <v>144</v>
      </c>
      <c r="L10" s="58">
        <v>0</v>
      </c>
      <c r="M10" s="59"/>
      <c r="N10" s="60"/>
      <c r="O10" s="59">
        <f>L10</f>
        <v>0</v>
      </c>
      <c r="P10" s="60">
        <v>1</v>
      </c>
      <c r="Q10" s="60">
        <v>1</v>
      </c>
      <c r="R10" s="61">
        <v>0</v>
      </c>
      <c r="S10" s="59">
        <f>O10-R10</f>
        <v>0</v>
      </c>
      <c r="T10" s="62">
        <f>U10/$F10</f>
        <v>0</v>
      </c>
      <c r="U10" s="63">
        <f>ROUND(+P10*S10,0)</f>
        <v>0</v>
      </c>
      <c r="V10" s="63">
        <f t="shared" si="4"/>
        <v>0</v>
      </c>
      <c r="W10" s="59">
        <f t="shared" si="7"/>
        <v>0</v>
      </c>
    </row>
    <row r="11" spans="1:23" x14ac:dyDescent="0.25">
      <c r="B11" s="56" t="s">
        <v>145</v>
      </c>
      <c r="C11" s="57" t="s">
        <v>141</v>
      </c>
      <c r="D11" s="23">
        <v>11</v>
      </c>
      <c r="E11" s="23">
        <v>12.3</v>
      </c>
      <c r="F11" s="23">
        <f>(E11-D11)</f>
        <v>1.3000000000000007</v>
      </c>
      <c r="G11" s="23">
        <v>12.3</v>
      </c>
      <c r="H11" s="23">
        <f t="shared" si="8"/>
        <v>1.3000000000000007</v>
      </c>
      <c r="I11" s="56" t="s">
        <v>142</v>
      </c>
      <c r="J11" s="56" t="s">
        <v>143</v>
      </c>
      <c r="K11" s="56" t="s">
        <v>144</v>
      </c>
      <c r="L11" s="58">
        <v>1</v>
      </c>
      <c r="M11" s="59"/>
      <c r="N11" s="60"/>
      <c r="O11" s="59">
        <f>L11</f>
        <v>1</v>
      </c>
      <c r="P11" s="60">
        <v>1</v>
      </c>
      <c r="Q11" s="60">
        <v>1</v>
      </c>
      <c r="R11" s="61">
        <v>0</v>
      </c>
      <c r="S11" s="59">
        <f>O11-R11</f>
        <v>1</v>
      </c>
      <c r="T11" s="62">
        <f>U11/$F11</f>
        <v>0.76923076923076883</v>
      </c>
      <c r="U11" s="63">
        <f>ROUND(+P11*S11,0)</f>
        <v>1</v>
      </c>
      <c r="V11" s="63">
        <f t="shared" si="4"/>
        <v>1</v>
      </c>
      <c r="W11" s="59">
        <f t="shared" si="7"/>
        <v>2</v>
      </c>
    </row>
    <row r="12" spans="1:23" x14ac:dyDescent="0.25">
      <c r="B12" s="56" t="s">
        <v>145</v>
      </c>
      <c r="C12" s="57" t="s">
        <v>141</v>
      </c>
      <c r="D12" s="23">
        <v>12.3</v>
      </c>
      <c r="E12" s="23">
        <v>13.6</v>
      </c>
      <c r="F12" s="23">
        <f>(E12-D12)</f>
        <v>1.2999999999999989</v>
      </c>
      <c r="G12" s="23">
        <v>13.6</v>
      </c>
      <c r="H12" s="23">
        <f t="shared" si="8"/>
        <v>1.2999999999999989</v>
      </c>
      <c r="I12" s="56" t="s">
        <v>142</v>
      </c>
      <c r="J12" s="56" t="s">
        <v>143</v>
      </c>
      <c r="K12" s="56" t="s">
        <v>144</v>
      </c>
      <c r="L12" s="58">
        <v>0</v>
      </c>
      <c r="M12" s="59"/>
      <c r="N12" s="60"/>
      <c r="O12" s="59">
        <f>L12</f>
        <v>0</v>
      </c>
      <c r="P12" s="60">
        <v>1</v>
      </c>
      <c r="Q12" s="60">
        <v>1</v>
      </c>
      <c r="R12" s="61">
        <v>0</v>
      </c>
      <c r="S12" s="59">
        <f>O12-R12</f>
        <v>0</v>
      </c>
      <c r="T12" s="62">
        <f>U12/$F12</f>
        <v>0</v>
      </c>
      <c r="U12" s="63">
        <f>ROUND(+P12*S12,0)</f>
        <v>0</v>
      </c>
      <c r="V12" s="63">
        <f t="shared" si="4"/>
        <v>0</v>
      </c>
      <c r="W12" s="59">
        <f t="shared" si="7"/>
        <v>0</v>
      </c>
    </row>
    <row r="13" spans="1:23" x14ac:dyDescent="0.25">
      <c r="B13" s="56" t="s">
        <v>145</v>
      </c>
      <c r="C13" s="57" t="s">
        <v>141</v>
      </c>
      <c r="D13" s="23">
        <v>13.6</v>
      </c>
      <c r="E13" s="23">
        <v>14.5</v>
      </c>
      <c r="F13" s="23">
        <f t="shared" ref="F13:F27" si="9">(E13-D13)</f>
        <v>0.90000000000000036</v>
      </c>
      <c r="G13" s="23">
        <v>14.5</v>
      </c>
      <c r="H13" s="23">
        <f t="shared" si="8"/>
        <v>0.90000000000000036</v>
      </c>
      <c r="I13" s="56" t="s">
        <v>142</v>
      </c>
      <c r="J13" s="56" t="s">
        <v>143</v>
      </c>
      <c r="K13" s="56" t="s">
        <v>144</v>
      </c>
      <c r="L13" s="58">
        <v>0</v>
      </c>
      <c r="M13" s="59"/>
      <c r="N13" s="60"/>
      <c r="O13" s="59">
        <f t="shared" ref="O13:O27" si="10">L13</f>
        <v>0</v>
      </c>
      <c r="P13" s="60">
        <v>1</v>
      </c>
      <c r="Q13" s="60">
        <v>1</v>
      </c>
      <c r="R13" s="61">
        <v>0</v>
      </c>
      <c r="S13" s="59">
        <f t="shared" ref="S13:S27" si="11">O13-R13</f>
        <v>0</v>
      </c>
      <c r="T13" s="62">
        <f t="shared" ref="T13:T64" si="12">U13/$F13</f>
        <v>0</v>
      </c>
      <c r="U13" s="63">
        <f>ROUND(+P13*S13,0)</f>
        <v>0</v>
      </c>
      <c r="V13" s="63">
        <f>U13</f>
        <v>0</v>
      </c>
      <c r="W13" s="59">
        <f t="shared" si="7"/>
        <v>0</v>
      </c>
    </row>
    <row r="14" spans="1:23" x14ac:dyDescent="0.25">
      <c r="B14" s="56" t="s">
        <v>145</v>
      </c>
      <c r="C14" s="57" t="s">
        <v>141</v>
      </c>
      <c r="D14" s="23">
        <v>14.5</v>
      </c>
      <c r="E14" s="23">
        <v>16.3</v>
      </c>
      <c r="F14" s="23">
        <f t="shared" si="9"/>
        <v>1.8000000000000007</v>
      </c>
      <c r="G14" s="23">
        <v>16.3</v>
      </c>
      <c r="H14" s="23">
        <f t="shared" si="8"/>
        <v>1.8000000000000007</v>
      </c>
      <c r="I14" s="56" t="s">
        <v>142</v>
      </c>
      <c r="J14" s="56" t="s">
        <v>143</v>
      </c>
      <c r="K14" s="56" t="s">
        <v>144</v>
      </c>
      <c r="L14" s="58">
        <v>1</v>
      </c>
      <c r="M14" s="59"/>
      <c r="N14" s="60"/>
      <c r="O14" s="59">
        <f t="shared" si="10"/>
        <v>1</v>
      </c>
      <c r="P14" s="60">
        <v>1</v>
      </c>
      <c r="Q14" s="60">
        <v>1</v>
      </c>
      <c r="R14" s="61">
        <v>0</v>
      </c>
      <c r="S14" s="59">
        <f t="shared" si="11"/>
        <v>1</v>
      </c>
      <c r="T14" s="62">
        <f t="shared" si="12"/>
        <v>0.55555555555555536</v>
      </c>
      <c r="U14" s="63">
        <f t="shared" ref="U14:U27" si="13">ROUND(+P14*S14,0)</f>
        <v>1</v>
      </c>
      <c r="V14" s="63">
        <f t="shared" si="4"/>
        <v>1</v>
      </c>
      <c r="W14" s="59">
        <f t="shared" si="7"/>
        <v>2</v>
      </c>
    </row>
    <row r="15" spans="1:23" x14ac:dyDescent="0.25">
      <c r="B15" s="56" t="s">
        <v>145</v>
      </c>
      <c r="C15" s="57" t="s">
        <v>141</v>
      </c>
      <c r="D15" s="23">
        <v>16.3</v>
      </c>
      <c r="E15" s="23">
        <v>18.5</v>
      </c>
      <c r="F15" s="23">
        <f t="shared" si="9"/>
        <v>2.1999999999999993</v>
      </c>
      <c r="G15" s="23">
        <v>18.5</v>
      </c>
      <c r="H15" s="23">
        <f t="shared" si="8"/>
        <v>2.1999999999999993</v>
      </c>
      <c r="I15" s="56" t="s">
        <v>142</v>
      </c>
      <c r="J15" s="56" t="s">
        <v>143</v>
      </c>
      <c r="K15" s="56" t="s">
        <v>144</v>
      </c>
      <c r="L15" s="58">
        <v>3</v>
      </c>
      <c r="M15" s="59"/>
      <c r="N15" s="60"/>
      <c r="O15" s="59">
        <f t="shared" si="10"/>
        <v>3</v>
      </c>
      <c r="P15" s="60">
        <v>1</v>
      </c>
      <c r="Q15" s="60">
        <v>1</v>
      </c>
      <c r="R15" s="61">
        <v>0</v>
      </c>
      <c r="S15" s="59">
        <f t="shared" si="11"/>
        <v>3</v>
      </c>
      <c r="T15" s="62">
        <f t="shared" si="12"/>
        <v>1.363636363636364</v>
      </c>
      <c r="U15" s="63">
        <f t="shared" si="13"/>
        <v>3</v>
      </c>
      <c r="V15" s="63">
        <f t="shared" si="4"/>
        <v>3</v>
      </c>
      <c r="W15" s="59">
        <f t="shared" si="7"/>
        <v>6</v>
      </c>
    </row>
    <row r="16" spans="1:23" x14ac:dyDescent="0.25">
      <c r="B16" s="56" t="s">
        <v>145</v>
      </c>
      <c r="C16" s="57" t="s">
        <v>141</v>
      </c>
      <c r="D16" s="23">
        <v>18.5</v>
      </c>
      <c r="E16" s="23">
        <v>19.600000000000001</v>
      </c>
      <c r="F16" s="23">
        <f t="shared" si="9"/>
        <v>1.1000000000000014</v>
      </c>
      <c r="G16" s="23">
        <v>19.600000000000001</v>
      </c>
      <c r="H16" s="23">
        <f t="shared" si="8"/>
        <v>1.1000000000000014</v>
      </c>
      <c r="I16" s="56" t="s">
        <v>142</v>
      </c>
      <c r="J16" s="56" t="s">
        <v>143</v>
      </c>
      <c r="K16" s="56" t="s">
        <v>144</v>
      </c>
      <c r="L16" s="58">
        <v>0</v>
      </c>
      <c r="M16" s="59"/>
      <c r="N16" s="60"/>
      <c r="O16" s="59">
        <f t="shared" si="10"/>
        <v>0</v>
      </c>
      <c r="P16" s="60">
        <v>1</v>
      </c>
      <c r="Q16" s="60">
        <v>1</v>
      </c>
      <c r="R16" s="61">
        <v>0</v>
      </c>
      <c r="S16" s="59">
        <f t="shared" si="11"/>
        <v>0</v>
      </c>
      <c r="T16" s="62">
        <f t="shared" si="12"/>
        <v>0</v>
      </c>
      <c r="U16" s="63">
        <f t="shared" si="13"/>
        <v>0</v>
      </c>
      <c r="V16" s="63">
        <f t="shared" si="4"/>
        <v>0</v>
      </c>
      <c r="W16" s="59">
        <f t="shared" si="7"/>
        <v>0</v>
      </c>
    </row>
    <row r="17" spans="2:26" x14ac:dyDescent="0.25">
      <c r="B17" s="56" t="s">
        <v>145</v>
      </c>
      <c r="C17" s="57" t="s">
        <v>141</v>
      </c>
      <c r="D17" s="23">
        <v>19.600000000000001</v>
      </c>
      <c r="E17" s="23">
        <v>20.8</v>
      </c>
      <c r="F17" s="23">
        <f t="shared" si="9"/>
        <v>1.1999999999999993</v>
      </c>
      <c r="G17" s="23">
        <v>20.8</v>
      </c>
      <c r="H17" s="23">
        <f t="shared" si="8"/>
        <v>1.1999999999999993</v>
      </c>
      <c r="I17" s="56" t="s">
        <v>142</v>
      </c>
      <c r="J17" s="56" t="s">
        <v>143</v>
      </c>
      <c r="K17" s="56" t="s">
        <v>144</v>
      </c>
      <c r="L17" s="58">
        <v>10</v>
      </c>
      <c r="M17" s="59"/>
      <c r="N17" s="60"/>
      <c r="O17" s="59">
        <f t="shared" si="10"/>
        <v>10</v>
      </c>
      <c r="P17" s="60">
        <v>1</v>
      </c>
      <c r="Q17" s="60">
        <v>1</v>
      </c>
      <c r="R17" s="61">
        <v>0</v>
      </c>
      <c r="S17" s="59">
        <f t="shared" si="11"/>
        <v>10</v>
      </c>
      <c r="T17" s="62">
        <f t="shared" si="12"/>
        <v>8.3333333333333375</v>
      </c>
      <c r="U17" s="63">
        <f t="shared" si="13"/>
        <v>10</v>
      </c>
      <c r="V17" s="63">
        <f t="shared" si="4"/>
        <v>10</v>
      </c>
      <c r="W17" s="59">
        <f t="shared" si="7"/>
        <v>20</v>
      </c>
    </row>
    <row r="18" spans="2:26" x14ac:dyDescent="0.25">
      <c r="B18" s="56" t="s">
        <v>145</v>
      </c>
      <c r="C18" s="57" t="s">
        <v>141</v>
      </c>
      <c r="D18" s="23">
        <v>20.8</v>
      </c>
      <c r="E18" s="23">
        <v>23.1</v>
      </c>
      <c r="F18" s="23">
        <f t="shared" si="9"/>
        <v>2.3000000000000007</v>
      </c>
      <c r="G18" s="23">
        <v>23.1</v>
      </c>
      <c r="H18" s="23">
        <f t="shared" si="8"/>
        <v>2.3000000000000007</v>
      </c>
      <c r="I18" s="56" t="s">
        <v>142</v>
      </c>
      <c r="J18" s="56" t="s">
        <v>143</v>
      </c>
      <c r="K18" s="56" t="s">
        <v>144</v>
      </c>
      <c r="L18" s="58">
        <v>3</v>
      </c>
      <c r="M18" s="59"/>
      <c r="N18" s="60"/>
      <c r="O18" s="59">
        <f t="shared" si="10"/>
        <v>3</v>
      </c>
      <c r="P18" s="60">
        <v>1</v>
      </c>
      <c r="Q18" s="60">
        <v>1</v>
      </c>
      <c r="R18" s="61">
        <v>0</v>
      </c>
      <c r="S18" s="59">
        <f t="shared" si="11"/>
        <v>3</v>
      </c>
      <c r="T18" s="62">
        <f t="shared" si="12"/>
        <v>1.3043478260869561</v>
      </c>
      <c r="U18" s="63">
        <f t="shared" si="13"/>
        <v>3</v>
      </c>
      <c r="V18" s="63">
        <f t="shared" si="4"/>
        <v>3</v>
      </c>
      <c r="W18" s="59">
        <f t="shared" si="7"/>
        <v>6</v>
      </c>
    </row>
    <row r="19" spans="2:26" x14ac:dyDescent="0.25">
      <c r="B19" s="56" t="s">
        <v>145</v>
      </c>
      <c r="C19" s="57" t="s">
        <v>141</v>
      </c>
      <c r="D19" s="23">
        <v>23.1</v>
      </c>
      <c r="E19" s="23">
        <v>27</v>
      </c>
      <c r="F19" s="23">
        <f t="shared" si="9"/>
        <v>3.8999999999999986</v>
      </c>
      <c r="G19" s="23">
        <v>27</v>
      </c>
      <c r="H19" s="23">
        <f t="shared" si="8"/>
        <v>3.8999999999999986</v>
      </c>
      <c r="I19" s="56" t="s">
        <v>142</v>
      </c>
      <c r="J19" s="56" t="s">
        <v>143</v>
      </c>
      <c r="K19" s="56" t="s">
        <v>144</v>
      </c>
      <c r="L19" s="58">
        <v>53</v>
      </c>
      <c r="M19" s="59"/>
      <c r="N19" s="60"/>
      <c r="O19" s="59">
        <f t="shared" si="10"/>
        <v>53</v>
      </c>
      <c r="P19" s="60">
        <v>1</v>
      </c>
      <c r="Q19" s="60">
        <v>1</v>
      </c>
      <c r="R19" s="61">
        <v>0</v>
      </c>
      <c r="S19" s="59">
        <f t="shared" si="11"/>
        <v>53</v>
      </c>
      <c r="T19" s="62">
        <f t="shared" si="12"/>
        <v>13.589743589743595</v>
      </c>
      <c r="U19" s="63">
        <f t="shared" si="13"/>
        <v>53</v>
      </c>
      <c r="V19" s="63">
        <f t="shared" si="4"/>
        <v>53</v>
      </c>
      <c r="W19" s="59">
        <f t="shared" si="7"/>
        <v>106</v>
      </c>
    </row>
    <row r="20" spans="2:26" x14ac:dyDescent="0.25">
      <c r="B20" s="56" t="s">
        <v>145</v>
      </c>
      <c r="C20" s="57" t="s">
        <v>141</v>
      </c>
      <c r="D20" s="23">
        <v>27</v>
      </c>
      <c r="E20" s="23">
        <v>27.3</v>
      </c>
      <c r="F20" s="23">
        <f t="shared" si="9"/>
        <v>0.30000000000000071</v>
      </c>
      <c r="G20" s="23">
        <v>27.3</v>
      </c>
      <c r="H20" s="23">
        <f t="shared" si="8"/>
        <v>0.30000000000000071</v>
      </c>
      <c r="I20" s="56" t="s">
        <v>142</v>
      </c>
      <c r="J20" s="56" t="s">
        <v>143</v>
      </c>
      <c r="K20" s="56" t="s">
        <v>144</v>
      </c>
      <c r="L20" s="58">
        <v>5</v>
      </c>
      <c r="M20" s="59"/>
      <c r="N20" s="60"/>
      <c r="O20" s="59">
        <f t="shared" si="10"/>
        <v>5</v>
      </c>
      <c r="P20" s="60">
        <v>1</v>
      </c>
      <c r="Q20" s="60">
        <v>1</v>
      </c>
      <c r="R20" s="61">
        <v>0</v>
      </c>
      <c r="S20" s="59">
        <f t="shared" si="11"/>
        <v>5</v>
      </c>
      <c r="T20" s="62">
        <f t="shared" si="12"/>
        <v>16.666666666666629</v>
      </c>
      <c r="U20" s="63">
        <f t="shared" si="13"/>
        <v>5</v>
      </c>
      <c r="V20" s="63">
        <f t="shared" si="4"/>
        <v>5</v>
      </c>
      <c r="W20" s="59">
        <f t="shared" si="7"/>
        <v>10</v>
      </c>
    </row>
    <row r="21" spans="2:26" x14ac:dyDescent="0.25">
      <c r="B21" s="56" t="s">
        <v>145</v>
      </c>
      <c r="C21" s="57" t="s">
        <v>141</v>
      </c>
      <c r="D21" s="23">
        <v>27.3</v>
      </c>
      <c r="E21" s="23">
        <v>27.8</v>
      </c>
      <c r="F21" s="23">
        <f t="shared" si="9"/>
        <v>0.5</v>
      </c>
      <c r="G21" s="23">
        <v>27.8</v>
      </c>
      <c r="H21" s="23">
        <f t="shared" si="8"/>
        <v>0.5</v>
      </c>
      <c r="I21" s="56" t="s">
        <v>142</v>
      </c>
      <c r="J21" s="66" t="s">
        <v>146</v>
      </c>
      <c r="K21" s="56" t="s">
        <v>144</v>
      </c>
      <c r="L21" s="58">
        <v>12</v>
      </c>
      <c r="M21" s="59"/>
      <c r="N21" s="60"/>
      <c r="O21" s="59">
        <f t="shared" si="10"/>
        <v>12</v>
      </c>
      <c r="P21" s="60">
        <v>1</v>
      </c>
      <c r="Q21" s="60">
        <v>1</v>
      </c>
      <c r="R21" s="61">
        <v>0</v>
      </c>
      <c r="S21" s="59">
        <f t="shared" si="11"/>
        <v>12</v>
      </c>
      <c r="T21" s="62">
        <f t="shared" si="12"/>
        <v>24</v>
      </c>
      <c r="U21" s="63">
        <f t="shared" si="13"/>
        <v>12</v>
      </c>
      <c r="V21" s="63">
        <f t="shared" si="4"/>
        <v>12</v>
      </c>
      <c r="W21" s="59">
        <f t="shared" si="7"/>
        <v>24</v>
      </c>
    </row>
    <row r="22" spans="2:26" x14ac:dyDescent="0.25">
      <c r="B22" s="56" t="s">
        <v>145</v>
      </c>
      <c r="C22" s="57" t="s">
        <v>141</v>
      </c>
      <c r="D22" s="23">
        <v>27.8</v>
      </c>
      <c r="E22" s="23">
        <v>28.8</v>
      </c>
      <c r="F22" s="23">
        <f t="shared" si="9"/>
        <v>1</v>
      </c>
      <c r="G22" s="23">
        <v>28.8</v>
      </c>
      <c r="H22" s="23">
        <f t="shared" si="8"/>
        <v>1</v>
      </c>
      <c r="I22" s="56" t="s">
        <v>142</v>
      </c>
      <c r="J22" s="66" t="s">
        <v>146</v>
      </c>
      <c r="K22" s="56" t="s">
        <v>144</v>
      </c>
      <c r="L22" s="58">
        <v>39</v>
      </c>
      <c r="M22" s="59"/>
      <c r="N22" s="60"/>
      <c r="O22" s="59">
        <f t="shared" si="10"/>
        <v>39</v>
      </c>
      <c r="P22" s="60">
        <v>1</v>
      </c>
      <c r="Q22" s="60">
        <v>1</v>
      </c>
      <c r="R22" s="61">
        <v>0</v>
      </c>
      <c r="S22" s="59">
        <f t="shared" si="11"/>
        <v>39</v>
      </c>
      <c r="T22" s="62">
        <f t="shared" si="12"/>
        <v>39</v>
      </c>
      <c r="U22" s="63">
        <f t="shared" si="13"/>
        <v>39</v>
      </c>
      <c r="V22" s="63">
        <f t="shared" si="4"/>
        <v>39</v>
      </c>
      <c r="W22" s="59">
        <f t="shared" si="7"/>
        <v>78</v>
      </c>
    </row>
    <row r="23" spans="2:26" x14ac:dyDescent="0.25">
      <c r="B23" s="56" t="s">
        <v>145</v>
      </c>
      <c r="C23" s="57" t="s">
        <v>141</v>
      </c>
      <c r="D23" s="23">
        <v>28.8</v>
      </c>
      <c r="E23" s="23">
        <v>29.6</v>
      </c>
      <c r="F23" s="23">
        <f t="shared" si="9"/>
        <v>0.80000000000000071</v>
      </c>
      <c r="G23" s="23">
        <v>29.6</v>
      </c>
      <c r="H23" s="23">
        <f t="shared" si="8"/>
        <v>0.80000000000000071</v>
      </c>
      <c r="I23" s="56" t="s">
        <v>142</v>
      </c>
      <c r="J23" s="66" t="s">
        <v>146</v>
      </c>
      <c r="K23" s="56" t="s">
        <v>144</v>
      </c>
      <c r="L23" s="58">
        <v>38</v>
      </c>
      <c r="M23" s="59"/>
      <c r="N23" s="60"/>
      <c r="O23" s="59">
        <f t="shared" si="10"/>
        <v>38</v>
      </c>
      <c r="P23" s="60">
        <v>1</v>
      </c>
      <c r="Q23" s="60">
        <v>1</v>
      </c>
      <c r="R23" s="61">
        <v>0</v>
      </c>
      <c r="S23" s="59">
        <f t="shared" si="11"/>
        <v>38</v>
      </c>
      <c r="T23" s="62">
        <f t="shared" si="12"/>
        <v>47.499999999999957</v>
      </c>
      <c r="U23" s="63">
        <f t="shared" si="13"/>
        <v>38</v>
      </c>
      <c r="V23" s="63">
        <f t="shared" si="4"/>
        <v>38</v>
      </c>
      <c r="W23" s="59">
        <f t="shared" si="7"/>
        <v>76</v>
      </c>
    </row>
    <row r="24" spans="2:26" x14ac:dyDescent="0.25">
      <c r="B24" s="56" t="s">
        <v>145</v>
      </c>
      <c r="C24" s="57" t="s">
        <v>141</v>
      </c>
      <c r="D24" s="23">
        <v>29.6</v>
      </c>
      <c r="E24" s="23">
        <v>30.3</v>
      </c>
      <c r="F24" s="23">
        <f t="shared" si="9"/>
        <v>0.69999999999999929</v>
      </c>
      <c r="G24" s="23">
        <v>30.3</v>
      </c>
      <c r="H24" s="23">
        <f t="shared" si="8"/>
        <v>0.69999999999999929</v>
      </c>
      <c r="I24" s="56" t="s">
        <v>142</v>
      </c>
      <c r="J24" s="66" t="s">
        <v>146</v>
      </c>
      <c r="K24" s="56" t="s">
        <v>144</v>
      </c>
      <c r="L24" s="58">
        <v>32</v>
      </c>
      <c r="M24" s="59"/>
      <c r="N24" s="60"/>
      <c r="O24" s="59">
        <f t="shared" si="10"/>
        <v>32</v>
      </c>
      <c r="P24" s="60">
        <v>1</v>
      </c>
      <c r="Q24" s="60">
        <v>1</v>
      </c>
      <c r="R24" s="61">
        <v>0</v>
      </c>
      <c r="S24" s="59">
        <f t="shared" si="11"/>
        <v>32</v>
      </c>
      <c r="T24" s="62">
        <f t="shared" si="12"/>
        <v>45.714285714285758</v>
      </c>
      <c r="U24" s="63">
        <f t="shared" si="13"/>
        <v>32</v>
      </c>
      <c r="V24" s="63">
        <f t="shared" si="4"/>
        <v>32</v>
      </c>
      <c r="W24" s="59">
        <f t="shared" si="7"/>
        <v>64</v>
      </c>
    </row>
    <row r="25" spans="2:26" ht="14.1" customHeight="1" x14ac:dyDescent="0.25">
      <c r="B25" s="56" t="s">
        <v>145</v>
      </c>
      <c r="C25" s="57" t="s">
        <v>141</v>
      </c>
      <c r="D25" s="23">
        <v>30.3</v>
      </c>
      <c r="E25" s="23">
        <v>31.3</v>
      </c>
      <c r="F25" s="23">
        <f t="shared" si="9"/>
        <v>1</v>
      </c>
      <c r="G25" s="23">
        <v>31.3</v>
      </c>
      <c r="H25" s="23">
        <f t="shared" si="8"/>
        <v>1</v>
      </c>
      <c r="I25" s="56" t="s">
        <v>142</v>
      </c>
      <c r="J25" s="66" t="s">
        <v>147</v>
      </c>
      <c r="K25" s="56" t="s">
        <v>144</v>
      </c>
      <c r="L25" s="58">
        <v>26</v>
      </c>
      <c r="M25" s="59"/>
      <c r="N25" s="60"/>
      <c r="O25" s="59">
        <f t="shared" si="10"/>
        <v>26</v>
      </c>
      <c r="P25" s="60">
        <v>1</v>
      </c>
      <c r="Q25" s="60">
        <v>1</v>
      </c>
      <c r="R25" s="61">
        <v>0</v>
      </c>
      <c r="S25" s="59">
        <f t="shared" si="11"/>
        <v>26</v>
      </c>
      <c r="T25" s="62">
        <f t="shared" si="12"/>
        <v>26</v>
      </c>
      <c r="U25" s="63">
        <f t="shared" si="13"/>
        <v>26</v>
      </c>
      <c r="V25" s="63">
        <f t="shared" si="4"/>
        <v>26</v>
      </c>
      <c r="W25" s="59">
        <f t="shared" si="7"/>
        <v>52</v>
      </c>
    </row>
    <row r="26" spans="2:26" x14ac:dyDescent="0.25">
      <c r="B26" s="56" t="s">
        <v>145</v>
      </c>
      <c r="C26" s="57" t="s">
        <v>141</v>
      </c>
      <c r="D26" s="23">
        <v>31.3</v>
      </c>
      <c r="E26" s="23">
        <v>32</v>
      </c>
      <c r="F26" s="23">
        <f t="shared" si="9"/>
        <v>0.69999999999999929</v>
      </c>
      <c r="G26" s="23">
        <v>32</v>
      </c>
      <c r="H26" s="23">
        <f t="shared" si="8"/>
        <v>0.69999999999999929</v>
      </c>
      <c r="I26" s="56" t="s">
        <v>142</v>
      </c>
      <c r="J26" s="66" t="s">
        <v>147</v>
      </c>
      <c r="K26" s="56" t="s">
        <v>144</v>
      </c>
      <c r="L26" s="58">
        <v>7</v>
      </c>
      <c r="M26" s="59"/>
      <c r="N26" s="60"/>
      <c r="O26" s="59">
        <f t="shared" si="10"/>
        <v>7</v>
      </c>
      <c r="P26" s="60">
        <v>1</v>
      </c>
      <c r="Q26" s="60">
        <v>1</v>
      </c>
      <c r="R26" s="61">
        <v>0</v>
      </c>
      <c r="S26" s="59">
        <f t="shared" si="11"/>
        <v>7</v>
      </c>
      <c r="T26" s="62">
        <f t="shared" si="12"/>
        <v>10.000000000000011</v>
      </c>
      <c r="U26" s="63">
        <f t="shared" si="13"/>
        <v>7</v>
      </c>
      <c r="V26" s="63">
        <f t="shared" si="4"/>
        <v>7</v>
      </c>
      <c r="W26" s="59">
        <f t="shared" si="7"/>
        <v>14</v>
      </c>
    </row>
    <row r="27" spans="2:26" x14ac:dyDescent="0.25">
      <c r="B27" s="56" t="s">
        <v>145</v>
      </c>
      <c r="C27" s="57" t="s">
        <v>141</v>
      </c>
      <c r="D27" s="23">
        <v>32</v>
      </c>
      <c r="E27" s="23">
        <v>33.700000000000003</v>
      </c>
      <c r="F27" s="23">
        <f t="shared" si="9"/>
        <v>1.7000000000000028</v>
      </c>
      <c r="G27" s="23">
        <v>33.700000000000003</v>
      </c>
      <c r="H27" s="23">
        <f t="shared" si="8"/>
        <v>1.7000000000000028</v>
      </c>
      <c r="I27" s="56" t="s">
        <v>142</v>
      </c>
      <c r="J27" s="66" t="s">
        <v>147</v>
      </c>
      <c r="K27" s="56" t="s">
        <v>144</v>
      </c>
      <c r="L27" s="58">
        <v>9</v>
      </c>
      <c r="M27" s="59"/>
      <c r="N27" s="60"/>
      <c r="O27" s="59">
        <f t="shared" si="10"/>
        <v>9</v>
      </c>
      <c r="P27" s="60">
        <v>1</v>
      </c>
      <c r="Q27" s="60">
        <v>1</v>
      </c>
      <c r="R27" s="61">
        <v>0</v>
      </c>
      <c r="S27" s="59">
        <f t="shared" si="11"/>
        <v>9</v>
      </c>
      <c r="T27" s="62">
        <f t="shared" si="12"/>
        <v>5.2941176470588145</v>
      </c>
      <c r="U27" s="63">
        <f t="shared" si="13"/>
        <v>9</v>
      </c>
      <c r="V27" s="63">
        <f t="shared" si="4"/>
        <v>9</v>
      </c>
      <c r="W27" s="59">
        <f t="shared" si="7"/>
        <v>18</v>
      </c>
    </row>
    <row r="28" spans="2:26" x14ac:dyDescent="0.25">
      <c r="B28" s="56"/>
      <c r="C28" s="57"/>
      <c r="D28" s="23"/>
      <c r="E28" s="23"/>
      <c r="F28" s="23"/>
      <c r="G28" s="23"/>
      <c r="H28" s="23"/>
      <c r="I28" s="56"/>
      <c r="J28" s="66"/>
      <c r="K28" s="56"/>
      <c r="L28" s="64">
        <f>SUM(L10:L27)</f>
        <v>239</v>
      </c>
      <c r="M28" s="59"/>
      <c r="N28" s="60"/>
      <c r="O28" s="65">
        <f>SUM(O10:O27)</f>
        <v>239</v>
      </c>
      <c r="P28" s="60"/>
      <c r="Q28" s="60"/>
      <c r="R28" s="61"/>
      <c r="S28" s="59"/>
      <c r="T28" s="62"/>
      <c r="U28" s="63"/>
      <c r="V28" s="63"/>
      <c r="W28" s="65">
        <f>SUM(W10:W27)</f>
        <v>478</v>
      </c>
    </row>
    <row r="29" spans="2:26" x14ac:dyDescent="0.25">
      <c r="B29" s="56"/>
      <c r="C29" s="57"/>
      <c r="D29" s="23"/>
      <c r="E29" s="23"/>
      <c r="F29" s="23"/>
      <c r="G29" s="23"/>
      <c r="H29" s="23"/>
      <c r="I29" s="56"/>
      <c r="J29" s="66"/>
      <c r="K29" s="56"/>
      <c r="L29" s="58"/>
      <c r="M29" s="59"/>
      <c r="N29" s="60"/>
      <c r="O29" s="59"/>
      <c r="P29" s="60"/>
      <c r="Q29" s="60"/>
      <c r="R29" s="61"/>
      <c r="S29" s="59"/>
      <c r="T29" s="62"/>
      <c r="U29" s="63"/>
      <c r="V29" s="63"/>
      <c r="W29" s="59"/>
    </row>
    <row r="30" spans="2:26" x14ac:dyDescent="0.25">
      <c r="B30" s="67" t="s">
        <v>145</v>
      </c>
      <c r="C30" s="68" t="s">
        <v>141</v>
      </c>
      <c r="D30" s="69">
        <v>33.700000000000003</v>
      </c>
      <c r="E30" s="69">
        <v>34.5</v>
      </c>
      <c r="F30" s="69">
        <f t="shared" ref="F30:F31" si="14">(E30-D30)</f>
        <v>0.79999999999999716</v>
      </c>
      <c r="G30" s="69">
        <v>34.1</v>
      </c>
      <c r="H30" s="69">
        <f t="shared" ref="H30:H31" si="15">G30-D30</f>
        <v>0.39999999999999858</v>
      </c>
      <c r="I30" s="67" t="s">
        <v>142</v>
      </c>
      <c r="J30" s="67" t="s">
        <v>147</v>
      </c>
      <c r="K30" s="67" t="s">
        <v>132</v>
      </c>
      <c r="L30" s="70"/>
      <c r="M30" s="71">
        <f>O28*(4/133)</f>
        <v>7.1879699248120295</v>
      </c>
      <c r="N30" s="72"/>
      <c r="O30" s="71">
        <f>ROUND(IF(N30&lt;0.2,M30,IF(N30&gt;=0.2,M30/N30)),0)</f>
        <v>7</v>
      </c>
      <c r="P30" s="72">
        <v>1</v>
      </c>
      <c r="Q30" s="72">
        <v>1</v>
      </c>
      <c r="R30" s="73">
        <v>0</v>
      </c>
      <c r="S30" s="71">
        <f t="shared" ref="S30:S31" si="16">O30-R30</f>
        <v>7</v>
      </c>
      <c r="T30" s="74">
        <f t="shared" ref="T30:T31" si="17">U30/$F30</f>
        <v>8.750000000000032</v>
      </c>
      <c r="U30" s="75">
        <f t="shared" ref="U30:U31" si="18">ROUND(+P30*S30,0)</f>
        <v>7</v>
      </c>
      <c r="V30" s="75">
        <f t="shared" ref="V30:V31" si="19">U30</f>
        <v>7</v>
      </c>
      <c r="W30" s="71">
        <f t="shared" ref="W30:W31" si="20">V30+U30</f>
        <v>14</v>
      </c>
      <c r="Y30" s="76">
        <v>44579</v>
      </c>
      <c r="Z30" s="19" t="s">
        <v>148</v>
      </c>
    </row>
    <row r="31" spans="2:26" x14ac:dyDescent="0.25">
      <c r="B31" s="77" t="s">
        <v>145</v>
      </c>
      <c r="C31" s="78" t="s">
        <v>141</v>
      </c>
      <c r="D31" s="79">
        <v>34.5</v>
      </c>
      <c r="E31" s="79">
        <v>34.9</v>
      </c>
      <c r="F31" s="79">
        <f t="shared" si="14"/>
        <v>0.39999999999999858</v>
      </c>
      <c r="G31" s="79">
        <v>34.5</v>
      </c>
      <c r="H31" s="79">
        <f t="shared" si="15"/>
        <v>0</v>
      </c>
      <c r="I31" s="77" t="s">
        <v>142</v>
      </c>
      <c r="J31" s="80" t="s">
        <v>147</v>
      </c>
      <c r="K31" s="77" t="s">
        <v>132</v>
      </c>
      <c r="L31" s="81"/>
      <c r="M31" s="82">
        <v>0</v>
      </c>
      <c r="N31" s="83"/>
      <c r="O31" s="82">
        <f>ROUND(IF(N31&lt;0.2,M31,IF(N31&gt;=0.2,M31/N31)),0)</f>
        <v>0</v>
      </c>
      <c r="P31" s="83">
        <v>1</v>
      </c>
      <c r="Q31" s="83">
        <v>1</v>
      </c>
      <c r="R31" s="84">
        <v>0</v>
      </c>
      <c r="S31" s="82">
        <f t="shared" si="16"/>
        <v>0</v>
      </c>
      <c r="T31" s="85">
        <f t="shared" si="17"/>
        <v>0</v>
      </c>
      <c r="U31" s="86">
        <f t="shared" si="18"/>
        <v>0</v>
      </c>
      <c r="V31" s="86">
        <f t="shared" si="19"/>
        <v>0</v>
      </c>
      <c r="W31" s="82">
        <f t="shared" si="20"/>
        <v>0</v>
      </c>
      <c r="Y31" s="76">
        <v>44579</v>
      </c>
      <c r="Z31" s="19" t="s">
        <v>149</v>
      </c>
    </row>
    <row r="32" spans="2:26" x14ac:dyDescent="0.25">
      <c r="B32" s="56"/>
      <c r="C32" s="57"/>
      <c r="D32" s="23"/>
      <c r="E32" s="23"/>
      <c r="F32" s="23"/>
      <c r="G32" s="23"/>
      <c r="H32" s="23"/>
      <c r="I32" s="56"/>
      <c r="J32" s="21"/>
      <c r="K32" s="56"/>
      <c r="L32" s="58"/>
      <c r="M32" s="59"/>
      <c r="N32" s="60"/>
      <c r="O32" s="59"/>
      <c r="P32" s="60"/>
      <c r="Q32" s="60"/>
      <c r="R32" s="61"/>
      <c r="S32" s="59"/>
      <c r="T32" s="62"/>
      <c r="U32" s="63"/>
      <c r="V32" s="63"/>
      <c r="W32" s="59"/>
    </row>
    <row r="33" spans="2:27" x14ac:dyDescent="0.25">
      <c r="B33" s="56" t="s">
        <v>150</v>
      </c>
      <c r="C33" s="57" t="s">
        <v>151</v>
      </c>
      <c r="D33" s="23">
        <v>0</v>
      </c>
      <c r="E33" s="23">
        <v>0.3</v>
      </c>
      <c r="F33" s="23">
        <f t="shared" ref="F33:F46" si="21">(E33-D33)</f>
        <v>0.3</v>
      </c>
      <c r="G33" s="23">
        <v>0.3</v>
      </c>
      <c r="H33" s="23">
        <f t="shared" ref="H33:H46" si="22">G33-D33</f>
        <v>0.3</v>
      </c>
      <c r="I33" s="56" t="s">
        <v>142</v>
      </c>
      <c r="J33" s="66" t="s">
        <v>143</v>
      </c>
      <c r="K33" s="56" t="s">
        <v>144</v>
      </c>
      <c r="L33" s="58">
        <v>0</v>
      </c>
      <c r="M33" s="59"/>
      <c r="N33" s="60"/>
      <c r="O33" s="59">
        <f t="shared" ref="O33:O46" si="23">L33</f>
        <v>0</v>
      </c>
      <c r="P33" s="60">
        <v>1</v>
      </c>
      <c r="Q33" s="60">
        <v>1</v>
      </c>
      <c r="R33" s="61">
        <v>0</v>
      </c>
      <c r="S33" s="59">
        <f t="shared" ref="S33:S46" si="24">O33-R33</f>
        <v>0</v>
      </c>
      <c r="T33" s="62">
        <f t="shared" si="12"/>
        <v>0</v>
      </c>
      <c r="U33" s="63">
        <f t="shared" ref="U33:U46" si="25">ROUND(+P33*S33,0)</f>
        <v>0</v>
      </c>
      <c r="V33" s="63">
        <f t="shared" si="4"/>
        <v>0</v>
      </c>
      <c r="W33" s="59">
        <f t="shared" ref="W33:W46" si="26">V33+U33</f>
        <v>0</v>
      </c>
    </row>
    <row r="34" spans="2:27" x14ac:dyDescent="0.25">
      <c r="B34" s="56" t="s">
        <v>150</v>
      </c>
      <c r="C34" s="57" t="s">
        <v>151</v>
      </c>
      <c r="D34" s="23">
        <v>0.3</v>
      </c>
      <c r="E34" s="23">
        <v>2.5</v>
      </c>
      <c r="F34" s="23">
        <f t="shared" si="21"/>
        <v>2.2000000000000002</v>
      </c>
      <c r="G34" s="23">
        <v>2.5</v>
      </c>
      <c r="H34" s="23">
        <f t="shared" si="22"/>
        <v>2.2000000000000002</v>
      </c>
      <c r="I34" s="56" t="s">
        <v>142</v>
      </c>
      <c r="J34" s="66" t="s">
        <v>143</v>
      </c>
      <c r="K34" s="56" t="s">
        <v>144</v>
      </c>
      <c r="L34" s="58">
        <v>3</v>
      </c>
      <c r="M34" s="59"/>
      <c r="N34" s="60"/>
      <c r="O34" s="59">
        <f t="shared" si="23"/>
        <v>3</v>
      </c>
      <c r="P34" s="60">
        <v>1</v>
      </c>
      <c r="Q34" s="60">
        <v>1</v>
      </c>
      <c r="R34" s="61">
        <v>0</v>
      </c>
      <c r="S34" s="59">
        <f t="shared" si="24"/>
        <v>3</v>
      </c>
      <c r="T34" s="62">
        <f t="shared" si="12"/>
        <v>1.3636363636363635</v>
      </c>
      <c r="U34" s="63">
        <f t="shared" si="25"/>
        <v>3</v>
      </c>
      <c r="V34" s="63">
        <f t="shared" si="4"/>
        <v>3</v>
      </c>
      <c r="W34" s="59">
        <f t="shared" si="26"/>
        <v>6</v>
      </c>
    </row>
    <row r="35" spans="2:27" x14ac:dyDescent="0.25">
      <c r="B35" s="56" t="s">
        <v>150</v>
      </c>
      <c r="C35" s="57" t="s">
        <v>151</v>
      </c>
      <c r="D35" s="23">
        <v>2.5</v>
      </c>
      <c r="E35" s="23">
        <v>4.5</v>
      </c>
      <c r="F35" s="23">
        <f t="shared" si="21"/>
        <v>2</v>
      </c>
      <c r="G35" s="23">
        <v>4.5</v>
      </c>
      <c r="H35" s="23">
        <f t="shared" si="22"/>
        <v>2</v>
      </c>
      <c r="I35" s="56" t="s">
        <v>142</v>
      </c>
      <c r="J35" s="66" t="s">
        <v>143</v>
      </c>
      <c r="K35" s="56" t="s">
        <v>144</v>
      </c>
      <c r="L35" s="58">
        <v>2</v>
      </c>
      <c r="M35" s="59"/>
      <c r="N35" s="60"/>
      <c r="O35" s="59">
        <f t="shared" si="23"/>
        <v>2</v>
      </c>
      <c r="P35" s="60">
        <v>1</v>
      </c>
      <c r="Q35" s="60">
        <v>1</v>
      </c>
      <c r="R35" s="61">
        <v>0</v>
      </c>
      <c r="S35" s="59">
        <f t="shared" si="24"/>
        <v>2</v>
      </c>
      <c r="T35" s="62">
        <f t="shared" si="12"/>
        <v>1</v>
      </c>
      <c r="U35" s="63">
        <f t="shared" si="25"/>
        <v>2</v>
      </c>
      <c r="V35" s="63">
        <f t="shared" si="4"/>
        <v>2</v>
      </c>
      <c r="W35" s="59">
        <f t="shared" si="26"/>
        <v>4</v>
      </c>
    </row>
    <row r="36" spans="2:27" x14ac:dyDescent="0.25">
      <c r="B36" s="56" t="s">
        <v>150</v>
      </c>
      <c r="C36" s="57" t="s">
        <v>151</v>
      </c>
      <c r="D36" s="23">
        <v>4.5</v>
      </c>
      <c r="E36" s="23">
        <v>5.5</v>
      </c>
      <c r="F36" s="23">
        <f t="shared" si="21"/>
        <v>1</v>
      </c>
      <c r="G36" s="23">
        <v>5.5</v>
      </c>
      <c r="H36" s="23">
        <f t="shared" si="22"/>
        <v>1</v>
      </c>
      <c r="I36" s="56" t="s">
        <v>142</v>
      </c>
      <c r="J36" s="66" t="s">
        <v>143</v>
      </c>
      <c r="K36" s="56" t="s">
        <v>144</v>
      </c>
      <c r="L36" s="58">
        <v>4</v>
      </c>
      <c r="M36" s="59"/>
      <c r="N36" s="60"/>
      <c r="O36" s="59">
        <f t="shared" si="23"/>
        <v>4</v>
      </c>
      <c r="P36" s="60">
        <v>1</v>
      </c>
      <c r="Q36" s="60">
        <v>1</v>
      </c>
      <c r="R36" s="61">
        <v>0</v>
      </c>
      <c r="S36" s="59">
        <f t="shared" si="24"/>
        <v>4</v>
      </c>
      <c r="T36" s="62">
        <f t="shared" si="12"/>
        <v>4</v>
      </c>
      <c r="U36" s="63">
        <f t="shared" si="25"/>
        <v>4</v>
      </c>
      <c r="V36" s="63">
        <f t="shared" si="4"/>
        <v>4</v>
      </c>
      <c r="W36" s="59">
        <f t="shared" si="26"/>
        <v>8</v>
      </c>
    </row>
    <row r="37" spans="2:27" x14ac:dyDescent="0.25">
      <c r="B37" s="56" t="s">
        <v>150</v>
      </c>
      <c r="C37" s="57" t="s">
        <v>151</v>
      </c>
      <c r="D37" s="23">
        <v>5.5</v>
      </c>
      <c r="E37" s="23">
        <v>6.3</v>
      </c>
      <c r="F37" s="23">
        <f t="shared" si="21"/>
        <v>0.79999999999999982</v>
      </c>
      <c r="G37" s="23">
        <v>6.3</v>
      </c>
      <c r="H37" s="23">
        <f t="shared" si="22"/>
        <v>0.79999999999999982</v>
      </c>
      <c r="I37" s="56" t="s">
        <v>142</v>
      </c>
      <c r="J37" s="66" t="s">
        <v>146</v>
      </c>
      <c r="K37" s="56" t="s">
        <v>144</v>
      </c>
      <c r="L37" s="58">
        <v>1</v>
      </c>
      <c r="M37" s="59"/>
      <c r="N37" s="60"/>
      <c r="O37" s="59">
        <f t="shared" si="23"/>
        <v>1</v>
      </c>
      <c r="P37" s="60">
        <v>1</v>
      </c>
      <c r="Q37" s="60">
        <v>1</v>
      </c>
      <c r="R37" s="61">
        <v>0</v>
      </c>
      <c r="S37" s="59">
        <f t="shared" si="24"/>
        <v>1</v>
      </c>
      <c r="T37" s="62">
        <f t="shared" si="12"/>
        <v>1.2500000000000002</v>
      </c>
      <c r="U37" s="63">
        <f t="shared" si="25"/>
        <v>1</v>
      </c>
      <c r="V37" s="63">
        <f t="shared" si="4"/>
        <v>1</v>
      </c>
      <c r="W37" s="59">
        <f t="shared" si="26"/>
        <v>2</v>
      </c>
    </row>
    <row r="38" spans="2:27" x14ac:dyDescent="0.25">
      <c r="B38" s="56" t="s">
        <v>150</v>
      </c>
      <c r="C38" s="57" t="s">
        <v>151</v>
      </c>
      <c r="D38" s="23">
        <v>6.3</v>
      </c>
      <c r="E38" s="23">
        <v>6.9</v>
      </c>
      <c r="F38" s="23">
        <f t="shared" si="21"/>
        <v>0.60000000000000053</v>
      </c>
      <c r="G38" s="23">
        <v>6.9</v>
      </c>
      <c r="H38" s="23">
        <f t="shared" si="22"/>
        <v>0.60000000000000053</v>
      </c>
      <c r="I38" s="56" t="s">
        <v>142</v>
      </c>
      <c r="J38" s="66" t="s">
        <v>146</v>
      </c>
      <c r="K38" s="56" t="s">
        <v>144</v>
      </c>
      <c r="L38" s="58">
        <v>11</v>
      </c>
      <c r="M38" s="59"/>
      <c r="N38" s="60"/>
      <c r="O38" s="59">
        <f t="shared" si="23"/>
        <v>11</v>
      </c>
      <c r="P38" s="60">
        <v>1</v>
      </c>
      <c r="Q38" s="60">
        <v>1</v>
      </c>
      <c r="R38" s="61">
        <v>0</v>
      </c>
      <c r="S38" s="59">
        <f t="shared" si="24"/>
        <v>11</v>
      </c>
      <c r="T38" s="62">
        <f t="shared" si="12"/>
        <v>18.333333333333318</v>
      </c>
      <c r="U38" s="63">
        <f t="shared" si="25"/>
        <v>11</v>
      </c>
      <c r="V38" s="63">
        <f t="shared" si="4"/>
        <v>11</v>
      </c>
      <c r="W38" s="59">
        <f t="shared" si="26"/>
        <v>22</v>
      </c>
    </row>
    <row r="39" spans="2:27" x14ac:dyDescent="0.25">
      <c r="B39" s="56" t="s">
        <v>150</v>
      </c>
      <c r="C39" s="57" t="s">
        <v>151</v>
      </c>
      <c r="D39" s="23">
        <v>6.9</v>
      </c>
      <c r="E39" s="23">
        <v>7.9</v>
      </c>
      <c r="F39" s="23">
        <f t="shared" si="21"/>
        <v>1</v>
      </c>
      <c r="G39" s="23">
        <v>7.9</v>
      </c>
      <c r="H39" s="23">
        <f t="shared" si="22"/>
        <v>1</v>
      </c>
      <c r="I39" s="56" t="s">
        <v>142</v>
      </c>
      <c r="J39" s="66" t="s">
        <v>146</v>
      </c>
      <c r="K39" s="56" t="s">
        <v>144</v>
      </c>
      <c r="L39" s="58">
        <v>2</v>
      </c>
      <c r="M39" s="59"/>
      <c r="N39" s="60"/>
      <c r="O39" s="59">
        <f t="shared" si="23"/>
        <v>2</v>
      </c>
      <c r="P39" s="60">
        <v>1</v>
      </c>
      <c r="Q39" s="60">
        <v>1</v>
      </c>
      <c r="R39" s="61">
        <v>0</v>
      </c>
      <c r="S39" s="59">
        <f t="shared" si="24"/>
        <v>2</v>
      </c>
      <c r="T39" s="62">
        <f t="shared" si="12"/>
        <v>2</v>
      </c>
      <c r="U39" s="63">
        <f t="shared" si="25"/>
        <v>2</v>
      </c>
      <c r="V39" s="63">
        <f t="shared" si="4"/>
        <v>2</v>
      </c>
      <c r="W39" s="59">
        <f t="shared" si="26"/>
        <v>4</v>
      </c>
    </row>
    <row r="40" spans="2:27" x14ac:dyDescent="0.25">
      <c r="B40" s="56" t="s">
        <v>150</v>
      </c>
      <c r="C40" s="57" t="s">
        <v>151</v>
      </c>
      <c r="D40" s="23">
        <v>7.9</v>
      </c>
      <c r="E40" s="23">
        <v>9.5</v>
      </c>
      <c r="F40" s="23">
        <f t="shared" si="21"/>
        <v>1.5999999999999996</v>
      </c>
      <c r="G40" s="23">
        <v>9.5</v>
      </c>
      <c r="H40" s="23">
        <f t="shared" si="22"/>
        <v>1.5999999999999996</v>
      </c>
      <c r="I40" s="56" t="s">
        <v>142</v>
      </c>
      <c r="J40" s="66" t="s">
        <v>146</v>
      </c>
      <c r="K40" s="56" t="s">
        <v>144</v>
      </c>
      <c r="L40" s="58">
        <v>49</v>
      </c>
      <c r="M40" s="59"/>
      <c r="N40" s="60"/>
      <c r="O40" s="59">
        <f t="shared" si="23"/>
        <v>49</v>
      </c>
      <c r="P40" s="60">
        <v>1</v>
      </c>
      <c r="Q40" s="60">
        <v>1</v>
      </c>
      <c r="R40" s="61">
        <v>0</v>
      </c>
      <c r="S40" s="59">
        <f t="shared" si="24"/>
        <v>49</v>
      </c>
      <c r="T40" s="62">
        <f t="shared" si="12"/>
        <v>30.625000000000007</v>
      </c>
      <c r="U40" s="63">
        <f t="shared" si="25"/>
        <v>49</v>
      </c>
      <c r="V40" s="63">
        <f t="shared" si="4"/>
        <v>49</v>
      </c>
      <c r="W40" s="59">
        <f t="shared" si="26"/>
        <v>98</v>
      </c>
    </row>
    <row r="41" spans="2:27" x14ac:dyDescent="0.25">
      <c r="B41" s="56" t="s">
        <v>150</v>
      </c>
      <c r="C41" s="57" t="s">
        <v>151</v>
      </c>
      <c r="D41" s="23">
        <v>9.5</v>
      </c>
      <c r="E41" s="23">
        <v>10.199999999999999</v>
      </c>
      <c r="F41" s="23">
        <f t="shared" si="21"/>
        <v>0.69999999999999929</v>
      </c>
      <c r="G41" s="23">
        <v>10.199999999999999</v>
      </c>
      <c r="H41" s="23">
        <f t="shared" si="22"/>
        <v>0.69999999999999929</v>
      </c>
      <c r="I41" s="56" t="s">
        <v>142</v>
      </c>
      <c r="J41" s="66" t="s">
        <v>146</v>
      </c>
      <c r="K41" s="56" t="s">
        <v>144</v>
      </c>
      <c r="L41" s="58">
        <v>10</v>
      </c>
      <c r="M41" s="59"/>
      <c r="N41" s="60"/>
      <c r="O41" s="59">
        <f t="shared" si="23"/>
        <v>10</v>
      </c>
      <c r="P41" s="60">
        <v>1</v>
      </c>
      <c r="Q41" s="60">
        <v>1</v>
      </c>
      <c r="R41" s="61">
        <v>0</v>
      </c>
      <c r="S41" s="59">
        <f t="shared" si="24"/>
        <v>10</v>
      </c>
      <c r="T41" s="62">
        <f t="shared" si="12"/>
        <v>14.285714285714301</v>
      </c>
      <c r="U41" s="63">
        <f t="shared" si="25"/>
        <v>10</v>
      </c>
      <c r="V41" s="63">
        <f t="shared" si="4"/>
        <v>10</v>
      </c>
      <c r="W41" s="59">
        <f t="shared" si="26"/>
        <v>20</v>
      </c>
    </row>
    <row r="42" spans="2:27" x14ac:dyDescent="0.25">
      <c r="B42" s="56" t="s">
        <v>150</v>
      </c>
      <c r="C42" s="57" t="s">
        <v>151</v>
      </c>
      <c r="D42" s="23">
        <v>10.199999999999999</v>
      </c>
      <c r="E42" s="23">
        <v>11</v>
      </c>
      <c r="F42" s="23">
        <f t="shared" si="21"/>
        <v>0.80000000000000071</v>
      </c>
      <c r="G42" s="23">
        <v>11</v>
      </c>
      <c r="H42" s="23">
        <f t="shared" si="22"/>
        <v>0.80000000000000071</v>
      </c>
      <c r="I42" s="56" t="s">
        <v>142</v>
      </c>
      <c r="J42" s="66" t="s">
        <v>146</v>
      </c>
      <c r="K42" s="56" t="s">
        <v>144</v>
      </c>
      <c r="L42" s="58">
        <v>29</v>
      </c>
      <c r="M42" s="59"/>
      <c r="N42" s="60"/>
      <c r="O42" s="59">
        <f t="shared" si="23"/>
        <v>29</v>
      </c>
      <c r="P42" s="60">
        <v>1</v>
      </c>
      <c r="Q42" s="60">
        <v>1</v>
      </c>
      <c r="R42" s="61">
        <v>0</v>
      </c>
      <c r="S42" s="59">
        <f t="shared" si="24"/>
        <v>29</v>
      </c>
      <c r="T42" s="62">
        <f t="shared" si="12"/>
        <v>36.249999999999964</v>
      </c>
      <c r="U42" s="63">
        <f t="shared" si="25"/>
        <v>29</v>
      </c>
      <c r="V42" s="63">
        <f t="shared" si="4"/>
        <v>29</v>
      </c>
      <c r="W42" s="59">
        <f t="shared" si="26"/>
        <v>58</v>
      </c>
    </row>
    <row r="43" spans="2:27" x14ac:dyDescent="0.25">
      <c r="B43" s="56" t="s">
        <v>150</v>
      </c>
      <c r="C43" s="57" t="s">
        <v>151</v>
      </c>
      <c r="D43" s="23">
        <v>11</v>
      </c>
      <c r="E43" s="23">
        <v>11.7</v>
      </c>
      <c r="F43" s="23">
        <f t="shared" si="21"/>
        <v>0.69999999999999929</v>
      </c>
      <c r="G43" s="23">
        <v>11.7</v>
      </c>
      <c r="H43" s="23">
        <f t="shared" si="22"/>
        <v>0.69999999999999929</v>
      </c>
      <c r="I43" s="56" t="s">
        <v>142</v>
      </c>
      <c r="J43" s="66" t="s">
        <v>146</v>
      </c>
      <c r="K43" s="56" t="s">
        <v>144</v>
      </c>
      <c r="L43" s="58">
        <v>30</v>
      </c>
      <c r="M43" s="59"/>
      <c r="N43" s="60"/>
      <c r="O43" s="59">
        <f t="shared" si="23"/>
        <v>30</v>
      </c>
      <c r="P43" s="60">
        <v>1</v>
      </c>
      <c r="Q43" s="60">
        <v>1</v>
      </c>
      <c r="R43" s="61">
        <v>0</v>
      </c>
      <c r="S43" s="59">
        <f t="shared" si="24"/>
        <v>30</v>
      </c>
      <c r="T43" s="62">
        <f t="shared" si="12"/>
        <v>42.857142857142904</v>
      </c>
      <c r="U43" s="63">
        <f t="shared" si="25"/>
        <v>30</v>
      </c>
      <c r="V43" s="63">
        <f t="shared" si="4"/>
        <v>30</v>
      </c>
      <c r="W43" s="59">
        <f t="shared" si="26"/>
        <v>60</v>
      </c>
    </row>
    <row r="44" spans="2:27" x14ac:dyDescent="0.25">
      <c r="B44" s="56" t="s">
        <v>150</v>
      </c>
      <c r="C44" s="57" t="s">
        <v>151</v>
      </c>
      <c r="D44" s="23">
        <v>11.7</v>
      </c>
      <c r="E44" s="23">
        <v>12.2</v>
      </c>
      <c r="F44" s="23">
        <f t="shared" si="21"/>
        <v>0.5</v>
      </c>
      <c r="G44" s="23">
        <v>12.2</v>
      </c>
      <c r="H44" s="23">
        <f t="shared" si="22"/>
        <v>0.5</v>
      </c>
      <c r="I44" s="56" t="s">
        <v>142</v>
      </c>
      <c r="J44" s="66" t="s">
        <v>146</v>
      </c>
      <c r="K44" s="56" t="s">
        <v>144</v>
      </c>
      <c r="L44" s="58">
        <v>45</v>
      </c>
      <c r="M44" s="59"/>
      <c r="N44" s="60"/>
      <c r="O44" s="59">
        <f t="shared" si="23"/>
        <v>45</v>
      </c>
      <c r="P44" s="60">
        <v>1</v>
      </c>
      <c r="Q44" s="60">
        <v>1</v>
      </c>
      <c r="R44" s="61">
        <v>0</v>
      </c>
      <c r="S44" s="59">
        <f t="shared" si="24"/>
        <v>45</v>
      </c>
      <c r="T44" s="62">
        <f t="shared" si="12"/>
        <v>90</v>
      </c>
      <c r="U44" s="63">
        <f t="shared" si="25"/>
        <v>45</v>
      </c>
      <c r="V44" s="63">
        <f t="shared" si="4"/>
        <v>45</v>
      </c>
      <c r="W44" s="59">
        <f t="shared" si="26"/>
        <v>90</v>
      </c>
    </row>
    <row r="45" spans="2:27" x14ac:dyDescent="0.25">
      <c r="B45" s="56" t="s">
        <v>150</v>
      </c>
      <c r="C45" s="57" t="s">
        <v>151</v>
      </c>
      <c r="D45" s="23">
        <v>12.2</v>
      </c>
      <c r="E45" s="23">
        <v>15</v>
      </c>
      <c r="F45" s="23">
        <f t="shared" si="21"/>
        <v>2.8000000000000007</v>
      </c>
      <c r="G45" s="23">
        <v>15</v>
      </c>
      <c r="H45" s="23">
        <f t="shared" si="22"/>
        <v>2.8000000000000007</v>
      </c>
      <c r="I45" s="56" t="s">
        <v>142</v>
      </c>
      <c r="J45" s="66" t="s">
        <v>147</v>
      </c>
      <c r="K45" s="56" t="s">
        <v>144</v>
      </c>
      <c r="L45" s="58">
        <v>104</v>
      </c>
      <c r="M45" s="59"/>
      <c r="N45" s="60"/>
      <c r="O45" s="59">
        <f t="shared" si="23"/>
        <v>104</v>
      </c>
      <c r="P45" s="60">
        <v>1</v>
      </c>
      <c r="Q45" s="60">
        <v>1</v>
      </c>
      <c r="R45" s="61">
        <v>0</v>
      </c>
      <c r="S45" s="59">
        <f t="shared" si="24"/>
        <v>104</v>
      </c>
      <c r="T45" s="62">
        <f t="shared" si="12"/>
        <v>37.142857142857132</v>
      </c>
      <c r="U45" s="63">
        <f t="shared" si="25"/>
        <v>104</v>
      </c>
      <c r="V45" s="63">
        <f t="shared" si="4"/>
        <v>104</v>
      </c>
      <c r="W45" s="59">
        <f t="shared" si="26"/>
        <v>208</v>
      </c>
      <c r="Y45" s="19" t="s">
        <v>152</v>
      </c>
    </row>
    <row r="46" spans="2:27" x14ac:dyDescent="0.25">
      <c r="B46" s="56" t="s">
        <v>150</v>
      </c>
      <c r="C46" s="57" t="s">
        <v>151</v>
      </c>
      <c r="D46" s="23">
        <v>15</v>
      </c>
      <c r="E46" s="23">
        <v>17.3</v>
      </c>
      <c r="F46" s="23">
        <f t="shared" si="21"/>
        <v>2.3000000000000007</v>
      </c>
      <c r="G46" s="23">
        <v>17.3</v>
      </c>
      <c r="H46" s="23">
        <f t="shared" si="22"/>
        <v>2.3000000000000007</v>
      </c>
      <c r="I46" s="56" t="s">
        <v>142</v>
      </c>
      <c r="J46" s="66" t="s">
        <v>147</v>
      </c>
      <c r="K46" s="56" t="s">
        <v>144</v>
      </c>
      <c r="L46" s="58">
        <v>109</v>
      </c>
      <c r="M46" s="59"/>
      <c r="N46" s="60"/>
      <c r="O46" s="59">
        <f t="shared" si="23"/>
        <v>109</v>
      </c>
      <c r="P46" s="60">
        <v>1</v>
      </c>
      <c r="Q46" s="60">
        <v>1</v>
      </c>
      <c r="R46" s="61">
        <v>0</v>
      </c>
      <c r="S46" s="59">
        <f t="shared" si="24"/>
        <v>109</v>
      </c>
      <c r="T46" s="62">
        <f t="shared" si="12"/>
        <v>47.391304347826072</v>
      </c>
      <c r="U46" s="63">
        <f t="shared" si="25"/>
        <v>109</v>
      </c>
      <c r="V46" s="63">
        <f t="shared" si="4"/>
        <v>109</v>
      </c>
      <c r="W46" s="59">
        <f t="shared" si="26"/>
        <v>218</v>
      </c>
      <c r="Y46" s="19" t="s">
        <v>153</v>
      </c>
    </row>
    <row r="47" spans="2:27" x14ac:dyDescent="0.25">
      <c r="B47" s="56"/>
      <c r="C47" s="57"/>
      <c r="D47" s="23"/>
      <c r="E47" s="23"/>
      <c r="F47" s="23"/>
      <c r="G47" s="23"/>
      <c r="H47" s="23"/>
      <c r="I47" s="56"/>
      <c r="J47" s="66"/>
      <c r="K47" s="56"/>
      <c r="L47" s="64">
        <f>SUM(L33:L46)</f>
        <v>399</v>
      </c>
      <c r="M47" s="59"/>
      <c r="N47" s="60"/>
      <c r="O47" s="65">
        <f>SUM(O33:O46)</f>
        <v>399</v>
      </c>
      <c r="P47" s="60"/>
      <c r="Q47" s="60"/>
      <c r="R47" s="61"/>
      <c r="S47" s="59"/>
      <c r="T47" s="62"/>
      <c r="U47" s="63"/>
      <c r="V47" s="63"/>
      <c r="W47" s="65">
        <f>SUM(W33:W46)</f>
        <v>798</v>
      </c>
    </row>
    <row r="48" spans="2:27" x14ac:dyDescent="0.25">
      <c r="B48" s="67" t="s">
        <v>150</v>
      </c>
      <c r="C48" s="68" t="s">
        <v>151</v>
      </c>
      <c r="D48" s="69">
        <v>17.3</v>
      </c>
      <c r="E48" s="69">
        <v>18.2</v>
      </c>
      <c r="F48" s="69">
        <f t="shared" ref="F48:F51" si="27">(E48-D48)</f>
        <v>0.89999999999999858</v>
      </c>
      <c r="G48" s="69">
        <v>18.100000000000001</v>
      </c>
      <c r="H48" s="69">
        <f t="shared" ref="H48:H51" si="28">G48-D48</f>
        <v>0.80000000000000071</v>
      </c>
      <c r="I48" s="67" t="s">
        <v>142</v>
      </c>
      <c r="J48" s="67" t="s">
        <v>147</v>
      </c>
      <c r="K48" s="67" t="s">
        <v>132</v>
      </c>
      <c r="L48" s="70"/>
      <c r="M48" s="87">
        <v>1</v>
      </c>
      <c r="N48" s="72"/>
      <c r="O48" s="71">
        <v>9</v>
      </c>
      <c r="P48" s="72">
        <v>1</v>
      </c>
      <c r="Q48" s="72">
        <v>1</v>
      </c>
      <c r="R48" s="73">
        <v>0</v>
      </c>
      <c r="S48" s="71">
        <f t="shared" ref="S48:S51" si="29">O48-R48</f>
        <v>9</v>
      </c>
      <c r="T48" s="74">
        <f t="shared" si="12"/>
        <v>10.000000000000016</v>
      </c>
      <c r="U48" s="75">
        <f t="shared" ref="U48:U51" si="30">ROUND(+P48*S48,0)</f>
        <v>9</v>
      </c>
      <c r="V48" s="75">
        <f t="shared" si="4"/>
        <v>9</v>
      </c>
      <c r="W48" s="71">
        <f t="shared" ref="W48:W51" si="31">V48+U48</f>
        <v>18</v>
      </c>
      <c r="X48" s="76"/>
      <c r="Y48" s="76">
        <v>44588</v>
      </c>
      <c r="Z48" s="19">
        <v>9</v>
      </c>
      <c r="AA48" s="19" t="s">
        <v>154</v>
      </c>
    </row>
    <row r="49" spans="2:27" x14ac:dyDescent="0.25">
      <c r="B49" s="67">
        <v>23.090900000000001</v>
      </c>
      <c r="C49" s="68" t="s">
        <v>155</v>
      </c>
      <c r="D49" s="69">
        <v>0</v>
      </c>
      <c r="E49" s="69">
        <v>0.7</v>
      </c>
      <c r="F49" s="69">
        <f t="shared" si="27"/>
        <v>0.7</v>
      </c>
      <c r="G49" s="69">
        <v>0.5</v>
      </c>
      <c r="H49" s="69">
        <f t="shared" si="28"/>
        <v>0.5</v>
      </c>
      <c r="I49" s="67" t="s">
        <v>142</v>
      </c>
      <c r="J49" s="67" t="s">
        <v>147</v>
      </c>
      <c r="K49" s="67" t="s">
        <v>132</v>
      </c>
      <c r="L49" s="70"/>
      <c r="M49" s="87">
        <v>3</v>
      </c>
      <c r="N49" s="72"/>
      <c r="O49" s="71">
        <v>11</v>
      </c>
      <c r="P49" s="72">
        <v>1</v>
      </c>
      <c r="Q49" s="72">
        <v>1</v>
      </c>
      <c r="R49" s="73">
        <v>0</v>
      </c>
      <c r="S49" s="71">
        <f t="shared" si="29"/>
        <v>11</v>
      </c>
      <c r="T49" s="74">
        <f t="shared" si="12"/>
        <v>15.714285714285715</v>
      </c>
      <c r="U49" s="75">
        <f t="shared" si="30"/>
        <v>11</v>
      </c>
      <c r="V49" s="75">
        <f t="shared" si="4"/>
        <v>11</v>
      </c>
      <c r="W49" s="71">
        <f t="shared" si="31"/>
        <v>22</v>
      </c>
      <c r="X49" s="76"/>
      <c r="Y49" s="76">
        <v>44588</v>
      </c>
      <c r="Z49" s="19">
        <v>11</v>
      </c>
      <c r="AA49" s="19" t="s">
        <v>156</v>
      </c>
    </row>
    <row r="50" spans="2:27" x14ac:dyDescent="0.25">
      <c r="B50" s="88">
        <v>23.091000000000001</v>
      </c>
      <c r="C50" s="68" t="s">
        <v>157</v>
      </c>
      <c r="D50" s="69">
        <v>0</v>
      </c>
      <c r="E50" s="69">
        <v>0.9</v>
      </c>
      <c r="F50" s="69">
        <f t="shared" si="27"/>
        <v>0.9</v>
      </c>
      <c r="G50" s="69">
        <v>0.3</v>
      </c>
      <c r="H50" s="69">
        <f t="shared" si="28"/>
        <v>0.3</v>
      </c>
      <c r="I50" s="67" t="s">
        <v>142</v>
      </c>
      <c r="J50" s="67" t="s">
        <v>147</v>
      </c>
      <c r="K50" s="67" t="s">
        <v>132</v>
      </c>
      <c r="L50" s="70"/>
      <c r="M50" s="87">
        <v>2</v>
      </c>
      <c r="N50" s="72"/>
      <c r="O50" s="71">
        <v>11</v>
      </c>
      <c r="P50" s="72">
        <v>1</v>
      </c>
      <c r="Q50" s="72">
        <v>1</v>
      </c>
      <c r="R50" s="73">
        <v>0</v>
      </c>
      <c r="S50" s="71">
        <f t="shared" si="29"/>
        <v>11</v>
      </c>
      <c r="T50" s="74">
        <f t="shared" si="12"/>
        <v>12.222222222222221</v>
      </c>
      <c r="U50" s="75">
        <f t="shared" si="30"/>
        <v>11</v>
      </c>
      <c r="V50" s="75">
        <f t="shared" si="4"/>
        <v>11</v>
      </c>
      <c r="W50" s="71">
        <f t="shared" si="31"/>
        <v>22</v>
      </c>
      <c r="X50" s="76"/>
      <c r="Y50" s="76">
        <v>44588</v>
      </c>
      <c r="Z50" s="19">
        <v>11</v>
      </c>
      <c r="AA50" s="19" t="s">
        <v>158</v>
      </c>
    </row>
    <row r="51" spans="2:27" x14ac:dyDescent="0.25">
      <c r="B51" s="89">
        <v>23.090399999999999</v>
      </c>
      <c r="C51" s="78" t="s">
        <v>159</v>
      </c>
      <c r="D51" s="79">
        <v>0</v>
      </c>
      <c r="E51" s="79">
        <v>0.1</v>
      </c>
      <c r="F51" s="79">
        <f t="shared" si="27"/>
        <v>0.1</v>
      </c>
      <c r="G51" s="79">
        <v>0.1</v>
      </c>
      <c r="H51" s="79">
        <f t="shared" si="28"/>
        <v>0.1</v>
      </c>
      <c r="I51" s="77" t="s">
        <v>142</v>
      </c>
      <c r="J51" s="80" t="s">
        <v>147</v>
      </c>
      <c r="K51" s="77" t="s">
        <v>132</v>
      </c>
      <c r="L51" s="81"/>
      <c r="M51" s="82">
        <v>1</v>
      </c>
      <c r="N51" s="83">
        <f>34/60</f>
        <v>0.56666666666666665</v>
      </c>
      <c r="O51" s="82">
        <f t="shared" ref="O51" si="32">ROUND(IF(N51&lt;0.2,M51,IF(N51&gt;=0.2,M51/N51)),0)</f>
        <v>2</v>
      </c>
      <c r="P51" s="83">
        <v>1</v>
      </c>
      <c r="Q51" s="83">
        <v>1</v>
      </c>
      <c r="R51" s="84">
        <v>0</v>
      </c>
      <c r="S51" s="82">
        <f t="shared" si="29"/>
        <v>2</v>
      </c>
      <c r="T51" s="85">
        <f t="shared" si="12"/>
        <v>20</v>
      </c>
      <c r="U51" s="86">
        <f t="shared" si="30"/>
        <v>2</v>
      </c>
      <c r="V51" s="86">
        <f t="shared" si="4"/>
        <v>2</v>
      </c>
      <c r="W51" s="82">
        <f t="shared" si="31"/>
        <v>4</v>
      </c>
      <c r="X51" s="76"/>
      <c r="Y51" s="76">
        <v>44912</v>
      </c>
      <c r="Z51" s="19" t="s">
        <v>160</v>
      </c>
    </row>
    <row r="52" spans="2:27" x14ac:dyDescent="0.25">
      <c r="B52" s="56"/>
      <c r="C52" s="57"/>
      <c r="D52" s="23"/>
      <c r="E52" s="23"/>
      <c r="F52" s="23"/>
      <c r="G52" s="23"/>
      <c r="H52" s="23"/>
      <c r="I52" s="56"/>
      <c r="J52" s="66"/>
      <c r="K52" s="56"/>
      <c r="L52" s="58"/>
      <c r="M52" s="59"/>
      <c r="N52" s="60"/>
      <c r="O52" s="59"/>
      <c r="P52" s="60"/>
      <c r="Q52" s="60"/>
      <c r="R52" s="61"/>
      <c r="S52" s="59"/>
      <c r="T52" s="62"/>
      <c r="U52" s="63"/>
      <c r="V52" s="63"/>
      <c r="W52" s="59"/>
    </row>
    <row r="53" spans="2:27" x14ac:dyDescent="0.25">
      <c r="B53" s="90" t="s">
        <v>161</v>
      </c>
      <c r="C53" s="91" t="s">
        <v>162</v>
      </c>
      <c r="D53" s="90">
        <v>0.7</v>
      </c>
      <c r="E53" s="90">
        <v>1.5</v>
      </c>
      <c r="F53" s="90">
        <f t="shared" ref="F53" si="33">(E53-D53)</f>
        <v>0.8</v>
      </c>
      <c r="G53" s="90"/>
      <c r="H53" s="90"/>
      <c r="I53" s="90" t="s">
        <v>142</v>
      </c>
      <c r="J53" s="90" t="s">
        <v>147</v>
      </c>
      <c r="K53" s="90" t="s">
        <v>163</v>
      </c>
      <c r="L53" s="56"/>
      <c r="M53" s="90"/>
      <c r="N53" s="90"/>
      <c r="O53" s="90">
        <f>ROUND((T53*F53),0)</f>
        <v>29</v>
      </c>
      <c r="P53" s="90">
        <v>1</v>
      </c>
      <c r="Q53" s="90">
        <v>1</v>
      </c>
      <c r="R53" s="90">
        <v>0</v>
      </c>
      <c r="S53" s="92">
        <f t="shared" ref="S53" si="34">O53-R53</f>
        <v>29</v>
      </c>
      <c r="T53" s="93">
        <f>((SUM(O127,O137:O142))/(SUM(F127,F137:F142)))</f>
        <v>36.19047619047619</v>
      </c>
      <c r="U53" s="94">
        <f>ROUND(+P53*S53,0)</f>
        <v>29</v>
      </c>
      <c r="V53" s="94">
        <f t="shared" ref="V53" si="35">U53</f>
        <v>29</v>
      </c>
      <c r="W53" s="95">
        <f t="shared" ref="W53" si="36">V53+U53</f>
        <v>58</v>
      </c>
      <c r="X53" s="76"/>
      <c r="Y53" s="19" t="s">
        <v>164</v>
      </c>
    </row>
    <row r="54" spans="2:27" x14ac:dyDescent="0.25">
      <c r="B54" s="56"/>
      <c r="C54" s="57"/>
      <c r="D54" s="23"/>
      <c r="E54" s="23"/>
      <c r="F54" s="23"/>
      <c r="G54" s="23"/>
      <c r="H54" s="23"/>
      <c r="I54" s="56"/>
      <c r="J54" s="66"/>
      <c r="K54" s="56"/>
      <c r="L54" s="58"/>
      <c r="M54" s="59"/>
      <c r="N54" s="60"/>
      <c r="O54" s="59"/>
      <c r="P54" s="60"/>
      <c r="Q54" s="60"/>
      <c r="R54" s="61"/>
      <c r="S54" s="59"/>
      <c r="T54" s="62"/>
      <c r="U54" s="63"/>
      <c r="V54" s="63"/>
      <c r="W54" s="59"/>
    </row>
    <row r="55" spans="2:27" x14ac:dyDescent="0.25">
      <c r="B55" s="56">
        <v>23.090699999999998</v>
      </c>
      <c r="C55" s="57" t="s">
        <v>165</v>
      </c>
      <c r="D55" s="23">
        <v>0</v>
      </c>
      <c r="E55" s="23">
        <v>0.7</v>
      </c>
      <c r="F55" s="23">
        <f t="shared" ref="F55:F56" si="37">(E55-D55)</f>
        <v>0.7</v>
      </c>
      <c r="G55" s="23">
        <v>0.3</v>
      </c>
      <c r="H55" s="23">
        <f t="shared" ref="H55:H64" si="38">G55-D55</f>
        <v>0.3</v>
      </c>
      <c r="I55" s="56" t="s">
        <v>142</v>
      </c>
      <c r="J55" s="66" t="s">
        <v>147</v>
      </c>
      <c r="K55" s="56" t="s">
        <v>131</v>
      </c>
      <c r="L55" s="58">
        <v>60</v>
      </c>
      <c r="M55" s="59"/>
      <c r="N55" s="60"/>
      <c r="O55" s="59">
        <f t="shared" ref="O55" si="39">L55</f>
        <v>60</v>
      </c>
      <c r="P55" s="60">
        <v>1</v>
      </c>
      <c r="Q55" s="60">
        <v>1</v>
      </c>
      <c r="R55" s="61">
        <v>0</v>
      </c>
      <c r="S55" s="59">
        <f t="shared" ref="S55:S56" si="40">O55-R55</f>
        <v>60</v>
      </c>
      <c r="T55" s="62">
        <f t="shared" si="12"/>
        <v>85.714285714285722</v>
      </c>
      <c r="U55" s="63">
        <f t="shared" ref="U55:U56" si="41">ROUND(+P55*S55,0)</f>
        <v>60</v>
      </c>
      <c r="V55" s="63">
        <f t="shared" si="4"/>
        <v>60</v>
      </c>
      <c r="W55" s="59">
        <f t="shared" ref="W55:W56" si="42">V55+U55</f>
        <v>120</v>
      </c>
      <c r="Y55" s="19" t="s">
        <v>166</v>
      </c>
    </row>
    <row r="56" spans="2:27" x14ac:dyDescent="0.25">
      <c r="B56" s="89">
        <v>23.090699999999998</v>
      </c>
      <c r="C56" s="78" t="s">
        <v>165</v>
      </c>
      <c r="D56" s="79">
        <v>0.3</v>
      </c>
      <c r="E56" s="79">
        <v>0.7</v>
      </c>
      <c r="F56" s="79">
        <f t="shared" si="37"/>
        <v>0.39999999999999997</v>
      </c>
      <c r="G56" s="79">
        <v>0.3</v>
      </c>
      <c r="H56" s="79">
        <f t="shared" si="38"/>
        <v>0</v>
      </c>
      <c r="I56" s="77" t="s">
        <v>142</v>
      </c>
      <c r="J56" s="80" t="s">
        <v>147</v>
      </c>
      <c r="K56" s="77" t="s">
        <v>132</v>
      </c>
      <c r="L56" s="81"/>
      <c r="M56" s="82">
        <v>0</v>
      </c>
      <c r="N56" s="83"/>
      <c r="O56" s="82">
        <f t="shared" ref="O56" si="43">ROUND(IF(N56&lt;0.2,M56,IF(N56&gt;=0.2,M56/N56)),0)</f>
        <v>0</v>
      </c>
      <c r="P56" s="83">
        <v>1</v>
      </c>
      <c r="Q56" s="83">
        <v>1</v>
      </c>
      <c r="R56" s="84">
        <v>0</v>
      </c>
      <c r="S56" s="82">
        <f t="shared" si="40"/>
        <v>0</v>
      </c>
      <c r="T56" s="85">
        <f t="shared" si="12"/>
        <v>0</v>
      </c>
      <c r="U56" s="86">
        <f t="shared" si="41"/>
        <v>0</v>
      </c>
      <c r="V56" s="86">
        <f t="shared" si="4"/>
        <v>0</v>
      </c>
      <c r="W56" s="82">
        <f t="shared" si="42"/>
        <v>0</v>
      </c>
      <c r="X56" s="76"/>
    </row>
    <row r="57" spans="2:27" x14ac:dyDescent="0.25">
      <c r="B57" s="56"/>
      <c r="C57" s="57"/>
      <c r="D57" s="23"/>
      <c r="E57" s="23"/>
      <c r="F57" s="23"/>
      <c r="G57" s="23"/>
      <c r="H57" s="23"/>
      <c r="I57" s="56"/>
      <c r="J57" s="66"/>
      <c r="K57" s="56"/>
      <c r="L57" s="58"/>
      <c r="M57" s="59"/>
      <c r="N57" s="60"/>
      <c r="O57" s="59"/>
      <c r="P57" s="60"/>
      <c r="Q57" s="60"/>
      <c r="R57" s="61"/>
      <c r="S57" s="59"/>
      <c r="T57" s="62"/>
      <c r="U57" s="63"/>
      <c r="V57" s="63"/>
      <c r="W57" s="59"/>
    </row>
    <row r="58" spans="2:27" x14ac:dyDescent="0.25">
      <c r="B58" s="56" t="s">
        <v>167</v>
      </c>
      <c r="C58" s="57" t="s">
        <v>168</v>
      </c>
      <c r="D58" s="23">
        <v>0</v>
      </c>
      <c r="E58" s="23">
        <v>0.9</v>
      </c>
      <c r="F58" s="23">
        <f t="shared" ref="F58:F64" si="44">(E58-D58)</f>
        <v>0.9</v>
      </c>
      <c r="G58" s="23">
        <v>0.9</v>
      </c>
      <c r="H58" s="23">
        <f t="shared" si="38"/>
        <v>0.9</v>
      </c>
      <c r="I58" s="56" t="s">
        <v>142</v>
      </c>
      <c r="J58" s="66" t="s">
        <v>147</v>
      </c>
      <c r="K58" s="56" t="s">
        <v>144</v>
      </c>
      <c r="L58" s="58">
        <v>48</v>
      </c>
      <c r="M58" s="59"/>
      <c r="N58" s="60"/>
      <c r="O58" s="59">
        <f t="shared" ref="O58:O64" si="45">L58</f>
        <v>48</v>
      </c>
      <c r="P58" s="60">
        <v>1</v>
      </c>
      <c r="Q58" s="60">
        <v>1</v>
      </c>
      <c r="R58" s="61">
        <v>0</v>
      </c>
      <c r="S58" s="59">
        <f t="shared" ref="S58:S64" si="46">O58-R58</f>
        <v>48</v>
      </c>
      <c r="T58" s="62">
        <f t="shared" si="12"/>
        <v>53.333333333333329</v>
      </c>
      <c r="U58" s="63">
        <f t="shared" ref="U58:U64" si="47">ROUND(+P58*S58,0)</f>
        <v>48</v>
      </c>
      <c r="V58" s="63">
        <f t="shared" si="4"/>
        <v>48</v>
      </c>
      <c r="W58" s="59">
        <f t="shared" ref="W58:W64" si="48">V58+U58</f>
        <v>96</v>
      </c>
      <c r="Y58" s="76">
        <v>44523</v>
      </c>
      <c r="Z58" s="19" t="s">
        <v>169</v>
      </c>
      <c r="AA58" s="96" t="s">
        <v>170</v>
      </c>
    </row>
    <row r="59" spans="2:27" x14ac:dyDescent="0.25">
      <c r="B59" s="56" t="s">
        <v>167</v>
      </c>
      <c r="C59" s="57" t="s">
        <v>168</v>
      </c>
      <c r="D59" s="23">
        <v>0.9</v>
      </c>
      <c r="E59" s="23">
        <v>1.9</v>
      </c>
      <c r="F59" s="23">
        <f t="shared" si="44"/>
        <v>0.99999999999999989</v>
      </c>
      <c r="G59" s="23">
        <v>1.9</v>
      </c>
      <c r="H59" s="23">
        <f t="shared" si="38"/>
        <v>0.99999999999999989</v>
      </c>
      <c r="I59" s="56" t="s">
        <v>142</v>
      </c>
      <c r="J59" s="66" t="s">
        <v>147</v>
      </c>
      <c r="K59" s="56" t="s">
        <v>144</v>
      </c>
      <c r="L59" s="58">
        <v>46</v>
      </c>
      <c r="M59" s="59"/>
      <c r="N59" s="60"/>
      <c r="O59" s="59">
        <f t="shared" si="45"/>
        <v>46</v>
      </c>
      <c r="P59" s="60">
        <v>1</v>
      </c>
      <c r="Q59" s="60">
        <v>1</v>
      </c>
      <c r="R59" s="61">
        <v>0</v>
      </c>
      <c r="S59" s="59">
        <f t="shared" si="46"/>
        <v>46</v>
      </c>
      <c r="T59" s="62">
        <f t="shared" si="12"/>
        <v>46.000000000000007</v>
      </c>
      <c r="U59" s="63">
        <f t="shared" si="47"/>
        <v>46</v>
      </c>
      <c r="V59" s="63">
        <f t="shared" si="4"/>
        <v>46</v>
      </c>
      <c r="W59" s="59">
        <f t="shared" si="48"/>
        <v>92</v>
      </c>
      <c r="Y59" s="76">
        <v>44523</v>
      </c>
      <c r="Z59" s="19" t="s">
        <v>171</v>
      </c>
      <c r="AA59" s="96" t="s">
        <v>172</v>
      </c>
    </row>
    <row r="60" spans="2:27" x14ac:dyDescent="0.25">
      <c r="B60" s="56" t="s">
        <v>167</v>
      </c>
      <c r="C60" s="57" t="s">
        <v>168</v>
      </c>
      <c r="D60" s="23">
        <v>1.9</v>
      </c>
      <c r="E60" s="23">
        <v>3.4</v>
      </c>
      <c r="F60" s="23">
        <f t="shared" si="44"/>
        <v>1.5</v>
      </c>
      <c r="G60" s="23">
        <v>3.4</v>
      </c>
      <c r="H60" s="23">
        <f t="shared" si="38"/>
        <v>1.5</v>
      </c>
      <c r="I60" s="56" t="s">
        <v>142</v>
      </c>
      <c r="J60" s="66" t="s">
        <v>147</v>
      </c>
      <c r="K60" s="56" t="s">
        <v>144</v>
      </c>
      <c r="L60" s="58">
        <v>70</v>
      </c>
      <c r="M60" s="59"/>
      <c r="N60" s="60"/>
      <c r="O60" s="59">
        <f t="shared" si="45"/>
        <v>70</v>
      </c>
      <c r="P60" s="60">
        <v>1</v>
      </c>
      <c r="Q60" s="60">
        <v>1</v>
      </c>
      <c r="R60" s="61">
        <v>0</v>
      </c>
      <c r="S60" s="59">
        <f t="shared" si="46"/>
        <v>70</v>
      </c>
      <c r="T60" s="62">
        <f t="shared" si="12"/>
        <v>46.666666666666664</v>
      </c>
      <c r="U60" s="63">
        <f t="shared" si="47"/>
        <v>70</v>
      </c>
      <c r="V60" s="63">
        <f t="shared" si="4"/>
        <v>70</v>
      </c>
      <c r="W60" s="59">
        <f t="shared" si="48"/>
        <v>140</v>
      </c>
      <c r="Y60" s="76">
        <v>44523</v>
      </c>
      <c r="Z60" s="19" t="s">
        <v>173</v>
      </c>
      <c r="AA60" s="19">
        <v>15</v>
      </c>
    </row>
    <row r="61" spans="2:27" x14ac:dyDescent="0.25">
      <c r="B61" s="56" t="s">
        <v>167</v>
      </c>
      <c r="C61" s="57" t="s">
        <v>168</v>
      </c>
      <c r="D61" s="23">
        <v>3.4</v>
      </c>
      <c r="E61" s="23">
        <v>4.4000000000000004</v>
      </c>
      <c r="F61" s="23">
        <f t="shared" si="44"/>
        <v>1.0000000000000004</v>
      </c>
      <c r="G61" s="23">
        <v>4.4000000000000004</v>
      </c>
      <c r="H61" s="23">
        <f t="shared" si="38"/>
        <v>1.0000000000000004</v>
      </c>
      <c r="I61" s="56" t="s">
        <v>142</v>
      </c>
      <c r="J61" s="66" t="s">
        <v>147</v>
      </c>
      <c r="K61" s="56" t="s">
        <v>144</v>
      </c>
      <c r="L61" s="58">
        <v>72</v>
      </c>
      <c r="M61" s="59"/>
      <c r="N61" s="60"/>
      <c r="O61" s="59">
        <f>L61</f>
        <v>72</v>
      </c>
      <c r="P61" s="60">
        <v>1</v>
      </c>
      <c r="Q61" s="60">
        <v>1</v>
      </c>
      <c r="R61" s="61">
        <v>0</v>
      </c>
      <c r="S61" s="59">
        <f t="shared" si="46"/>
        <v>72</v>
      </c>
      <c r="T61" s="62">
        <f>U61/$F61</f>
        <v>71.999999999999972</v>
      </c>
      <c r="U61" s="63">
        <f t="shared" si="47"/>
        <v>72</v>
      </c>
      <c r="V61" s="63">
        <f t="shared" si="4"/>
        <v>72</v>
      </c>
      <c r="W61" s="59">
        <f t="shared" si="48"/>
        <v>144</v>
      </c>
      <c r="Y61" s="76">
        <v>44523</v>
      </c>
      <c r="Z61" s="19" t="s">
        <v>174</v>
      </c>
      <c r="AA61" s="19">
        <v>23</v>
      </c>
    </row>
    <row r="62" spans="2:27" x14ac:dyDescent="0.25">
      <c r="B62" s="56" t="s">
        <v>167</v>
      </c>
      <c r="C62" s="57" t="s">
        <v>168</v>
      </c>
      <c r="D62" s="23">
        <v>4.4000000000000004</v>
      </c>
      <c r="E62" s="23">
        <v>4.7</v>
      </c>
      <c r="F62" s="23">
        <f t="shared" si="44"/>
        <v>0.29999999999999982</v>
      </c>
      <c r="G62" s="23">
        <v>4.7</v>
      </c>
      <c r="H62" s="23">
        <f t="shared" si="38"/>
        <v>0.29999999999999982</v>
      </c>
      <c r="I62" s="56" t="s">
        <v>142</v>
      </c>
      <c r="J62" s="66" t="s">
        <v>147</v>
      </c>
      <c r="K62" s="56" t="s">
        <v>144</v>
      </c>
      <c r="L62" s="58">
        <v>22</v>
      </c>
      <c r="M62" s="59"/>
      <c r="N62" s="60"/>
      <c r="O62" s="59">
        <f t="shared" si="45"/>
        <v>22</v>
      </c>
      <c r="P62" s="60">
        <v>1</v>
      </c>
      <c r="Q62" s="60">
        <v>1</v>
      </c>
      <c r="R62" s="61">
        <v>0</v>
      </c>
      <c r="S62" s="59">
        <f t="shared" si="46"/>
        <v>22</v>
      </c>
      <c r="T62" s="62">
        <f t="shared" si="12"/>
        <v>73.333333333333371</v>
      </c>
      <c r="U62" s="63">
        <f t="shared" si="47"/>
        <v>22</v>
      </c>
      <c r="V62" s="63">
        <f t="shared" si="4"/>
        <v>22</v>
      </c>
      <c r="W62" s="59">
        <f t="shared" si="48"/>
        <v>44</v>
      </c>
      <c r="Y62" s="76">
        <v>44523</v>
      </c>
      <c r="Z62" s="19" t="s">
        <v>175</v>
      </c>
      <c r="AA62" s="19">
        <v>13</v>
      </c>
    </row>
    <row r="63" spans="2:27" x14ac:dyDescent="0.25">
      <c r="B63" s="56" t="s">
        <v>167</v>
      </c>
      <c r="C63" s="57" t="s">
        <v>168</v>
      </c>
      <c r="D63" s="23">
        <v>4.7</v>
      </c>
      <c r="E63" s="23">
        <v>5.2</v>
      </c>
      <c r="F63" s="23">
        <f t="shared" si="44"/>
        <v>0.5</v>
      </c>
      <c r="G63" s="23">
        <v>5.2</v>
      </c>
      <c r="H63" s="23">
        <f t="shared" si="38"/>
        <v>0.5</v>
      </c>
      <c r="I63" s="56" t="s">
        <v>142</v>
      </c>
      <c r="J63" s="66" t="s">
        <v>147</v>
      </c>
      <c r="K63" s="56" t="s">
        <v>144</v>
      </c>
      <c r="L63" s="58">
        <v>20</v>
      </c>
      <c r="M63" s="59"/>
      <c r="N63" s="60"/>
      <c r="O63" s="59">
        <f t="shared" si="45"/>
        <v>20</v>
      </c>
      <c r="P63" s="60">
        <v>1</v>
      </c>
      <c r="Q63" s="60">
        <v>1</v>
      </c>
      <c r="R63" s="61">
        <v>0</v>
      </c>
      <c r="S63" s="59">
        <f t="shared" si="46"/>
        <v>20</v>
      </c>
      <c r="T63" s="62">
        <f t="shared" si="12"/>
        <v>40</v>
      </c>
      <c r="U63" s="63">
        <f t="shared" si="47"/>
        <v>20</v>
      </c>
      <c r="V63" s="63">
        <f t="shared" si="4"/>
        <v>20</v>
      </c>
      <c r="W63" s="59">
        <f t="shared" si="48"/>
        <v>40</v>
      </c>
      <c r="Y63" s="76">
        <v>44523</v>
      </c>
      <c r="Z63" s="97" t="s">
        <v>175</v>
      </c>
      <c r="AA63" s="19">
        <v>13</v>
      </c>
    </row>
    <row r="64" spans="2:27" x14ac:dyDescent="0.25">
      <c r="B64" s="56" t="s">
        <v>167</v>
      </c>
      <c r="C64" s="57" t="s">
        <v>168</v>
      </c>
      <c r="D64" s="23">
        <v>5.2</v>
      </c>
      <c r="E64" s="23">
        <v>5.7</v>
      </c>
      <c r="F64" s="23">
        <f t="shared" si="44"/>
        <v>0.5</v>
      </c>
      <c r="G64" s="23">
        <v>5.7</v>
      </c>
      <c r="H64" s="23">
        <f t="shared" si="38"/>
        <v>0.5</v>
      </c>
      <c r="I64" s="56" t="s">
        <v>142</v>
      </c>
      <c r="J64" s="66" t="s">
        <v>147</v>
      </c>
      <c r="K64" s="56" t="s">
        <v>144</v>
      </c>
      <c r="L64" s="58">
        <v>7</v>
      </c>
      <c r="M64" s="59"/>
      <c r="N64" s="60"/>
      <c r="O64" s="59">
        <f t="shared" si="45"/>
        <v>7</v>
      </c>
      <c r="P64" s="60">
        <v>1</v>
      </c>
      <c r="Q64" s="60">
        <v>1</v>
      </c>
      <c r="R64" s="61">
        <v>0</v>
      </c>
      <c r="S64" s="59">
        <f t="shared" si="46"/>
        <v>7</v>
      </c>
      <c r="T64" s="62">
        <f t="shared" si="12"/>
        <v>14</v>
      </c>
      <c r="U64" s="63">
        <f t="shared" si="47"/>
        <v>7</v>
      </c>
      <c r="V64" s="63">
        <f t="shared" si="4"/>
        <v>7</v>
      </c>
      <c r="W64" s="59">
        <f t="shared" si="48"/>
        <v>14</v>
      </c>
      <c r="Y64" s="76">
        <v>44523</v>
      </c>
      <c r="Z64" s="97" t="s">
        <v>176</v>
      </c>
      <c r="AA64" s="19">
        <v>6</v>
      </c>
    </row>
    <row r="65" spans="2:26" x14ac:dyDescent="0.25">
      <c r="C65" s="98"/>
      <c r="I65" s="21"/>
      <c r="L65" s="99">
        <f>SUM(L58:L64)</f>
        <v>285</v>
      </c>
      <c r="M65" s="100"/>
      <c r="N65" s="100"/>
      <c r="O65" s="101">
        <f>SUM(O58:O64)</f>
        <v>285</v>
      </c>
      <c r="T65" s="102"/>
      <c r="U65" s="103"/>
      <c r="V65" s="63"/>
      <c r="W65" s="104"/>
      <c r="Z65" s="105"/>
    </row>
    <row r="66" spans="2:26" x14ac:dyDescent="0.25">
      <c r="C66" s="98"/>
      <c r="I66" s="21"/>
      <c r="L66" s="106"/>
      <c r="M66" s="100"/>
      <c r="N66" s="100"/>
      <c r="O66" s="107"/>
      <c r="T66" s="102"/>
      <c r="U66" s="103"/>
      <c r="V66" s="63"/>
      <c r="W66" s="108"/>
      <c r="Z66" s="98"/>
    </row>
    <row r="67" spans="2:26" x14ac:dyDescent="0.25">
      <c r="B67" s="77" t="s">
        <v>167</v>
      </c>
      <c r="C67" s="78" t="s">
        <v>168</v>
      </c>
      <c r="D67" s="79">
        <v>5.7</v>
      </c>
      <c r="E67" s="79">
        <v>6.4</v>
      </c>
      <c r="F67" s="79">
        <f t="shared" ref="F67:F72" si="49">(E67-D67)</f>
        <v>0.70000000000000018</v>
      </c>
      <c r="G67" s="79">
        <v>6.4</v>
      </c>
      <c r="H67" s="79">
        <f t="shared" ref="H67:H71" si="50">G67-D67</f>
        <v>0.70000000000000018</v>
      </c>
      <c r="I67" s="77" t="s">
        <v>142</v>
      </c>
      <c r="J67" s="80" t="s">
        <v>147</v>
      </c>
      <c r="K67" s="77" t="s">
        <v>132</v>
      </c>
      <c r="L67" s="81"/>
      <c r="M67" s="82">
        <v>25</v>
      </c>
      <c r="N67" s="83">
        <f>(((SUM(AA60:AA64))/((SUM(L60:L64)))))</f>
        <v>0.36649214659685864</v>
      </c>
      <c r="O67" s="82">
        <f t="shared" ref="O67:O72" si="51">ROUND(IF(N67&lt;0.2,M67,IF(N67&gt;=0.2,M67/N67)),0)</f>
        <v>68</v>
      </c>
      <c r="P67" s="83">
        <v>1</v>
      </c>
      <c r="Q67" s="83">
        <v>1</v>
      </c>
      <c r="R67" s="84">
        <v>0</v>
      </c>
      <c r="S67" s="82">
        <f t="shared" ref="S67:S72" si="52">O67-R67</f>
        <v>68</v>
      </c>
      <c r="T67" s="85">
        <f t="shared" ref="T67:T72" si="53">U67/$F67</f>
        <v>97.142857142857125</v>
      </c>
      <c r="U67" s="86">
        <f t="shared" ref="U67:U72" si="54">ROUND(+P67*S67,0)</f>
        <v>68</v>
      </c>
      <c r="V67" s="86">
        <f t="shared" ref="V67:V72" si="55">U67</f>
        <v>68</v>
      </c>
      <c r="W67" s="82">
        <f t="shared" ref="W67:W72" si="56">V67+U67</f>
        <v>136</v>
      </c>
      <c r="X67" s="76"/>
      <c r="Y67" s="76">
        <v>44523</v>
      </c>
      <c r="Z67" s="19" t="s">
        <v>177</v>
      </c>
    </row>
    <row r="68" spans="2:26" x14ac:dyDescent="0.25">
      <c r="B68" s="77" t="s">
        <v>167</v>
      </c>
      <c r="C68" s="78" t="s">
        <v>168</v>
      </c>
      <c r="D68" s="79">
        <v>6.4</v>
      </c>
      <c r="E68" s="79">
        <v>6.8</v>
      </c>
      <c r="F68" s="79">
        <f t="shared" si="49"/>
        <v>0.39999999999999947</v>
      </c>
      <c r="G68" s="79">
        <v>6.8</v>
      </c>
      <c r="H68" s="79">
        <f t="shared" si="50"/>
        <v>0.39999999999999947</v>
      </c>
      <c r="I68" s="77" t="s">
        <v>142</v>
      </c>
      <c r="J68" s="80" t="s">
        <v>147</v>
      </c>
      <c r="K68" s="77" t="s">
        <v>132</v>
      </c>
      <c r="L68" s="81"/>
      <c r="M68" s="82">
        <v>7</v>
      </c>
      <c r="N68" s="83">
        <f>(((SUM(AA60:AA64))/((SUM(L60:L64)))))</f>
        <v>0.36649214659685864</v>
      </c>
      <c r="O68" s="82">
        <f t="shared" si="51"/>
        <v>19</v>
      </c>
      <c r="P68" s="83">
        <v>1</v>
      </c>
      <c r="Q68" s="83">
        <v>1</v>
      </c>
      <c r="R68" s="84">
        <v>0</v>
      </c>
      <c r="S68" s="82">
        <f t="shared" si="52"/>
        <v>19</v>
      </c>
      <c r="T68" s="85">
        <f t="shared" si="53"/>
        <v>47.500000000000064</v>
      </c>
      <c r="U68" s="86">
        <f t="shared" si="54"/>
        <v>19</v>
      </c>
      <c r="V68" s="86">
        <f t="shared" si="55"/>
        <v>19</v>
      </c>
      <c r="W68" s="82">
        <f t="shared" si="56"/>
        <v>38</v>
      </c>
      <c r="X68" s="76"/>
      <c r="Y68" s="76">
        <v>44523</v>
      </c>
      <c r="Z68" s="19" t="s">
        <v>177</v>
      </c>
    </row>
    <row r="69" spans="2:26" x14ac:dyDescent="0.25">
      <c r="B69" s="77" t="s">
        <v>167</v>
      </c>
      <c r="C69" s="78" t="s">
        <v>168</v>
      </c>
      <c r="D69" s="79">
        <v>6.8</v>
      </c>
      <c r="E69" s="79">
        <v>8.3000000000000007</v>
      </c>
      <c r="F69" s="79">
        <f t="shared" si="49"/>
        <v>1.5000000000000009</v>
      </c>
      <c r="G69" s="79">
        <v>8.3000000000000007</v>
      </c>
      <c r="H69" s="79">
        <f t="shared" si="50"/>
        <v>1.5000000000000009</v>
      </c>
      <c r="I69" s="77" t="s">
        <v>142</v>
      </c>
      <c r="J69" s="80" t="s">
        <v>147</v>
      </c>
      <c r="K69" s="77" t="s">
        <v>132</v>
      </c>
      <c r="L69" s="81"/>
      <c r="M69" s="82">
        <v>24</v>
      </c>
      <c r="N69" s="83">
        <f>(((SUM(AA60:AA64))/((SUM(L60:L64)))))</f>
        <v>0.36649214659685864</v>
      </c>
      <c r="O69" s="82">
        <f t="shared" si="51"/>
        <v>65</v>
      </c>
      <c r="P69" s="83">
        <v>1</v>
      </c>
      <c r="Q69" s="83">
        <v>1</v>
      </c>
      <c r="R69" s="84">
        <v>0</v>
      </c>
      <c r="S69" s="82">
        <f t="shared" si="52"/>
        <v>65</v>
      </c>
      <c r="T69" s="85">
        <f t="shared" si="53"/>
        <v>43.333333333333307</v>
      </c>
      <c r="U69" s="86">
        <f t="shared" si="54"/>
        <v>65</v>
      </c>
      <c r="V69" s="86">
        <f t="shared" si="55"/>
        <v>65</v>
      </c>
      <c r="W69" s="82">
        <f t="shared" si="56"/>
        <v>130</v>
      </c>
      <c r="X69" s="76"/>
      <c r="Y69" s="76">
        <v>44523</v>
      </c>
      <c r="Z69" s="19" t="s">
        <v>177</v>
      </c>
    </row>
    <row r="70" spans="2:26" x14ac:dyDescent="0.25">
      <c r="B70" s="89">
        <v>23.088999999999999</v>
      </c>
      <c r="C70" s="78" t="s">
        <v>178</v>
      </c>
      <c r="D70" s="79">
        <v>0</v>
      </c>
      <c r="E70" s="79">
        <v>4.0999999999999996</v>
      </c>
      <c r="F70" s="79">
        <f t="shared" si="49"/>
        <v>4.0999999999999996</v>
      </c>
      <c r="G70" s="79">
        <v>4.0999999999999996</v>
      </c>
      <c r="H70" s="79">
        <f t="shared" si="50"/>
        <v>4.0999999999999996</v>
      </c>
      <c r="I70" s="77" t="s">
        <v>142</v>
      </c>
      <c r="J70" s="80" t="s">
        <v>147</v>
      </c>
      <c r="K70" s="77" t="s">
        <v>132</v>
      </c>
      <c r="L70" s="81"/>
      <c r="M70" s="82">
        <v>50</v>
      </c>
      <c r="N70" s="83">
        <f>(((SUM(AA60:AA64))/((SUM(L60:L64)))))</f>
        <v>0.36649214659685864</v>
      </c>
      <c r="O70" s="82">
        <f>ROUND(IF(N70&lt;0.2,M70,IF(N70&gt;=0.2,M70/N70)),0)</f>
        <v>136</v>
      </c>
      <c r="P70" s="83">
        <v>1</v>
      </c>
      <c r="Q70" s="83">
        <v>1</v>
      </c>
      <c r="R70" s="84">
        <v>0</v>
      </c>
      <c r="S70" s="82">
        <f t="shared" si="52"/>
        <v>136</v>
      </c>
      <c r="T70" s="85">
        <f t="shared" si="53"/>
        <v>33.170731707317074</v>
      </c>
      <c r="U70" s="86">
        <f t="shared" si="54"/>
        <v>136</v>
      </c>
      <c r="V70" s="86">
        <f t="shared" si="55"/>
        <v>136</v>
      </c>
      <c r="W70" s="82">
        <f t="shared" si="56"/>
        <v>272</v>
      </c>
      <c r="X70" s="76"/>
      <c r="Y70" s="76">
        <v>44523</v>
      </c>
      <c r="Z70" s="19" t="s">
        <v>179</v>
      </c>
    </row>
    <row r="71" spans="2:26" x14ac:dyDescent="0.25">
      <c r="B71" s="77">
        <v>23.088899999999999</v>
      </c>
      <c r="C71" s="78" t="s">
        <v>180</v>
      </c>
      <c r="D71" s="77">
        <v>0</v>
      </c>
      <c r="E71" s="77">
        <v>0.4</v>
      </c>
      <c r="F71" s="77">
        <f t="shared" si="49"/>
        <v>0.4</v>
      </c>
      <c r="G71" s="77">
        <v>0.3</v>
      </c>
      <c r="H71" s="77">
        <f t="shared" si="50"/>
        <v>0.3</v>
      </c>
      <c r="I71" s="77" t="s">
        <v>142</v>
      </c>
      <c r="J71" s="77" t="s">
        <v>147</v>
      </c>
      <c r="K71" s="77" t="s">
        <v>132</v>
      </c>
      <c r="L71" s="81"/>
      <c r="M71" s="82">
        <v>4</v>
      </c>
      <c r="N71" s="83">
        <f>(((SUM(AA60:AA64))/((SUM(L60:L64)))))</f>
        <v>0.36649214659685864</v>
      </c>
      <c r="O71" s="82">
        <f>ROUND(IF(N71&lt;0.2,M71,IF(N71&gt;=0.2,M71/N71)),0)</f>
        <v>11</v>
      </c>
      <c r="P71" s="83">
        <v>1</v>
      </c>
      <c r="Q71" s="83">
        <v>1</v>
      </c>
      <c r="R71" s="84">
        <v>0</v>
      </c>
      <c r="S71" s="82">
        <f t="shared" si="52"/>
        <v>11</v>
      </c>
      <c r="T71" s="85">
        <f t="shared" si="53"/>
        <v>27.5</v>
      </c>
      <c r="U71" s="86">
        <f t="shared" si="54"/>
        <v>11</v>
      </c>
      <c r="V71" s="86">
        <f t="shared" si="55"/>
        <v>11</v>
      </c>
      <c r="W71" s="82">
        <f t="shared" si="56"/>
        <v>22</v>
      </c>
      <c r="X71" s="76"/>
      <c r="Y71" s="76">
        <v>44523</v>
      </c>
      <c r="Z71" s="19" t="s">
        <v>177</v>
      </c>
    </row>
    <row r="72" spans="2:26" x14ac:dyDescent="0.25">
      <c r="B72" s="77">
        <v>23.088899999999999</v>
      </c>
      <c r="C72" s="78" t="s">
        <v>180</v>
      </c>
      <c r="D72" s="77">
        <v>0.4</v>
      </c>
      <c r="E72" s="77">
        <v>0.7</v>
      </c>
      <c r="F72" s="77">
        <f t="shared" si="49"/>
        <v>0.29999999999999993</v>
      </c>
      <c r="G72" s="77" t="s">
        <v>181</v>
      </c>
      <c r="H72" s="77">
        <v>0</v>
      </c>
      <c r="I72" s="77" t="s">
        <v>142</v>
      </c>
      <c r="J72" s="77" t="s">
        <v>147</v>
      </c>
      <c r="K72" s="77" t="s">
        <v>132</v>
      </c>
      <c r="L72" s="81"/>
      <c r="M72" s="82">
        <v>0</v>
      </c>
      <c r="N72" s="83">
        <f>(((SUM(AA60:AA64))/((SUM(L60:L64)))))</f>
        <v>0.36649214659685864</v>
      </c>
      <c r="O72" s="82">
        <f t="shared" si="51"/>
        <v>0</v>
      </c>
      <c r="P72" s="83">
        <v>1</v>
      </c>
      <c r="Q72" s="83">
        <v>1</v>
      </c>
      <c r="R72" s="84">
        <v>0</v>
      </c>
      <c r="S72" s="82">
        <f t="shared" si="52"/>
        <v>0</v>
      </c>
      <c r="T72" s="85">
        <f t="shared" si="53"/>
        <v>0</v>
      </c>
      <c r="U72" s="86">
        <f t="shared" si="54"/>
        <v>0</v>
      </c>
      <c r="V72" s="86">
        <f t="shared" si="55"/>
        <v>0</v>
      </c>
      <c r="W72" s="82">
        <f t="shared" si="56"/>
        <v>0</v>
      </c>
      <c r="X72" s="76"/>
      <c r="Y72" s="76">
        <v>44523</v>
      </c>
      <c r="Z72" s="19" t="s">
        <v>177</v>
      </c>
    </row>
    <row r="73" spans="2:26" x14ac:dyDescent="0.25">
      <c r="C73" s="98"/>
      <c r="I73" s="21"/>
      <c r="L73" s="106"/>
      <c r="M73" s="100"/>
      <c r="N73" s="100"/>
      <c r="O73" s="107"/>
      <c r="T73" s="102"/>
      <c r="U73" s="103"/>
      <c r="V73" s="63"/>
      <c r="W73" s="108"/>
    </row>
    <row r="74" spans="2:26" x14ac:dyDescent="0.25">
      <c r="B74" s="90" t="s">
        <v>182</v>
      </c>
      <c r="C74" s="91" t="s">
        <v>183</v>
      </c>
      <c r="D74" s="90">
        <v>0</v>
      </c>
      <c r="E74" s="90">
        <v>0.5</v>
      </c>
      <c r="F74" s="90">
        <f t="shared" ref="F74:F75" si="57">(E74-D74)</f>
        <v>0.5</v>
      </c>
      <c r="G74" s="90"/>
      <c r="H74" s="90"/>
      <c r="I74" s="90" t="s">
        <v>142</v>
      </c>
      <c r="J74" s="90" t="s">
        <v>147</v>
      </c>
      <c r="K74" s="90" t="s">
        <v>163</v>
      </c>
      <c r="L74" s="56"/>
      <c r="M74" s="90"/>
      <c r="N74" s="90"/>
      <c r="O74" s="90">
        <f>ROUND((T74*F74),0)</f>
        <v>23</v>
      </c>
      <c r="P74" s="90">
        <v>1</v>
      </c>
      <c r="Q74" s="90">
        <v>1</v>
      </c>
      <c r="R74" s="90">
        <v>0</v>
      </c>
      <c r="S74" s="92">
        <f t="shared" ref="S74" si="58">O74-R74</f>
        <v>23</v>
      </c>
      <c r="T74" s="93">
        <f>T75</f>
        <v>44.999999999999993</v>
      </c>
      <c r="U74" s="94">
        <f t="shared" ref="U74:U75" si="59">ROUND(+P74*S74,0)</f>
        <v>23</v>
      </c>
      <c r="V74" s="94">
        <f t="shared" ref="V74" si="60">U74</f>
        <v>23</v>
      </c>
      <c r="W74" s="95">
        <f t="shared" ref="W74:W75" si="61">V74+U74</f>
        <v>46</v>
      </c>
      <c r="Y74" s="19" t="s">
        <v>184</v>
      </c>
    </row>
    <row r="75" spans="2:26" x14ac:dyDescent="0.25">
      <c r="B75" s="56" t="s">
        <v>182</v>
      </c>
      <c r="C75" s="57" t="s">
        <v>183</v>
      </c>
      <c r="D75" s="23">
        <v>0.5</v>
      </c>
      <c r="E75" s="23">
        <v>1.1000000000000001</v>
      </c>
      <c r="F75" s="23">
        <f t="shared" si="57"/>
        <v>0.60000000000000009</v>
      </c>
      <c r="G75" s="23">
        <v>1.1000000000000001</v>
      </c>
      <c r="H75" s="23">
        <f t="shared" ref="H75:H78" si="62">G75-D75</f>
        <v>0.60000000000000009</v>
      </c>
      <c r="I75" s="56" t="s">
        <v>142</v>
      </c>
      <c r="J75" s="66" t="s">
        <v>147</v>
      </c>
      <c r="K75" s="56" t="s">
        <v>144</v>
      </c>
      <c r="L75" s="58">
        <v>27</v>
      </c>
      <c r="M75" s="59"/>
      <c r="N75" s="60"/>
      <c r="O75" s="59">
        <f t="shared" ref="O75" si="63">L75</f>
        <v>27</v>
      </c>
      <c r="P75" s="60">
        <v>1</v>
      </c>
      <c r="Q75" s="60">
        <v>1</v>
      </c>
      <c r="R75" s="61">
        <v>0</v>
      </c>
      <c r="S75" s="59">
        <f>O75-R75</f>
        <v>27</v>
      </c>
      <c r="T75" s="62">
        <f>U75/$F75</f>
        <v>44.999999999999993</v>
      </c>
      <c r="U75" s="63">
        <f t="shared" si="59"/>
        <v>27</v>
      </c>
      <c r="V75" s="63">
        <f t="shared" si="4"/>
        <v>27</v>
      </c>
      <c r="W75" s="59">
        <f t="shared" si="61"/>
        <v>54</v>
      </c>
    </row>
    <row r="76" spans="2:26" x14ac:dyDescent="0.25">
      <c r="C76" s="98"/>
      <c r="I76" s="21"/>
      <c r="L76" s="106"/>
      <c r="M76" s="100"/>
      <c r="N76" s="100"/>
      <c r="O76" s="107"/>
      <c r="T76" s="102"/>
      <c r="U76" s="103"/>
      <c r="V76" s="63"/>
      <c r="W76" s="108"/>
    </row>
    <row r="77" spans="2:26" x14ac:dyDescent="0.25">
      <c r="B77" s="56" t="s">
        <v>185</v>
      </c>
      <c r="C77" s="57">
        <v>886</v>
      </c>
      <c r="D77" s="56">
        <v>0</v>
      </c>
      <c r="E77" s="56">
        <v>0.5</v>
      </c>
      <c r="F77" s="56">
        <f t="shared" ref="F77:F78" si="64">(E77-D77)</f>
        <v>0.5</v>
      </c>
      <c r="G77" s="56">
        <v>0.3</v>
      </c>
      <c r="H77" s="23">
        <f t="shared" si="62"/>
        <v>0.3</v>
      </c>
      <c r="I77" s="56" t="s">
        <v>142</v>
      </c>
      <c r="J77" s="56" t="s">
        <v>147</v>
      </c>
      <c r="K77" s="56" t="s">
        <v>144</v>
      </c>
      <c r="L77" s="58">
        <v>13</v>
      </c>
      <c r="M77" s="59"/>
      <c r="N77" s="60"/>
      <c r="O77" s="59">
        <f t="shared" ref="O77" si="65">L77</f>
        <v>13</v>
      </c>
      <c r="P77" s="60">
        <v>1</v>
      </c>
      <c r="Q77" s="60">
        <v>1</v>
      </c>
      <c r="R77" s="61">
        <v>0</v>
      </c>
      <c r="S77" s="59">
        <f t="shared" ref="S77:S78" si="66">O77-R77</f>
        <v>13</v>
      </c>
      <c r="T77" s="62">
        <f>U77/$F77</f>
        <v>26</v>
      </c>
      <c r="U77" s="63">
        <f t="shared" ref="U77:U78" si="67">ROUND(+P77*S77,0)</f>
        <v>13</v>
      </c>
      <c r="V77" s="63">
        <f t="shared" ref="V77:V78" si="68">U77</f>
        <v>13</v>
      </c>
      <c r="W77" s="59">
        <f t="shared" ref="W77:W78" si="69">V77+U77</f>
        <v>26</v>
      </c>
    </row>
    <row r="78" spans="2:26" x14ac:dyDescent="0.25">
      <c r="B78" s="77" t="s">
        <v>185</v>
      </c>
      <c r="C78" s="78" t="s">
        <v>186</v>
      </c>
      <c r="D78" s="79">
        <v>0.5</v>
      </c>
      <c r="E78" s="79">
        <v>1</v>
      </c>
      <c r="F78" s="79">
        <f t="shared" si="64"/>
        <v>0.5</v>
      </c>
      <c r="G78" s="79">
        <v>0.5</v>
      </c>
      <c r="H78" s="77">
        <f t="shared" si="62"/>
        <v>0</v>
      </c>
      <c r="I78" s="77" t="s">
        <v>142</v>
      </c>
      <c r="J78" s="80" t="s">
        <v>147</v>
      </c>
      <c r="K78" s="77" t="s">
        <v>132</v>
      </c>
      <c r="L78" s="81"/>
      <c r="M78" s="82">
        <v>0</v>
      </c>
      <c r="N78" s="83"/>
      <c r="O78" s="82">
        <f>ROUND(IF(N78&lt;0.2,M78,IF(N78&gt;=0.2,M78/N78)),0)</f>
        <v>0</v>
      </c>
      <c r="P78" s="83">
        <v>1</v>
      </c>
      <c r="Q78" s="83">
        <v>1</v>
      </c>
      <c r="R78" s="84">
        <v>0</v>
      </c>
      <c r="S78" s="82">
        <f t="shared" si="66"/>
        <v>0</v>
      </c>
      <c r="T78" s="85">
        <f>U78/$F78</f>
        <v>0</v>
      </c>
      <c r="U78" s="86">
        <f t="shared" si="67"/>
        <v>0</v>
      </c>
      <c r="V78" s="86">
        <f t="shared" si="68"/>
        <v>0</v>
      </c>
      <c r="W78" s="82">
        <f t="shared" si="69"/>
        <v>0</v>
      </c>
    </row>
    <row r="79" spans="2:26" x14ac:dyDescent="0.25">
      <c r="C79" s="98"/>
      <c r="I79" s="21"/>
      <c r="L79" s="106"/>
      <c r="M79" s="100"/>
      <c r="N79" s="100"/>
      <c r="O79" s="107"/>
      <c r="T79" s="102"/>
      <c r="U79" s="103"/>
      <c r="V79" s="63"/>
      <c r="W79" s="108"/>
    </row>
    <row r="80" spans="2:26" x14ac:dyDescent="0.25">
      <c r="B80" s="90">
        <v>23.091200000000001</v>
      </c>
      <c r="C80" s="91" t="s">
        <v>187</v>
      </c>
      <c r="D80" s="90">
        <v>0</v>
      </c>
      <c r="E80" s="90">
        <v>0.4</v>
      </c>
      <c r="F80" s="90">
        <f t="shared" ref="F80:F81" si="70">(E80-D80)</f>
        <v>0.4</v>
      </c>
      <c r="G80" s="90"/>
      <c r="H80" s="90"/>
      <c r="I80" s="90" t="s">
        <v>142</v>
      </c>
      <c r="J80" s="90" t="s">
        <v>147</v>
      </c>
      <c r="K80" s="90" t="s">
        <v>163</v>
      </c>
      <c r="L80" s="56"/>
      <c r="M80" s="90"/>
      <c r="N80" s="90"/>
      <c r="O80" s="90">
        <f>ROUND((T80*F80),0)</f>
        <v>6</v>
      </c>
      <c r="P80" s="90">
        <v>1</v>
      </c>
      <c r="Q80" s="90">
        <v>1</v>
      </c>
      <c r="R80" s="90">
        <v>0</v>
      </c>
      <c r="S80" s="92">
        <f t="shared" ref="S80:S81" si="71">O80-R80</f>
        <v>6</v>
      </c>
      <c r="T80" s="93">
        <f>O71/(F71+F72)</f>
        <v>15.714285714285715</v>
      </c>
      <c r="U80" s="94">
        <f t="shared" ref="U80:U81" si="72">ROUND(+P80*S80,0)</f>
        <v>6</v>
      </c>
      <c r="V80" s="94">
        <f t="shared" ref="V80:V81" si="73">U80</f>
        <v>6</v>
      </c>
      <c r="W80" s="95">
        <f t="shared" ref="W80:W81" si="74">V80+U80</f>
        <v>12</v>
      </c>
      <c r="Y80" s="19" t="s">
        <v>188</v>
      </c>
    </row>
    <row r="81" spans="2:26" x14ac:dyDescent="0.25">
      <c r="B81" s="90">
        <v>23.091200000000001</v>
      </c>
      <c r="C81" s="91" t="s">
        <v>187</v>
      </c>
      <c r="D81" s="90">
        <v>0.4</v>
      </c>
      <c r="E81" s="90">
        <v>0.8</v>
      </c>
      <c r="F81" s="90">
        <f t="shared" si="70"/>
        <v>0.4</v>
      </c>
      <c r="G81" s="90"/>
      <c r="H81" s="90"/>
      <c r="I81" s="90" t="s">
        <v>142</v>
      </c>
      <c r="J81" s="90" t="s">
        <v>147</v>
      </c>
      <c r="K81" s="90" t="s">
        <v>163</v>
      </c>
      <c r="L81" s="56"/>
      <c r="M81" s="90"/>
      <c r="N81" s="90"/>
      <c r="O81" s="90">
        <f>ROUND((T81*F81),0)</f>
        <v>6</v>
      </c>
      <c r="P81" s="90">
        <v>1</v>
      </c>
      <c r="Q81" s="90">
        <v>1</v>
      </c>
      <c r="R81" s="90">
        <v>0</v>
      </c>
      <c r="S81" s="92">
        <f t="shared" si="71"/>
        <v>6</v>
      </c>
      <c r="T81" s="93">
        <f>O71/(F71+F72)</f>
        <v>15.714285714285715</v>
      </c>
      <c r="U81" s="94">
        <f t="shared" si="72"/>
        <v>6</v>
      </c>
      <c r="V81" s="94">
        <f t="shared" si="73"/>
        <v>6</v>
      </c>
      <c r="W81" s="95">
        <f t="shared" si="74"/>
        <v>12</v>
      </c>
      <c r="Y81" s="19" t="s">
        <v>188</v>
      </c>
    </row>
    <row r="82" spans="2:26" x14ac:dyDescent="0.25">
      <c r="C82" s="98"/>
      <c r="I82" s="21"/>
      <c r="L82" s="106"/>
      <c r="M82" s="100"/>
      <c r="N82" s="100"/>
      <c r="O82" s="107"/>
      <c r="T82" s="102"/>
      <c r="U82" s="103"/>
      <c r="V82" s="63"/>
      <c r="W82" s="108"/>
    </row>
    <row r="83" spans="2:26" x14ac:dyDescent="0.25">
      <c r="B83" s="56" t="s">
        <v>189</v>
      </c>
      <c r="C83" s="57" t="s">
        <v>190</v>
      </c>
      <c r="D83" s="23">
        <v>0</v>
      </c>
      <c r="E83" s="23">
        <v>1.4</v>
      </c>
      <c r="F83" s="23">
        <f t="shared" ref="F83:F84" si="75">(E83-D83)</f>
        <v>1.4</v>
      </c>
      <c r="G83" s="23">
        <v>1.4</v>
      </c>
      <c r="H83" s="23">
        <f t="shared" ref="H83:H84" si="76">G83-D83</f>
        <v>1.4</v>
      </c>
      <c r="I83" s="56" t="s">
        <v>142</v>
      </c>
      <c r="J83" s="66" t="s">
        <v>147</v>
      </c>
      <c r="K83" s="56" t="s">
        <v>144</v>
      </c>
      <c r="L83" s="58">
        <v>57</v>
      </c>
      <c r="M83" s="59"/>
      <c r="N83" s="60"/>
      <c r="O83" s="59">
        <f t="shared" ref="O83:O84" si="77">L83</f>
        <v>57</v>
      </c>
      <c r="P83" s="60">
        <v>1</v>
      </c>
      <c r="Q83" s="60">
        <v>1</v>
      </c>
      <c r="R83" s="61">
        <v>0</v>
      </c>
      <c r="S83" s="59">
        <f t="shared" ref="S83:S84" si="78">O83-R83</f>
        <v>57</v>
      </c>
      <c r="T83" s="62">
        <f>U83/$F83</f>
        <v>40.714285714285715</v>
      </c>
      <c r="U83" s="63">
        <f t="shared" ref="U83:U84" si="79">ROUND(+P83*S83,0)</f>
        <v>57</v>
      </c>
      <c r="V83" s="63">
        <f t="shared" si="4"/>
        <v>57</v>
      </c>
      <c r="W83" s="59">
        <f t="shared" ref="W83:W84" si="80">V83+U83</f>
        <v>114</v>
      </c>
    </row>
    <row r="84" spans="2:26" x14ac:dyDescent="0.25">
      <c r="B84" s="56" t="s">
        <v>189</v>
      </c>
      <c r="C84" s="57" t="s">
        <v>190</v>
      </c>
      <c r="D84" s="23">
        <v>1.4</v>
      </c>
      <c r="E84" s="23">
        <v>2.6</v>
      </c>
      <c r="F84" s="23">
        <f t="shared" si="75"/>
        <v>1.2000000000000002</v>
      </c>
      <c r="G84" s="23">
        <v>2.6</v>
      </c>
      <c r="H84" s="23">
        <f t="shared" si="76"/>
        <v>1.2000000000000002</v>
      </c>
      <c r="I84" s="56" t="s">
        <v>142</v>
      </c>
      <c r="J84" s="66" t="s">
        <v>147</v>
      </c>
      <c r="K84" s="56" t="s">
        <v>144</v>
      </c>
      <c r="L84" s="58">
        <v>49</v>
      </c>
      <c r="M84" s="59"/>
      <c r="N84" s="60"/>
      <c r="O84" s="59">
        <f t="shared" si="77"/>
        <v>49</v>
      </c>
      <c r="P84" s="60">
        <v>1</v>
      </c>
      <c r="Q84" s="60">
        <v>1</v>
      </c>
      <c r="R84" s="61">
        <v>0</v>
      </c>
      <c r="S84" s="59">
        <f t="shared" si="78"/>
        <v>49</v>
      </c>
      <c r="T84" s="62">
        <f>U84/$F84</f>
        <v>40.833333333333329</v>
      </c>
      <c r="U84" s="63">
        <f t="shared" si="79"/>
        <v>49</v>
      </c>
      <c r="V84" s="63">
        <f t="shared" si="4"/>
        <v>49</v>
      </c>
      <c r="W84" s="59">
        <f t="shared" si="80"/>
        <v>98</v>
      </c>
      <c r="Y84" s="19" t="s">
        <v>191</v>
      </c>
    </row>
    <row r="85" spans="2:26" x14ac:dyDescent="0.25">
      <c r="C85" s="98"/>
      <c r="I85" s="21"/>
      <c r="L85" s="99">
        <f>SUM(L83:L84)</f>
        <v>106</v>
      </c>
      <c r="M85" s="100"/>
      <c r="N85" s="100"/>
      <c r="O85" s="107"/>
      <c r="T85" s="102"/>
      <c r="U85" s="103"/>
      <c r="V85" s="63"/>
      <c r="W85" s="108"/>
    </row>
    <row r="86" spans="2:26" x14ac:dyDescent="0.25">
      <c r="B86" s="77" t="s">
        <v>189</v>
      </c>
      <c r="C86" s="78" t="s">
        <v>190</v>
      </c>
      <c r="D86" s="79">
        <v>2.6</v>
      </c>
      <c r="E86" s="79">
        <v>4</v>
      </c>
      <c r="F86" s="79">
        <f t="shared" ref="F86" si="81">(E86-D86)</f>
        <v>1.4</v>
      </c>
      <c r="G86" s="79">
        <v>3.8</v>
      </c>
      <c r="H86" s="77">
        <f t="shared" ref="H86" si="82">G86-D86</f>
        <v>1.1999999999999997</v>
      </c>
      <c r="I86" s="77" t="s">
        <v>142</v>
      </c>
      <c r="J86" s="80" t="s">
        <v>147</v>
      </c>
      <c r="K86" s="77" t="s">
        <v>132</v>
      </c>
      <c r="L86" s="81"/>
      <c r="M86" s="82">
        <v>3</v>
      </c>
      <c r="N86" s="83">
        <v>0.20408163265306123</v>
      </c>
      <c r="O86" s="82">
        <f>ROUND(IF(N86&lt;0.2,M86,IF(N86&gt;=0.2,M86/N86)),0)</f>
        <v>15</v>
      </c>
      <c r="P86" s="83">
        <v>1</v>
      </c>
      <c r="Q86" s="83">
        <v>1</v>
      </c>
      <c r="R86" s="84">
        <v>0</v>
      </c>
      <c r="S86" s="82">
        <f t="shared" ref="S86" si="83">O86-R86</f>
        <v>15</v>
      </c>
      <c r="T86" s="85">
        <f>U86/$F86</f>
        <v>10.714285714285715</v>
      </c>
      <c r="U86" s="86">
        <f t="shared" ref="U86" si="84">ROUND(+P86*S86,0)</f>
        <v>15</v>
      </c>
      <c r="V86" s="86">
        <f t="shared" ref="V86:V151" si="85">U86</f>
        <v>15</v>
      </c>
      <c r="W86" s="82">
        <f t="shared" ref="W86" si="86">V86+U86</f>
        <v>30</v>
      </c>
      <c r="Y86" s="76">
        <v>44571</v>
      </c>
      <c r="Z86" s="19" t="s">
        <v>192</v>
      </c>
    </row>
    <row r="87" spans="2:26" x14ac:dyDescent="0.25">
      <c r="B87" s="56"/>
      <c r="C87" s="57"/>
      <c r="D87" s="23"/>
      <c r="E87" s="23"/>
      <c r="F87" s="23"/>
      <c r="G87" s="23"/>
      <c r="H87" s="23"/>
      <c r="I87" s="56"/>
      <c r="J87" s="66"/>
      <c r="K87" s="56"/>
      <c r="L87" s="58"/>
      <c r="M87" s="59"/>
      <c r="N87" s="60"/>
      <c r="O87" s="59"/>
      <c r="P87" s="60"/>
      <c r="Q87" s="60"/>
      <c r="R87" s="61"/>
      <c r="S87" s="59"/>
      <c r="T87" s="62"/>
      <c r="U87" s="63"/>
      <c r="V87" s="63"/>
      <c r="W87" s="59"/>
    </row>
    <row r="88" spans="2:26" ht="14.1" customHeight="1" x14ac:dyDescent="0.25">
      <c r="B88" s="77">
        <v>23.092300000000002</v>
      </c>
      <c r="C88" s="78" t="s">
        <v>193</v>
      </c>
      <c r="D88" s="79">
        <v>0</v>
      </c>
      <c r="E88" s="79">
        <v>0.5</v>
      </c>
      <c r="F88" s="79">
        <f t="shared" ref="F88:F91" si="87">(E88-D88)</f>
        <v>0.5</v>
      </c>
      <c r="G88" s="79" t="s">
        <v>181</v>
      </c>
      <c r="H88" s="79">
        <v>0</v>
      </c>
      <c r="I88" s="77" t="s">
        <v>142</v>
      </c>
      <c r="J88" s="80" t="s">
        <v>147</v>
      </c>
      <c r="K88" s="77" t="s">
        <v>132</v>
      </c>
      <c r="L88" s="81"/>
      <c r="M88" s="82">
        <v>0</v>
      </c>
      <c r="N88" s="83"/>
      <c r="O88" s="82">
        <f t="shared" ref="O88:O91" si="88">ROUND(IF(N88&lt;0.2,M88,IF(N88&gt;=0.2,M88/N88)),0)</f>
        <v>0</v>
      </c>
      <c r="P88" s="83">
        <v>1</v>
      </c>
      <c r="Q88" s="83">
        <v>1</v>
      </c>
      <c r="R88" s="84">
        <v>0</v>
      </c>
      <c r="S88" s="82">
        <f t="shared" ref="S88:S91" si="89">O88-R88</f>
        <v>0</v>
      </c>
      <c r="T88" s="85">
        <f t="shared" ref="T88:T89" si="90">U88/$F88</f>
        <v>0</v>
      </c>
      <c r="U88" s="86">
        <f t="shared" ref="U88:U91" si="91">ROUND(+P88*S88,0)</f>
        <v>0</v>
      </c>
      <c r="V88" s="86">
        <f t="shared" ref="V88:V89" si="92">U88</f>
        <v>0</v>
      </c>
      <c r="W88" s="82">
        <f t="shared" ref="W88:W91" si="93">V88+U88</f>
        <v>0</v>
      </c>
      <c r="Y88" s="76">
        <v>44580</v>
      </c>
      <c r="Z88" s="19" t="s">
        <v>194</v>
      </c>
    </row>
    <row r="89" spans="2:26" ht="14.1" customHeight="1" x14ac:dyDescent="0.25">
      <c r="B89" s="77">
        <v>23.092400000000001</v>
      </c>
      <c r="C89" s="78" t="s">
        <v>195</v>
      </c>
      <c r="D89" s="79">
        <v>0</v>
      </c>
      <c r="E89" s="79">
        <v>0.15</v>
      </c>
      <c r="F89" s="79">
        <f t="shared" si="87"/>
        <v>0.15</v>
      </c>
      <c r="G89" s="79" t="s">
        <v>181</v>
      </c>
      <c r="H89" s="79">
        <v>0</v>
      </c>
      <c r="I89" s="77" t="s">
        <v>142</v>
      </c>
      <c r="J89" s="80" t="s">
        <v>147</v>
      </c>
      <c r="K89" s="77" t="s">
        <v>132</v>
      </c>
      <c r="L89" s="81"/>
      <c r="M89" s="82">
        <v>0</v>
      </c>
      <c r="N89" s="83"/>
      <c r="O89" s="82">
        <f t="shared" si="88"/>
        <v>0</v>
      </c>
      <c r="P89" s="83">
        <v>1</v>
      </c>
      <c r="Q89" s="83">
        <v>1</v>
      </c>
      <c r="R89" s="84">
        <v>0</v>
      </c>
      <c r="S89" s="82">
        <f t="shared" si="89"/>
        <v>0</v>
      </c>
      <c r="T89" s="85">
        <f t="shared" si="90"/>
        <v>0</v>
      </c>
      <c r="U89" s="86">
        <f t="shared" si="91"/>
        <v>0</v>
      </c>
      <c r="V89" s="86">
        <f t="shared" si="92"/>
        <v>0</v>
      </c>
      <c r="W89" s="82">
        <f t="shared" si="93"/>
        <v>0</v>
      </c>
      <c r="Y89" s="76">
        <v>44580</v>
      </c>
    </row>
    <row r="90" spans="2:26" x14ac:dyDescent="0.25">
      <c r="B90" s="77">
        <v>23.092600000000001</v>
      </c>
      <c r="C90" s="78" t="s">
        <v>196</v>
      </c>
      <c r="D90" s="79">
        <v>0</v>
      </c>
      <c r="E90" s="79">
        <v>0.4</v>
      </c>
      <c r="F90" s="79">
        <f t="shared" si="87"/>
        <v>0.4</v>
      </c>
      <c r="G90" s="79" t="s">
        <v>181</v>
      </c>
      <c r="H90" s="79">
        <v>0</v>
      </c>
      <c r="I90" s="77" t="s">
        <v>142</v>
      </c>
      <c r="J90" s="80" t="s">
        <v>147</v>
      </c>
      <c r="K90" s="77" t="s">
        <v>132</v>
      </c>
      <c r="L90" s="81"/>
      <c r="M90" s="82">
        <v>1</v>
      </c>
      <c r="N90" s="83">
        <f>10/49</f>
        <v>0.20408163265306123</v>
      </c>
      <c r="O90" s="82">
        <f t="shared" si="88"/>
        <v>5</v>
      </c>
      <c r="P90" s="83">
        <v>1</v>
      </c>
      <c r="Q90" s="83">
        <v>1</v>
      </c>
      <c r="R90" s="84">
        <v>0</v>
      </c>
      <c r="S90" s="82">
        <f t="shared" si="89"/>
        <v>5</v>
      </c>
      <c r="T90" s="85">
        <f>U90/$F90</f>
        <v>12.5</v>
      </c>
      <c r="U90" s="86">
        <f t="shared" si="91"/>
        <v>5</v>
      </c>
      <c r="V90" s="86">
        <f t="shared" si="85"/>
        <v>5</v>
      </c>
      <c r="W90" s="82">
        <f t="shared" si="93"/>
        <v>10</v>
      </c>
      <c r="Y90" s="76">
        <v>44579</v>
      </c>
      <c r="Z90" s="19" t="s">
        <v>197</v>
      </c>
    </row>
    <row r="91" spans="2:26" x14ac:dyDescent="0.25">
      <c r="B91" s="77">
        <v>23.092700000000001</v>
      </c>
      <c r="C91" s="78" t="s">
        <v>198</v>
      </c>
      <c r="D91" s="79">
        <v>0</v>
      </c>
      <c r="E91" s="79">
        <v>0.4</v>
      </c>
      <c r="F91" s="79">
        <f t="shared" si="87"/>
        <v>0.4</v>
      </c>
      <c r="G91" s="79" t="s">
        <v>181</v>
      </c>
      <c r="H91" s="79">
        <v>0</v>
      </c>
      <c r="I91" s="77" t="s">
        <v>142</v>
      </c>
      <c r="J91" s="80" t="s">
        <v>147</v>
      </c>
      <c r="K91" s="77" t="s">
        <v>132</v>
      </c>
      <c r="L91" s="81"/>
      <c r="M91" s="82">
        <v>1</v>
      </c>
      <c r="N91" s="83">
        <f>10/49</f>
        <v>0.20408163265306123</v>
      </c>
      <c r="O91" s="82">
        <f t="shared" si="88"/>
        <v>5</v>
      </c>
      <c r="P91" s="83">
        <v>1</v>
      </c>
      <c r="Q91" s="83">
        <v>1</v>
      </c>
      <c r="R91" s="84">
        <v>0</v>
      </c>
      <c r="S91" s="82">
        <f t="shared" si="89"/>
        <v>5</v>
      </c>
      <c r="T91" s="85">
        <f>U91/$F91</f>
        <v>12.5</v>
      </c>
      <c r="U91" s="86">
        <f t="shared" si="91"/>
        <v>5</v>
      </c>
      <c r="V91" s="86">
        <f t="shared" si="85"/>
        <v>5</v>
      </c>
      <c r="W91" s="82">
        <f t="shared" si="93"/>
        <v>10</v>
      </c>
      <c r="Y91" s="76">
        <v>44579</v>
      </c>
      <c r="Z91" s="19" t="s">
        <v>197</v>
      </c>
    </row>
    <row r="92" spans="2:26" x14ac:dyDescent="0.25">
      <c r="C92" s="98"/>
      <c r="I92" s="21"/>
      <c r="L92" s="106"/>
      <c r="M92" s="100"/>
      <c r="N92" s="100"/>
      <c r="O92" s="107"/>
      <c r="T92" s="102"/>
      <c r="U92" s="103"/>
      <c r="V92" s="63"/>
      <c r="W92" s="108"/>
    </row>
    <row r="93" spans="2:26" x14ac:dyDescent="0.25">
      <c r="B93" s="56" t="s">
        <v>199</v>
      </c>
      <c r="C93" s="57" t="s">
        <v>200</v>
      </c>
      <c r="D93" s="23">
        <v>0</v>
      </c>
      <c r="E93" s="23">
        <v>0.3</v>
      </c>
      <c r="F93" s="23">
        <f t="shared" ref="F93:F96" si="94">(E93-D93)</f>
        <v>0.3</v>
      </c>
      <c r="G93" s="23">
        <v>0.3</v>
      </c>
      <c r="H93" s="23">
        <f t="shared" ref="H93:H96" si="95">G93-D93</f>
        <v>0.3</v>
      </c>
      <c r="I93" s="56" t="s">
        <v>142</v>
      </c>
      <c r="J93" s="66" t="s">
        <v>147</v>
      </c>
      <c r="K93" s="56" t="s">
        <v>144</v>
      </c>
      <c r="L93" s="58">
        <v>0</v>
      </c>
      <c r="M93" s="59"/>
      <c r="N93" s="60"/>
      <c r="O93" s="59">
        <f t="shared" ref="O93:O96" si="96">L93</f>
        <v>0</v>
      </c>
      <c r="P93" s="60">
        <v>1</v>
      </c>
      <c r="Q93" s="60">
        <v>1</v>
      </c>
      <c r="R93" s="61">
        <v>0</v>
      </c>
      <c r="S93" s="59">
        <f t="shared" ref="S93:S96" si="97">O93-R93</f>
        <v>0</v>
      </c>
      <c r="T93" s="62">
        <f t="shared" ref="T93:T126" si="98">U93/$F93</f>
        <v>0</v>
      </c>
      <c r="U93" s="63">
        <f t="shared" ref="U93:U96" si="99">ROUND(+P93*S93,0)</f>
        <v>0</v>
      </c>
      <c r="V93" s="63">
        <f t="shared" si="85"/>
        <v>0</v>
      </c>
      <c r="W93" s="59">
        <f t="shared" ref="W93:W96" si="100">V93+U93</f>
        <v>0</v>
      </c>
    </row>
    <row r="94" spans="2:26" x14ac:dyDescent="0.25">
      <c r="B94" s="56" t="s">
        <v>199</v>
      </c>
      <c r="C94" s="57" t="s">
        <v>200</v>
      </c>
      <c r="D94" s="23">
        <v>0.3</v>
      </c>
      <c r="E94" s="23">
        <v>0.9</v>
      </c>
      <c r="F94" s="23">
        <f t="shared" si="94"/>
        <v>0.60000000000000009</v>
      </c>
      <c r="G94" s="23">
        <v>0.9</v>
      </c>
      <c r="H94" s="23">
        <f t="shared" si="95"/>
        <v>0.60000000000000009</v>
      </c>
      <c r="I94" s="56" t="s">
        <v>142</v>
      </c>
      <c r="J94" s="66" t="s">
        <v>147</v>
      </c>
      <c r="K94" s="56" t="s">
        <v>144</v>
      </c>
      <c r="L94" s="58">
        <v>19</v>
      </c>
      <c r="M94" s="59"/>
      <c r="N94" s="60"/>
      <c r="O94" s="59">
        <f t="shared" si="96"/>
        <v>19</v>
      </c>
      <c r="P94" s="60">
        <v>1</v>
      </c>
      <c r="Q94" s="60">
        <v>1</v>
      </c>
      <c r="R94" s="61">
        <v>0</v>
      </c>
      <c r="S94" s="59">
        <f t="shared" si="97"/>
        <v>19</v>
      </c>
      <c r="T94" s="62">
        <f t="shared" si="98"/>
        <v>31.666666666666661</v>
      </c>
      <c r="U94" s="63">
        <f t="shared" si="99"/>
        <v>19</v>
      </c>
      <c r="V94" s="63">
        <f t="shared" si="85"/>
        <v>19</v>
      </c>
      <c r="W94" s="59">
        <f t="shared" si="100"/>
        <v>38</v>
      </c>
    </row>
    <row r="95" spans="2:26" x14ac:dyDescent="0.25">
      <c r="B95" s="56" t="s">
        <v>199</v>
      </c>
      <c r="C95" s="57" t="s">
        <v>200</v>
      </c>
      <c r="D95" s="23">
        <v>0.9</v>
      </c>
      <c r="E95" s="23">
        <v>1.4</v>
      </c>
      <c r="F95" s="23">
        <f t="shared" si="94"/>
        <v>0.49999999999999989</v>
      </c>
      <c r="G95" s="23">
        <v>1.4</v>
      </c>
      <c r="H95" s="23">
        <f t="shared" si="95"/>
        <v>0.49999999999999989</v>
      </c>
      <c r="I95" s="56" t="s">
        <v>142</v>
      </c>
      <c r="J95" s="66" t="s">
        <v>147</v>
      </c>
      <c r="K95" s="56" t="s">
        <v>144</v>
      </c>
      <c r="L95" s="58">
        <v>17</v>
      </c>
      <c r="M95" s="59"/>
      <c r="N95" s="60"/>
      <c r="O95" s="59">
        <f t="shared" si="96"/>
        <v>17</v>
      </c>
      <c r="P95" s="60">
        <v>1</v>
      </c>
      <c r="Q95" s="60">
        <v>1</v>
      </c>
      <c r="R95" s="61">
        <v>0</v>
      </c>
      <c r="S95" s="59">
        <f t="shared" si="97"/>
        <v>17</v>
      </c>
      <c r="T95" s="62">
        <f t="shared" si="98"/>
        <v>34.000000000000007</v>
      </c>
      <c r="U95" s="63">
        <f t="shared" si="99"/>
        <v>17</v>
      </c>
      <c r="V95" s="63">
        <f t="shared" si="85"/>
        <v>17</v>
      </c>
      <c r="W95" s="59">
        <f t="shared" si="100"/>
        <v>34</v>
      </c>
    </row>
    <row r="96" spans="2:26" x14ac:dyDescent="0.25">
      <c r="B96" s="56" t="s">
        <v>199</v>
      </c>
      <c r="C96" s="57" t="s">
        <v>200</v>
      </c>
      <c r="D96" s="23">
        <v>1.4</v>
      </c>
      <c r="E96" s="23">
        <v>2.4</v>
      </c>
      <c r="F96" s="23">
        <f t="shared" si="94"/>
        <v>1</v>
      </c>
      <c r="G96" s="23">
        <v>2.4</v>
      </c>
      <c r="H96" s="23">
        <f t="shared" si="95"/>
        <v>1</v>
      </c>
      <c r="I96" s="56" t="s">
        <v>142</v>
      </c>
      <c r="J96" s="66" t="s">
        <v>147</v>
      </c>
      <c r="K96" s="56" t="s">
        <v>144</v>
      </c>
      <c r="L96" s="58">
        <v>76</v>
      </c>
      <c r="M96" s="59"/>
      <c r="N96" s="60"/>
      <c r="O96" s="59">
        <f t="shared" si="96"/>
        <v>76</v>
      </c>
      <c r="P96" s="60">
        <v>1</v>
      </c>
      <c r="Q96" s="60">
        <v>1</v>
      </c>
      <c r="R96" s="61">
        <v>0</v>
      </c>
      <c r="S96" s="59">
        <f t="shared" si="97"/>
        <v>76</v>
      </c>
      <c r="T96" s="62">
        <f t="shared" si="98"/>
        <v>76</v>
      </c>
      <c r="U96" s="63">
        <f t="shared" si="99"/>
        <v>76</v>
      </c>
      <c r="V96" s="63">
        <f t="shared" si="85"/>
        <v>76</v>
      </c>
      <c r="W96" s="59">
        <f t="shared" si="100"/>
        <v>152</v>
      </c>
    </row>
    <row r="97" spans="2:27" x14ac:dyDescent="0.25">
      <c r="B97" s="56"/>
      <c r="C97" s="57"/>
      <c r="D97" s="23"/>
      <c r="E97" s="23"/>
      <c r="F97" s="23"/>
      <c r="G97" s="23"/>
      <c r="H97" s="23"/>
      <c r="I97" s="56"/>
      <c r="J97" s="66"/>
      <c r="K97" s="56"/>
      <c r="L97" s="64">
        <f>SUM(L93:L96)</f>
        <v>112</v>
      </c>
      <c r="M97" s="59"/>
      <c r="N97" s="60"/>
      <c r="O97" s="59"/>
      <c r="P97" s="60"/>
      <c r="Q97" s="60"/>
      <c r="R97" s="61"/>
      <c r="S97" s="59"/>
      <c r="T97" s="62"/>
      <c r="U97" s="63"/>
      <c r="V97" s="63"/>
      <c r="W97" s="59"/>
    </row>
    <row r="98" spans="2:27" x14ac:dyDescent="0.25">
      <c r="B98" s="77" t="s">
        <v>201</v>
      </c>
      <c r="C98" s="78" t="s">
        <v>202</v>
      </c>
      <c r="D98" s="79">
        <v>0</v>
      </c>
      <c r="E98" s="79">
        <v>0.2</v>
      </c>
      <c r="F98" s="79">
        <f>(E98-D98)</f>
        <v>0.2</v>
      </c>
      <c r="G98" s="79" t="s">
        <v>181</v>
      </c>
      <c r="H98" s="79">
        <v>0</v>
      </c>
      <c r="I98" s="77" t="s">
        <v>142</v>
      </c>
      <c r="J98" s="80" t="s">
        <v>147</v>
      </c>
      <c r="K98" s="77" t="s">
        <v>132</v>
      </c>
      <c r="L98" s="81"/>
      <c r="M98" s="82"/>
      <c r="N98" s="83"/>
      <c r="O98" s="82">
        <f>ROUND(IF(N98&lt;0.2,M98,IF(N98&gt;=0.2,M98/N98)),0)</f>
        <v>0</v>
      </c>
      <c r="P98" s="83">
        <v>1</v>
      </c>
      <c r="Q98" s="83">
        <v>1</v>
      </c>
      <c r="R98" s="84">
        <v>0</v>
      </c>
      <c r="S98" s="82">
        <f>O98-R98</f>
        <v>0</v>
      </c>
      <c r="T98" s="85">
        <f>U98/$F98</f>
        <v>0</v>
      </c>
      <c r="U98" s="86">
        <f>ROUND(+P98*S98,0)</f>
        <v>0</v>
      </c>
      <c r="V98" s="86">
        <f>U98</f>
        <v>0</v>
      </c>
      <c r="W98" s="82">
        <f>V98+U98</f>
        <v>0</v>
      </c>
      <c r="Y98" s="109" t="s">
        <v>203</v>
      </c>
    </row>
    <row r="99" spans="2:27" x14ac:dyDescent="0.25">
      <c r="B99" s="77" t="s">
        <v>204</v>
      </c>
      <c r="C99" s="78" t="s">
        <v>205</v>
      </c>
      <c r="D99" s="79">
        <v>0</v>
      </c>
      <c r="E99" s="79">
        <v>0.2</v>
      </c>
      <c r="F99" s="79">
        <f>(E99-D99)</f>
        <v>0.2</v>
      </c>
      <c r="G99" s="79" t="s">
        <v>181</v>
      </c>
      <c r="H99" s="79">
        <v>0</v>
      </c>
      <c r="I99" s="77" t="s">
        <v>142</v>
      </c>
      <c r="J99" s="80" t="s">
        <v>147</v>
      </c>
      <c r="K99" s="77" t="s">
        <v>132</v>
      </c>
      <c r="L99" s="81"/>
      <c r="M99" s="82"/>
      <c r="N99" s="83"/>
      <c r="O99" s="82">
        <f>ROUND(IF(N99&lt;0.2,M99,IF(N99&gt;=0.2,M99/N99)),0)</f>
        <v>0</v>
      </c>
      <c r="P99" s="83">
        <v>1</v>
      </c>
      <c r="Q99" s="83">
        <v>1</v>
      </c>
      <c r="R99" s="84">
        <v>0</v>
      </c>
      <c r="S99" s="82">
        <f>O99-R99</f>
        <v>0</v>
      </c>
      <c r="T99" s="85">
        <f>U99/$F99</f>
        <v>0</v>
      </c>
      <c r="U99" s="86">
        <f>ROUND(+P99*S99,0)</f>
        <v>0</v>
      </c>
      <c r="V99" s="86">
        <f>U99</f>
        <v>0</v>
      </c>
      <c r="W99" s="82">
        <f>V99+U99</f>
        <v>0</v>
      </c>
      <c r="Y99" s="109" t="s">
        <v>203</v>
      </c>
    </row>
    <row r="100" spans="2:27" x14ac:dyDescent="0.25">
      <c r="B100" s="77" t="s">
        <v>206</v>
      </c>
      <c r="C100" s="78" t="s">
        <v>207</v>
      </c>
      <c r="D100" s="79">
        <v>0</v>
      </c>
      <c r="E100" s="79">
        <v>0.2</v>
      </c>
      <c r="F100" s="79">
        <f>(E100-D100)</f>
        <v>0.2</v>
      </c>
      <c r="G100" s="79" t="s">
        <v>181</v>
      </c>
      <c r="H100" s="79">
        <v>0</v>
      </c>
      <c r="I100" s="77" t="s">
        <v>142</v>
      </c>
      <c r="J100" s="80" t="s">
        <v>147</v>
      </c>
      <c r="K100" s="77" t="s">
        <v>132</v>
      </c>
      <c r="L100" s="81"/>
      <c r="M100" s="82"/>
      <c r="N100" s="83"/>
      <c r="O100" s="82">
        <f>ROUND(IF(N100&lt;0.2,M100,IF(N100&gt;=0.2,M100/N100)),0)</f>
        <v>0</v>
      </c>
      <c r="P100" s="83">
        <v>1</v>
      </c>
      <c r="Q100" s="83">
        <v>1</v>
      </c>
      <c r="R100" s="84">
        <v>0</v>
      </c>
      <c r="S100" s="82">
        <f>O100-R100</f>
        <v>0</v>
      </c>
      <c r="T100" s="85">
        <f>U100/$F100</f>
        <v>0</v>
      </c>
      <c r="U100" s="86">
        <f>ROUND(+P100*S100,0)</f>
        <v>0</v>
      </c>
      <c r="V100" s="86">
        <f>U100</f>
        <v>0</v>
      </c>
      <c r="W100" s="82">
        <f>V100+U100</f>
        <v>0</v>
      </c>
      <c r="Y100" s="109" t="s">
        <v>203</v>
      </c>
    </row>
    <row r="101" spans="2:27" x14ac:dyDescent="0.25">
      <c r="B101" s="77" t="s">
        <v>208</v>
      </c>
      <c r="C101" s="78" t="s">
        <v>209</v>
      </c>
      <c r="D101" s="79">
        <v>0</v>
      </c>
      <c r="E101" s="79">
        <v>0.2</v>
      </c>
      <c r="F101" s="79">
        <f>(E101-D101)</f>
        <v>0.2</v>
      </c>
      <c r="G101" s="79" t="s">
        <v>181</v>
      </c>
      <c r="H101" s="79">
        <v>0</v>
      </c>
      <c r="I101" s="77" t="s">
        <v>142</v>
      </c>
      <c r="J101" s="80" t="s">
        <v>147</v>
      </c>
      <c r="K101" s="77" t="s">
        <v>132</v>
      </c>
      <c r="L101" s="81"/>
      <c r="M101" s="82"/>
      <c r="N101" s="83"/>
      <c r="O101" s="82">
        <f>ROUND(IF(N101&lt;0.2,M101,IF(N101&gt;=0.2,M101/N101)),0)</f>
        <v>0</v>
      </c>
      <c r="P101" s="83">
        <v>1</v>
      </c>
      <c r="Q101" s="83">
        <v>1</v>
      </c>
      <c r="R101" s="84">
        <v>0</v>
      </c>
      <c r="S101" s="82">
        <f>O101-R101</f>
        <v>0</v>
      </c>
      <c r="T101" s="85">
        <f>U101/$F101</f>
        <v>0</v>
      </c>
      <c r="U101" s="86">
        <f>ROUND(+P101*S101,0)</f>
        <v>0</v>
      </c>
      <c r="V101" s="86">
        <f>U101</f>
        <v>0</v>
      </c>
      <c r="W101" s="82">
        <f>V101+U101</f>
        <v>0</v>
      </c>
      <c r="Y101" s="109" t="s">
        <v>203</v>
      </c>
    </row>
    <row r="102" spans="2:27" x14ac:dyDescent="0.25">
      <c r="B102" s="77" t="s">
        <v>199</v>
      </c>
      <c r="C102" s="78" t="s">
        <v>200</v>
      </c>
      <c r="D102" s="79">
        <v>2.4</v>
      </c>
      <c r="E102" s="79">
        <v>2.9</v>
      </c>
      <c r="F102" s="79">
        <f t="shared" ref="F102:F103" si="101">(E102-D102)</f>
        <v>0.5</v>
      </c>
      <c r="G102" s="79" t="s">
        <v>181</v>
      </c>
      <c r="H102" s="79">
        <v>0</v>
      </c>
      <c r="I102" s="77" t="s">
        <v>142</v>
      </c>
      <c r="J102" s="80" t="s">
        <v>147</v>
      </c>
      <c r="K102" s="77" t="s">
        <v>132</v>
      </c>
      <c r="L102" s="81"/>
      <c r="M102" s="82"/>
      <c r="N102" s="83"/>
      <c r="O102" s="82">
        <f t="shared" ref="O102:O103" si="102">ROUND(IF(N102&lt;0.2,M102,IF(N102&gt;=0.2,M102/N102)),0)</f>
        <v>0</v>
      </c>
      <c r="P102" s="83">
        <v>1</v>
      </c>
      <c r="Q102" s="83">
        <v>1</v>
      </c>
      <c r="R102" s="84">
        <v>0</v>
      </c>
      <c r="S102" s="82">
        <f t="shared" ref="S102:S103" si="103">O102-R102</f>
        <v>0</v>
      </c>
      <c r="T102" s="85">
        <f t="shared" si="98"/>
        <v>0</v>
      </c>
      <c r="U102" s="86">
        <f t="shared" ref="U102:U103" si="104">ROUND(+P102*S102,0)</f>
        <v>0</v>
      </c>
      <c r="V102" s="86">
        <f t="shared" si="85"/>
        <v>0</v>
      </c>
      <c r="W102" s="82">
        <f t="shared" ref="W102:W103" si="105">V102+U102</f>
        <v>0</v>
      </c>
      <c r="Y102" s="109" t="s">
        <v>210</v>
      </c>
    </row>
    <row r="103" spans="2:27" x14ac:dyDescent="0.25">
      <c r="B103" s="77" t="s">
        <v>199</v>
      </c>
      <c r="C103" s="78" t="s">
        <v>200</v>
      </c>
      <c r="D103" s="79">
        <v>2.9</v>
      </c>
      <c r="E103" s="79">
        <v>3.4</v>
      </c>
      <c r="F103" s="79">
        <f t="shared" si="101"/>
        <v>0.5</v>
      </c>
      <c r="G103" s="79" t="s">
        <v>181</v>
      </c>
      <c r="H103" s="79">
        <v>0</v>
      </c>
      <c r="I103" s="77" t="s">
        <v>142</v>
      </c>
      <c r="J103" s="80" t="s">
        <v>147</v>
      </c>
      <c r="K103" s="77" t="s">
        <v>132</v>
      </c>
      <c r="L103" s="81"/>
      <c r="M103" s="82"/>
      <c r="N103" s="83"/>
      <c r="O103" s="82">
        <f t="shared" si="102"/>
        <v>0</v>
      </c>
      <c r="P103" s="83">
        <v>1</v>
      </c>
      <c r="Q103" s="83">
        <v>1</v>
      </c>
      <c r="R103" s="84">
        <v>0</v>
      </c>
      <c r="S103" s="82">
        <f t="shared" si="103"/>
        <v>0</v>
      </c>
      <c r="T103" s="85">
        <f t="shared" si="98"/>
        <v>0</v>
      </c>
      <c r="U103" s="86">
        <f t="shared" si="104"/>
        <v>0</v>
      </c>
      <c r="V103" s="86">
        <f t="shared" si="85"/>
        <v>0</v>
      </c>
      <c r="W103" s="82">
        <f t="shared" si="105"/>
        <v>0</v>
      </c>
      <c r="Y103" s="109" t="s">
        <v>211</v>
      </c>
    </row>
    <row r="104" spans="2:27" x14ac:dyDescent="0.25">
      <c r="B104" s="56"/>
      <c r="C104" s="57"/>
      <c r="D104" s="23"/>
      <c r="E104" s="23"/>
      <c r="F104" s="23"/>
      <c r="G104" s="23"/>
      <c r="H104" s="23"/>
      <c r="I104" s="56"/>
      <c r="J104" s="66"/>
      <c r="K104" s="56"/>
      <c r="L104" s="58"/>
      <c r="M104" s="59"/>
      <c r="N104" s="60"/>
      <c r="O104" s="59"/>
      <c r="P104" s="60"/>
      <c r="Q104" s="60"/>
      <c r="R104" s="61"/>
      <c r="S104" s="59"/>
      <c r="T104" s="62"/>
      <c r="U104" s="63"/>
      <c r="V104" s="63"/>
      <c r="W104" s="59"/>
    </row>
    <row r="105" spans="2:27" x14ac:dyDescent="0.25">
      <c r="B105" s="77" t="s">
        <v>212</v>
      </c>
      <c r="C105" s="78" t="s">
        <v>213</v>
      </c>
      <c r="D105" s="79">
        <v>0</v>
      </c>
      <c r="E105" s="79">
        <v>0.4</v>
      </c>
      <c r="F105" s="79">
        <f t="shared" ref="F105:F107" si="106">(E105-D105)</f>
        <v>0.4</v>
      </c>
      <c r="G105" s="79">
        <v>0.4</v>
      </c>
      <c r="H105" s="77">
        <f t="shared" ref="H105:H106" si="107">G105-D105</f>
        <v>0.4</v>
      </c>
      <c r="I105" s="77" t="s">
        <v>142</v>
      </c>
      <c r="J105" s="80" t="s">
        <v>147</v>
      </c>
      <c r="K105" s="77" t="s">
        <v>132</v>
      </c>
      <c r="L105" s="81"/>
      <c r="M105" s="82">
        <v>1</v>
      </c>
      <c r="N105" s="83"/>
      <c r="O105" s="82">
        <f>ROUND(IF(N105&lt;0.2,M105,IF(N105&gt;=0.2,M105/N105)),0)</f>
        <v>1</v>
      </c>
      <c r="P105" s="83">
        <v>1</v>
      </c>
      <c r="Q105" s="83">
        <v>1</v>
      </c>
      <c r="R105" s="84">
        <v>0</v>
      </c>
      <c r="S105" s="82">
        <f t="shared" ref="S105:S107" si="108">O105-R105</f>
        <v>1</v>
      </c>
      <c r="T105" s="85">
        <f t="shared" si="98"/>
        <v>2.5</v>
      </c>
      <c r="U105" s="86">
        <f t="shared" ref="U105:U107" si="109">ROUND(+P105*S105,0)</f>
        <v>1</v>
      </c>
      <c r="V105" s="86">
        <f t="shared" si="85"/>
        <v>1</v>
      </c>
      <c r="W105" s="82">
        <f t="shared" ref="W105:W107" si="110">V105+U105</f>
        <v>2</v>
      </c>
      <c r="Y105" s="76">
        <v>44579</v>
      </c>
      <c r="Z105" s="109" t="s">
        <v>214</v>
      </c>
    </row>
    <row r="106" spans="2:27" x14ac:dyDescent="0.25">
      <c r="B106" s="77" t="s">
        <v>212</v>
      </c>
      <c r="C106" s="78" t="s">
        <v>213</v>
      </c>
      <c r="D106" s="79">
        <v>0.4</v>
      </c>
      <c r="E106" s="79">
        <v>0.8</v>
      </c>
      <c r="F106" s="79">
        <f t="shared" si="106"/>
        <v>0.4</v>
      </c>
      <c r="G106" s="79">
        <v>0.7</v>
      </c>
      <c r="H106" s="77">
        <f t="shared" si="107"/>
        <v>0.29999999999999993</v>
      </c>
      <c r="I106" s="77" t="s">
        <v>142</v>
      </c>
      <c r="J106" s="80" t="s">
        <v>147</v>
      </c>
      <c r="K106" s="77" t="s">
        <v>132</v>
      </c>
      <c r="L106" s="81"/>
      <c r="M106" s="82">
        <v>0</v>
      </c>
      <c r="N106" s="83"/>
      <c r="O106" s="82">
        <f>ROUND(IF(N106&lt;0.2,M106,IF(N106&gt;=0.2,M106/N106)),0)</f>
        <v>0</v>
      </c>
      <c r="P106" s="83">
        <v>1</v>
      </c>
      <c r="Q106" s="83">
        <v>1</v>
      </c>
      <c r="R106" s="84">
        <v>0</v>
      </c>
      <c r="S106" s="82">
        <f t="shared" si="108"/>
        <v>0</v>
      </c>
      <c r="T106" s="85">
        <f t="shared" si="98"/>
        <v>0</v>
      </c>
      <c r="U106" s="86">
        <f t="shared" si="109"/>
        <v>0</v>
      </c>
      <c r="V106" s="86">
        <f t="shared" si="85"/>
        <v>0</v>
      </c>
      <c r="W106" s="82">
        <f t="shared" si="110"/>
        <v>0</v>
      </c>
      <c r="Y106" s="76">
        <v>44579</v>
      </c>
      <c r="Z106" s="109" t="s">
        <v>194</v>
      </c>
    </row>
    <row r="107" spans="2:27" x14ac:dyDescent="0.25">
      <c r="B107" s="77" t="s">
        <v>215</v>
      </c>
      <c r="C107" s="78" t="s">
        <v>215</v>
      </c>
      <c r="D107" s="79">
        <v>0</v>
      </c>
      <c r="E107" s="79">
        <v>0.4</v>
      </c>
      <c r="F107" s="79">
        <f t="shared" si="106"/>
        <v>0.4</v>
      </c>
      <c r="G107" s="79"/>
      <c r="H107" s="79"/>
      <c r="I107" s="77" t="s">
        <v>142</v>
      </c>
      <c r="J107" s="80" t="s">
        <v>147</v>
      </c>
      <c r="K107" s="77" t="s">
        <v>132</v>
      </c>
      <c r="L107" s="81"/>
      <c r="M107" s="82">
        <v>0</v>
      </c>
      <c r="N107" s="83"/>
      <c r="O107" s="82">
        <f>ROUND(IF(N107&lt;0.2,M107,IF(N107&gt;=0.2,M107/N107)),0)</f>
        <v>0</v>
      </c>
      <c r="P107" s="83">
        <v>1</v>
      </c>
      <c r="Q107" s="83">
        <v>1</v>
      </c>
      <c r="R107" s="84">
        <v>0</v>
      </c>
      <c r="S107" s="82">
        <f t="shared" si="108"/>
        <v>0</v>
      </c>
      <c r="T107" s="85">
        <f t="shared" si="98"/>
        <v>0</v>
      </c>
      <c r="U107" s="86">
        <f t="shared" si="109"/>
        <v>0</v>
      </c>
      <c r="V107" s="86">
        <f t="shared" si="85"/>
        <v>0</v>
      </c>
      <c r="W107" s="82">
        <f t="shared" si="110"/>
        <v>0</v>
      </c>
      <c r="Y107" s="76">
        <v>44579</v>
      </c>
      <c r="Z107" s="109" t="s">
        <v>194</v>
      </c>
    </row>
    <row r="108" spans="2:27" x14ac:dyDescent="0.25">
      <c r="B108" s="56"/>
      <c r="C108" s="57"/>
      <c r="D108" s="23"/>
      <c r="E108" s="23"/>
      <c r="F108" s="23"/>
      <c r="G108" s="23"/>
      <c r="H108" s="23"/>
      <c r="I108" s="56"/>
      <c r="J108" s="66"/>
      <c r="K108" s="56"/>
      <c r="L108" s="58"/>
      <c r="M108" s="59"/>
      <c r="N108" s="60"/>
      <c r="O108" s="59"/>
      <c r="P108" s="60"/>
      <c r="Q108" s="60"/>
      <c r="R108" s="61"/>
      <c r="S108" s="59"/>
      <c r="T108" s="62"/>
      <c r="U108" s="63"/>
      <c r="V108" s="63"/>
      <c r="W108" s="59"/>
    </row>
    <row r="109" spans="2:27" x14ac:dyDescent="0.25">
      <c r="B109" s="110" t="s">
        <v>216</v>
      </c>
      <c r="C109" s="111" t="s">
        <v>217</v>
      </c>
      <c r="D109" s="112">
        <v>0</v>
      </c>
      <c r="E109" s="112">
        <v>0.8</v>
      </c>
      <c r="F109" s="112">
        <f t="shared" ref="F109" si="111">(E109-D109)</f>
        <v>0.8</v>
      </c>
      <c r="G109" s="112">
        <v>0.8</v>
      </c>
      <c r="H109" s="112">
        <f t="shared" ref="H109" si="112">G109-D109</f>
        <v>0.8</v>
      </c>
      <c r="I109" s="110" t="s">
        <v>142</v>
      </c>
      <c r="J109" s="113" t="s">
        <v>147</v>
      </c>
      <c r="K109" s="110" t="s">
        <v>132</v>
      </c>
      <c r="L109" s="114"/>
      <c r="M109" s="115">
        <v>52</v>
      </c>
      <c r="N109" s="116">
        <f>30/100</f>
        <v>0.3</v>
      </c>
      <c r="O109" s="115">
        <f>ROUND(IF(N109&lt;0.2,M109,IF(N109&gt;=0.2,M109/N109)),0)</f>
        <v>173</v>
      </c>
      <c r="P109" s="116">
        <v>1</v>
      </c>
      <c r="Q109" s="116">
        <v>1</v>
      </c>
      <c r="R109" s="117">
        <v>0</v>
      </c>
      <c r="S109" s="115">
        <f t="shared" ref="S109" si="113">O109-R109</f>
        <v>173</v>
      </c>
      <c r="T109" s="118">
        <f t="shared" si="98"/>
        <v>216.25</v>
      </c>
      <c r="U109" s="119">
        <f t="shared" ref="U109" si="114">ROUND(+P109*S109,0)</f>
        <v>173</v>
      </c>
      <c r="V109" s="119">
        <f t="shared" si="85"/>
        <v>173</v>
      </c>
      <c r="W109" s="115">
        <f t="shared" ref="W109" si="115">V109+U109</f>
        <v>346</v>
      </c>
      <c r="X109" s="76"/>
      <c r="Z109" s="109" t="s">
        <v>218</v>
      </c>
    </row>
    <row r="110" spans="2:27" x14ac:dyDescent="0.25">
      <c r="B110" s="56"/>
      <c r="C110" s="57"/>
      <c r="D110" s="23"/>
      <c r="E110" s="23"/>
      <c r="F110" s="23"/>
      <c r="G110" s="23"/>
      <c r="H110" s="23"/>
      <c r="I110" s="56"/>
      <c r="J110" s="66"/>
      <c r="K110" s="56"/>
      <c r="L110" s="58"/>
      <c r="M110" s="59"/>
      <c r="N110" s="60"/>
      <c r="O110" s="59"/>
      <c r="P110" s="60"/>
      <c r="Q110" s="60"/>
      <c r="R110" s="61"/>
      <c r="S110" s="59"/>
      <c r="T110" s="62"/>
      <c r="U110" s="63"/>
      <c r="V110" s="63"/>
      <c r="W110" s="59"/>
    </row>
    <row r="111" spans="2:27" x14ac:dyDescent="0.25">
      <c r="B111" s="56" t="s">
        <v>219</v>
      </c>
      <c r="C111" s="57" t="s">
        <v>220</v>
      </c>
      <c r="D111" s="23">
        <v>0</v>
      </c>
      <c r="E111" s="23">
        <v>1.4</v>
      </c>
      <c r="F111" s="23">
        <f t="shared" ref="F111:F114" si="116">(E111-D111)</f>
        <v>1.4</v>
      </c>
      <c r="G111" s="23">
        <v>1.4</v>
      </c>
      <c r="H111" s="23">
        <f t="shared" ref="H111:H114" si="117">G111-D111</f>
        <v>1.4</v>
      </c>
      <c r="I111" s="56" t="s">
        <v>142</v>
      </c>
      <c r="J111" s="66" t="s">
        <v>147</v>
      </c>
      <c r="K111" s="56" t="s">
        <v>144</v>
      </c>
      <c r="L111" s="58">
        <v>76</v>
      </c>
      <c r="M111" s="59"/>
      <c r="N111" s="60"/>
      <c r="O111" s="59">
        <f t="shared" ref="O111:O114" si="118">L111</f>
        <v>76</v>
      </c>
      <c r="P111" s="60">
        <v>1</v>
      </c>
      <c r="Q111" s="60">
        <v>1</v>
      </c>
      <c r="R111" s="61">
        <v>0</v>
      </c>
      <c r="S111" s="59">
        <f t="shared" ref="S111:S114" si="119">O111-R111</f>
        <v>76</v>
      </c>
      <c r="T111" s="62">
        <f t="shared" si="98"/>
        <v>54.285714285714292</v>
      </c>
      <c r="U111" s="63">
        <f t="shared" ref="U111:U114" si="120">ROUND(+P111*S111,0)</f>
        <v>76</v>
      </c>
      <c r="V111" s="63">
        <f t="shared" si="85"/>
        <v>76</v>
      </c>
      <c r="W111" s="59">
        <f t="shared" ref="W111:W114" si="121">V111+U111</f>
        <v>152</v>
      </c>
      <c r="Y111" s="76">
        <v>44524</v>
      </c>
      <c r="Z111" s="19" t="s">
        <v>221</v>
      </c>
    </row>
    <row r="112" spans="2:27" x14ac:dyDescent="0.25">
      <c r="B112" s="56" t="s">
        <v>219</v>
      </c>
      <c r="C112" s="57" t="s">
        <v>220</v>
      </c>
      <c r="D112" s="23">
        <v>1.4</v>
      </c>
      <c r="E112" s="23">
        <v>2</v>
      </c>
      <c r="F112" s="23">
        <f t="shared" si="116"/>
        <v>0.60000000000000009</v>
      </c>
      <c r="G112" s="23">
        <v>2</v>
      </c>
      <c r="H112" s="23">
        <f t="shared" si="117"/>
        <v>0.60000000000000009</v>
      </c>
      <c r="I112" s="56" t="s">
        <v>142</v>
      </c>
      <c r="J112" s="66" t="s">
        <v>147</v>
      </c>
      <c r="K112" s="56" t="s">
        <v>144</v>
      </c>
      <c r="L112" s="58">
        <v>29</v>
      </c>
      <c r="M112" s="59"/>
      <c r="N112" s="60"/>
      <c r="O112" s="59">
        <f t="shared" si="118"/>
        <v>29</v>
      </c>
      <c r="P112" s="60">
        <v>1</v>
      </c>
      <c r="Q112" s="60">
        <v>1</v>
      </c>
      <c r="R112" s="61">
        <v>0</v>
      </c>
      <c r="S112" s="59">
        <f t="shared" si="119"/>
        <v>29</v>
      </c>
      <c r="T112" s="62">
        <f t="shared" si="98"/>
        <v>48.333333333333329</v>
      </c>
      <c r="U112" s="63">
        <f t="shared" si="120"/>
        <v>29</v>
      </c>
      <c r="V112" s="63">
        <f t="shared" si="85"/>
        <v>29</v>
      </c>
      <c r="W112" s="59">
        <f t="shared" si="121"/>
        <v>58</v>
      </c>
      <c r="Y112" s="76">
        <v>44524</v>
      </c>
      <c r="Z112" s="19" t="s">
        <v>176</v>
      </c>
      <c r="AA112" s="19">
        <v>6</v>
      </c>
    </row>
    <row r="113" spans="2:27" x14ac:dyDescent="0.25">
      <c r="B113" s="56" t="s">
        <v>219</v>
      </c>
      <c r="C113" s="57" t="s">
        <v>220</v>
      </c>
      <c r="D113" s="23">
        <v>2</v>
      </c>
      <c r="E113" s="23">
        <v>2.6</v>
      </c>
      <c r="F113" s="23">
        <f t="shared" si="116"/>
        <v>0.60000000000000009</v>
      </c>
      <c r="G113" s="23">
        <v>2.6</v>
      </c>
      <c r="H113" s="23">
        <f t="shared" si="117"/>
        <v>0.60000000000000009</v>
      </c>
      <c r="I113" s="56" t="s">
        <v>142</v>
      </c>
      <c r="J113" s="66" t="s">
        <v>147</v>
      </c>
      <c r="K113" s="56" t="s">
        <v>144</v>
      </c>
      <c r="L113" s="58">
        <v>43</v>
      </c>
      <c r="M113" s="59"/>
      <c r="N113" s="60"/>
      <c r="O113" s="59">
        <f t="shared" si="118"/>
        <v>43</v>
      </c>
      <c r="P113" s="60">
        <v>1</v>
      </c>
      <c r="Q113" s="60">
        <v>1</v>
      </c>
      <c r="R113" s="61">
        <v>0</v>
      </c>
      <c r="S113" s="59">
        <f t="shared" si="119"/>
        <v>43</v>
      </c>
      <c r="T113" s="62">
        <f t="shared" si="98"/>
        <v>71.666666666666657</v>
      </c>
      <c r="U113" s="63">
        <f t="shared" si="120"/>
        <v>43</v>
      </c>
      <c r="V113" s="63">
        <f t="shared" si="85"/>
        <v>43</v>
      </c>
      <c r="W113" s="59">
        <f t="shared" si="121"/>
        <v>86</v>
      </c>
      <c r="Y113" s="76">
        <v>44524</v>
      </c>
      <c r="Z113" s="19" t="s">
        <v>222</v>
      </c>
      <c r="AA113" s="19">
        <v>11</v>
      </c>
    </row>
    <row r="114" spans="2:27" x14ac:dyDescent="0.25">
      <c r="B114" s="56" t="s">
        <v>219</v>
      </c>
      <c r="C114" s="57" t="s">
        <v>220</v>
      </c>
      <c r="D114" s="23">
        <v>3.1</v>
      </c>
      <c r="E114" s="23">
        <v>4</v>
      </c>
      <c r="F114" s="23">
        <f t="shared" si="116"/>
        <v>0.89999999999999991</v>
      </c>
      <c r="G114" s="23">
        <v>4</v>
      </c>
      <c r="H114" s="23">
        <f t="shared" si="117"/>
        <v>0.89999999999999991</v>
      </c>
      <c r="I114" s="56" t="s">
        <v>142</v>
      </c>
      <c r="J114" s="66" t="s">
        <v>147</v>
      </c>
      <c r="K114" s="56" t="s">
        <v>144</v>
      </c>
      <c r="L114" s="58">
        <v>42</v>
      </c>
      <c r="M114" s="59"/>
      <c r="N114" s="60"/>
      <c r="O114" s="59">
        <f t="shared" si="118"/>
        <v>42</v>
      </c>
      <c r="P114" s="60">
        <v>1</v>
      </c>
      <c r="Q114" s="60">
        <v>1</v>
      </c>
      <c r="R114" s="61">
        <v>0</v>
      </c>
      <c r="S114" s="59">
        <f t="shared" si="119"/>
        <v>42</v>
      </c>
      <c r="T114" s="62">
        <f t="shared" si="98"/>
        <v>46.666666666666671</v>
      </c>
      <c r="U114" s="63">
        <f t="shared" si="120"/>
        <v>42</v>
      </c>
      <c r="V114" s="63">
        <f t="shared" si="85"/>
        <v>42</v>
      </c>
      <c r="W114" s="59">
        <f t="shared" si="121"/>
        <v>84</v>
      </c>
      <c r="Y114" s="76">
        <v>44524</v>
      </c>
      <c r="Z114" s="19" t="s">
        <v>223</v>
      </c>
      <c r="AA114" s="19">
        <v>7</v>
      </c>
    </row>
    <row r="115" spans="2:27" x14ac:dyDescent="0.25">
      <c r="C115" s="98"/>
      <c r="I115" s="21"/>
      <c r="L115" s="99">
        <f>SUM(L111:L114)</f>
        <v>190</v>
      </c>
      <c r="M115" s="100"/>
      <c r="N115" s="100"/>
      <c r="O115" s="107"/>
      <c r="T115" s="102"/>
      <c r="U115" s="103"/>
      <c r="V115" s="63"/>
      <c r="W115" s="108"/>
    </row>
    <row r="116" spans="2:27" x14ac:dyDescent="0.25">
      <c r="C116" s="98"/>
      <c r="I116" s="21"/>
      <c r="L116" s="106"/>
      <c r="M116" s="100"/>
      <c r="N116" s="100"/>
      <c r="O116" s="107"/>
      <c r="T116" s="102"/>
      <c r="U116" s="103"/>
      <c r="V116" s="63"/>
      <c r="W116" s="108"/>
    </row>
    <row r="117" spans="2:27" x14ac:dyDescent="0.25">
      <c r="B117" s="90" t="s">
        <v>219</v>
      </c>
      <c r="C117" s="91" t="s">
        <v>220</v>
      </c>
      <c r="D117" s="90">
        <v>2.6</v>
      </c>
      <c r="E117" s="90">
        <v>2.7</v>
      </c>
      <c r="F117" s="90">
        <f>E117-D117</f>
        <v>0.10000000000000009</v>
      </c>
      <c r="G117" s="90">
        <v>2.7</v>
      </c>
      <c r="H117" s="90">
        <f t="shared" ref="H117:H120" si="122">G117-D117</f>
        <v>0.10000000000000009</v>
      </c>
      <c r="I117" s="90" t="s">
        <v>142</v>
      </c>
      <c r="J117" s="90" t="s">
        <v>147</v>
      </c>
      <c r="K117" s="90" t="s">
        <v>163</v>
      </c>
      <c r="L117" s="56"/>
      <c r="M117" s="90"/>
      <c r="N117" s="90"/>
      <c r="O117" s="92">
        <f>T117*F117</f>
        <v>9.5000000000000107</v>
      </c>
      <c r="P117" s="92">
        <v>1</v>
      </c>
      <c r="Q117" s="90">
        <v>1</v>
      </c>
      <c r="R117" s="92">
        <v>0</v>
      </c>
      <c r="S117" s="92">
        <f t="shared" ref="S117:S120" si="123">O117-R117</f>
        <v>9.5000000000000107</v>
      </c>
      <c r="T117" s="93">
        <f>T118</f>
        <v>95.000000000000014</v>
      </c>
      <c r="U117" s="94">
        <f t="shared" ref="U117:U120" si="124">ROUND(+P117*S117,0)</f>
        <v>10</v>
      </c>
      <c r="V117" s="94">
        <f t="shared" ref="V117" si="125">U117</f>
        <v>10</v>
      </c>
      <c r="W117" s="95">
        <f t="shared" ref="W117:W120" si="126">V117+U117</f>
        <v>20</v>
      </c>
      <c r="Y117" s="19" t="s">
        <v>224</v>
      </c>
    </row>
    <row r="118" spans="2:27" x14ac:dyDescent="0.25">
      <c r="B118" s="77" t="s">
        <v>219</v>
      </c>
      <c r="C118" s="78" t="s">
        <v>220</v>
      </c>
      <c r="D118" s="79">
        <v>2.7</v>
      </c>
      <c r="E118" s="79">
        <v>3.1</v>
      </c>
      <c r="F118" s="79">
        <f>(E118-D118)</f>
        <v>0.39999999999999991</v>
      </c>
      <c r="G118" s="79">
        <v>3.1</v>
      </c>
      <c r="H118" s="77">
        <f t="shared" si="122"/>
        <v>0.39999999999999991</v>
      </c>
      <c r="I118" s="77" t="s">
        <v>142</v>
      </c>
      <c r="J118" s="80" t="s">
        <v>147</v>
      </c>
      <c r="K118" s="77" t="s">
        <v>132</v>
      </c>
      <c r="L118" s="81"/>
      <c r="M118" s="82">
        <v>8</v>
      </c>
      <c r="N118" s="83">
        <f>((SUM(AA112:AA114))/(SUM(L112:L114)))</f>
        <v>0.21052631578947367</v>
      </c>
      <c r="O118" s="82">
        <f t="shared" ref="O118:O120" si="127">ROUND(IF(N118&lt;0.2,M118,IF(N118&gt;=0.2,M118/N118)),0)</f>
        <v>38</v>
      </c>
      <c r="P118" s="83">
        <v>1</v>
      </c>
      <c r="Q118" s="83">
        <v>1</v>
      </c>
      <c r="R118" s="84">
        <v>0</v>
      </c>
      <c r="S118" s="82">
        <f t="shared" si="123"/>
        <v>38</v>
      </c>
      <c r="T118" s="85">
        <f>U118/$F118</f>
        <v>95.000000000000014</v>
      </c>
      <c r="U118" s="86">
        <f t="shared" si="124"/>
        <v>38</v>
      </c>
      <c r="V118" s="86">
        <f t="shared" si="85"/>
        <v>38</v>
      </c>
      <c r="W118" s="82">
        <f t="shared" si="126"/>
        <v>76</v>
      </c>
      <c r="X118" s="76"/>
      <c r="Y118" s="76">
        <v>44524</v>
      </c>
      <c r="Z118" s="19" t="s">
        <v>225</v>
      </c>
    </row>
    <row r="119" spans="2:27" x14ac:dyDescent="0.25">
      <c r="B119" s="77" t="s">
        <v>219</v>
      </c>
      <c r="C119" s="78" t="s">
        <v>220</v>
      </c>
      <c r="D119" s="79">
        <v>4</v>
      </c>
      <c r="E119" s="77">
        <v>5.2</v>
      </c>
      <c r="F119" s="77">
        <f>E119-D119</f>
        <v>1.2000000000000002</v>
      </c>
      <c r="G119" s="79">
        <v>4</v>
      </c>
      <c r="H119" s="77">
        <f t="shared" si="122"/>
        <v>0</v>
      </c>
      <c r="I119" s="77" t="s">
        <v>142</v>
      </c>
      <c r="J119" s="77" t="s">
        <v>147</v>
      </c>
      <c r="K119" s="77" t="s">
        <v>132</v>
      </c>
      <c r="L119" s="81"/>
      <c r="M119" s="82">
        <v>0</v>
      </c>
      <c r="N119" s="83">
        <f>((SUM(AA112:AA114))/(SUM(L112:L114)))</f>
        <v>0.21052631578947367</v>
      </c>
      <c r="O119" s="82">
        <f t="shared" si="127"/>
        <v>0</v>
      </c>
      <c r="P119" s="83">
        <v>1</v>
      </c>
      <c r="Q119" s="83">
        <v>1</v>
      </c>
      <c r="R119" s="84">
        <v>0</v>
      </c>
      <c r="S119" s="82">
        <f t="shared" si="123"/>
        <v>0</v>
      </c>
      <c r="T119" s="85">
        <f>U119/$F119</f>
        <v>0</v>
      </c>
      <c r="U119" s="86">
        <f t="shared" si="124"/>
        <v>0</v>
      </c>
      <c r="V119" s="86">
        <f t="shared" si="85"/>
        <v>0</v>
      </c>
      <c r="W119" s="82">
        <f t="shared" si="126"/>
        <v>0</v>
      </c>
      <c r="X119" s="76"/>
      <c r="Y119" s="76">
        <v>44524</v>
      </c>
      <c r="Z119" s="19" t="s">
        <v>226</v>
      </c>
    </row>
    <row r="120" spans="2:27" x14ac:dyDescent="0.25">
      <c r="B120" s="77" t="s">
        <v>219</v>
      </c>
      <c r="C120" s="78" t="s">
        <v>220</v>
      </c>
      <c r="D120" s="77">
        <v>5.2</v>
      </c>
      <c r="E120" s="77">
        <v>5.8</v>
      </c>
      <c r="F120" s="77">
        <f>E120-D120</f>
        <v>0.59999999999999964</v>
      </c>
      <c r="G120" s="77">
        <v>5.2</v>
      </c>
      <c r="H120" s="77">
        <f t="shared" si="122"/>
        <v>0</v>
      </c>
      <c r="I120" s="77" t="s">
        <v>142</v>
      </c>
      <c r="J120" s="77" t="s">
        <v>147</v>
      </c>
      <c r="K120" s="77" t="s">
        <v>132</v>
      </c>
      <c r="L120" s="81"/>
      <c r="M120" s="82">
        <v>0</v>
      </c>
      <c r="N120" s="83">
        <f>((SUM(AA112:AA114))/(SUM(L112:L114)))</f>
        <v>0.21052631578947367</v>
      </c>
      <c r="O120" s="82">
        <f t="shared" si="127"/>
        <v>0</v>
      </c>
      <c r="P120" s="83">
        <v>1</v>
      </c>
      <c r="Q120" s="83">
        <v>1</v>
      </c>
      <c r="R120" s="84">
        <v>0</v>
      </c>
      <c r="S120" s="82">
        <f t="shared" si="123"/>
        <v>0</v>
      </c>
      <c r="T120" s="85">
        <f>U120/$F120</f>
        <v>0</v>
      </c>
      <c r="U120" s="86">
        <f t="shared" si="124"/>
        <v>0</v>
      </c>
      <c r="V120" s="86">
        <f t="shared" si="85"/>
        <v>0</v>
      </c>
      <c r="W120" s="82">
        <f t="shared" si="126"/>
        <v>0</v>
      </c>
      <c r="X120" s="76"/>
      <c r="Y120" s="76">
        <v>44524</v>
      </c>
      <c r="Z120" s="19" t="s">
        <v>226</v>
      </c>
    </row>
    <row r="121" spans="2:27" x14ac:dyDescent="0.25">
      <c r="B121" s="56"/>
      <c r="C121" s="57"/>
      <c r="D121" s="56"/>
      <c r="E121" s="56"/>
      <c r="F121" s="56"/>
      <c r="G121" s="56"/>
      <c r="H121" s="56"/>
      <c r="I121" s="56"/>
      <c r="J121" s="56"/>
      <c r="K121" s="56"/>
      <c r="L121" s="58"/>
      <c r="M121" s="59"/>
      <c r="N121" s="60"/>
      <c r="O121" s="59"/>
      <c r="P121" s="60"/>
      <c r="Q121" s="60"/>
      <c r="R121" s="61"/>
      <c r="S121" s="59"/>
      <c r="T121" s="62"/>
      <c r="U121" s="63"/>
      <c r="V121" s="63"/>
      <c r="W121" s="59"/>
    </row>
    <row r="122" spans="2:27" x14ac:dyDescent="0.25">
      <c r="B122" s="56" t="s">
        <v>227</v>
      </c>
      <c r="C122" s="57" t="s">
        <v>228</v>
      </c>
      <c r="D122" s="23">
        <v>0</v>
      </c>
      <c r="E122" s="23">
        <v>0.5</v>
      </c>
      <c r="F122" s="23">
        <f>(E122-D122)</f>
        <v>0.5</v>
      </c>
      <c r="G122" s="23">
        <v>0.5</v>
      </c>
      <c r="H122" s="23">
        <f t="shared" ref="H122:H127" si="128">G122-D122</f>
        <v>0.5</v>
      </c>
      <c r="I122" s="56" t="s">
        <v>142</v>
      </c>
      <c r="J122" s="66" t="s">
        <v>147</v>
      </c>
      <c r="K122" s="56" t="s">
        <v>144</v>
      </c>
      <c r="L122" s="58">
        <v>20</v>
      </c>
      <c r="M122" s="59"/>
      <c r="N122" s="60"/>
      <c r="O122" s="59">
        <f t="shared" ref="O122:O126" si="129">L122</f>
        <v>20</v>
      </c>
      <c r="P122" s="60">
        <v>1</v>
      </c>
      <c r="Q122" s="60">
        <v>1</v>
      </c>
      <c r="R122" s="61">
        <v>0</v>
      </c>
      <c r="S122" s="59">
        <f t="shared" ref="S122:S126" si="130">O122-R122</f>
        <v>20</v>
      </c>
      <c r="T122" s="62">
        <f>U122/$F122</f>
        <v>40</v>
      </c>
      <c r="U122" s="63">
        <f t="shared" ref="U122:U126" si="131">ROUND(+P122*S122,0)</f>
        <v>20</v>
      </c>
      <c r="V122" s="63">
        <f t="shared" ref="V122" si="132">U122</f>
        <v>20</v>
      </c>
      <c r="W122" s="59">
        <f t="shared" ref="W122:W127" si="133">V122+U122</f>
        <v>40</v>
      </c>
      <c r="Y122" s="76">
        <v>44531</v>
      </c>
      <c r="Z122" s="19" t="s">
        <v>222</v>
      </c>
    </row>
    <row r="123" spans="2:27" x14ac:dyDescent="0.25">
      <c r="B123" s="56" t="s">
        <v>227</v>
      </c>
      <c r="C123" s="57" t="s">
        <v>228</v>
      </c>
      <c r="D123" s="23">
        <v>2.6</v>
      </c>
      <c r="E123" s="23">
        <v>3.2</v>
      </c>
      <c r="F123" s="23">
        <f t="shared" ref="F123:F127" si="134">(E123-D123)</f>
        <v>0.60000000000000009</v>
      </c>
      <c r="G123" s="23">
        <v>3.2</v>
      </c>
      <c r="H123" s="23">
        <f t="shared" si="128"/>
        <v>0.60000000000000009</v>
      </c>
      <c r="I123" s="56" t="s">
        <v>142</v>
      </c>
      <c r="J123" s="66" t="s">
        <v>147</v>
      </c>
      <c r="K123" s="56" t="s">
        <v>144</v>
      </c>
      <c r="L123" s="58">
        <v>28</v>
      </c>
      <c r="M123" s="59"/>
      <c r="N123" s="60"/>
      <c r="O123" s="59">
        <f t="shared" si="129"/>
        <v>28</v>
      </c>
      <c r="P123" s="60">
        <v>1</v>
      </c>
      <c r="Q123" s="60">
        <v>1</v>
      </c>
      <c r="R123" s="61">
        <v>0</v>
      </c>
      <c r="S123" s="59">
        <f t="shared" si="130"/>
        <v>28</v>
      </c>
      <c r="T123" s="62">
        <f t="shared" si="98"/>
        <v>46.666666666666657</v>
      </c>
      <c r="U123" s="63">
        <f t="shared" si="131"/>
        <v>28</v>
      </c>
      <c r="V123" s="63">
        <f t="shared" si="85"/>
        <v>28</v>
      </c>
      <c r="W123" s="59">
        <f t="shared" si="133"/>
        <v>56</v>
      </c>
      <c r="Y123" s="76">
        <v>44531</v>
      </c>
      <c r="Z123" s="19" t="s">
        <v>222</v>
      </c>
    </row>
    <row r="124" spans="2:27" x14ac:dyDescent="0.25">
      <c r="B124" s="56" t="s">
        <v>227</v>
      </c>
      <c r="C124" s="57" t="s">
        <v>228</v>
      </c>
      <c r="D124" s="23">
        <v>3.2</v>
      </c>
      <c r="E124" s="23">
        <v>4.2</v>
      </c>
      <c r="F124" s="23">
        <f t="shared" si="134"/>
        <v>1</v>
      </c>
      <c r="G124" s="23">
        <v>4.2</v>
      </c>
      <c r="H124" s="23">
        <f t="shared" si="128"/>
        <v>1</v>
      </c>
      <c r="I124" s="56" t="s">
        <v>142</v>
      </c>
      <c r="J124" s="66" t="s">
        <v>147</v>
      </c>
      <c r="K124" s="56" t="s">
        <v>144</v>
      </c>
      <c r="L124" s="58">
        <v>62</v>
      </c>
      <c r="M124" s="59"/>
      <c r="N124" s="60"/>
      <c r="O124" s="59">
        <f t="shared" si="129"/>
        <v>62</v>
      </c>
      <c r="P124" s="60">
        <v>1</v>
      </c>
      <c r="Q124" s="60">
        <v>1</v>
      </c>
      <c r="R124" s="61">
        <v>0</v>
      </c>
      <c r="S124" s="59">
        <f t="shared" si="130"/>
        <v>62</v>
      </c>
      <c r="T124" s="62">
        <f t="shared" si="98"/>
        <v>62</v>
      </c>
      <c r="U124" s="63">
        <f t="shared" si="131"/>
        <v>62</v>
      </c>
      <c r="V124" s="63">
        <f t="shared" si="85"/>
        <v>62</v>
      </c>
      <c r="W124" s="59">
        <f t="shared" si="133"/>
        <v>124</v>
      </c>
      <c r="Y124" s="76">
        <v>44531</v>
      </c>
      <c r="Z124" s="19" t="s">
        <v>229</v>
      </c>
    </row>
    <row r="125" spans="2:27" x14ac:dyDescent="0.25">
      <c r="B125" s="56" t="s">
        <v>227</v>
      </c>
      <c r="C125" s="57" t="s">
        <v>228</v>
      </c>
      <c r="D125" s="23">
        <v>4.2</v>
      </c>
      <c r="E125" s="23">
        <v>5.2</v>
      </c>
      <c r="F125" s="23">
        <f t="shared" si="134"/>
        <v>1</v>
      </c>
      <c r="G125" s="23">
        <v>5.2</v>
      </c>
      <c r="H125" s="23">
        <f t="shared" si="128"/>
        <v>1</v>
      </c>
      <c r="I125" s="56" t="s">
        <v>142</v>
      </c>
      <c r="J125" s="66" t="s">
        <v>147</v>
      </c>
      <c r="K125" s="56" t="s">
        <v>144</v>
      </c>
      <c r="L125" s="58">
        <v>18</v>
      </c>
      <c r="M125" s="59"/>
      <c r="N125" s="60"/>
      <c r="O125" s="59">
        <f t="shared" si="129"/>
        <v>18</v>
      </c>
      <c r="P125" s="60">
        <v>1</v>
      </c>
      <c r="Q125" s="60">
        <v>1</v>
      </c>
      <c r="R125" s="61">
        <v>0</v>
      </c>
      <c r="S125" s="59">
        <f t="shared" si="130"/>
        <v>18</v>
      </c>
      <c r="T125" s="62">
        <f t="shared" si="98"/>
        <v>18</v>
      </c>
      <c r="U125" s="63">
        <f t="shared" si="131"/>
        <v>18</v>
      </c>
      <c r="V125" s="63">
        <f t="shared" si="85"/>
        <v>18</v>
      </c>
      <c r="W125" s="59">
        <f t="shared" si="133"/>
        <v>36</v>
      </c>
      <c r="Y125" s="76">
        <v>44531</v>
      </c>
      <c r="Z125" s="19" t="s">
        <v>230</v>
      </c>
    </row>
    <row r="126" spans="2:27" x14ac:dyDescent="0.25">
      <c r="B126" s="56" t="s">
        <v>227</v>
      </c>
      <c r="C126" s="57" t="s">
        <v>228</v>
      </c>
      <c r="D126" s="23">
        <v>5.2</v>
      </c>
      <c r="E126" s="23">
        <v>5.7</v>
      </c>
      <c r="F126" s="23">
        <f t="shared" si="134"/>
        <v>0.5</v>
      </c>
      <c r="G126" s="23">
        <v>5.7</v>
      </c>
      <c r="H126" s="23">
        <f t="shared" si="128"/>
        <v>0.5</v>
      </c>
      <c r="I126" s="56" t="s">
        <v>142</v>
      </c>
      <c r="J126" s="66" t="s">
        <v>147</v>
      </c>
      <c r="K126" s="56" t="s">
        <v>144</v>
      </c>
      <c r="L126" s="58">
        <v>32</v>
      </c>
      <c r="M126" s="59"/>
      <c r="N126" s="60"/>
      <c r="O126" s="59">
        <f t="shared" si="129"/>
        <v>32</v>
      </c>
      <c r="P126" s="60">
        <v>1</v>
      </c>
      <c r="Q126" s="60">
        <v>1</v>
      </c>
      <c r="R126" s="61">
        <v>0</v>
      </c>
      <c r="S126" s="59">
        <f t="shared" si="130"/>
        <v>32</v>
      </c>
      <c r="T126" s="62">
        <f t="shared" si="98"/>
        <v>64</v>
      </c>
      <c r="U126" s="63">
        <f t="shared" si="131"/>
        <v>32</v>
      </c>
      <c r="V126" s="63">
        <f t="shared" si="85"/>
        <v>32</v>
      </c>
      <c r="W126" s="59">
        <f t="shared" si="133"/>
        <v>64</v>
      </c>
      <c r="Y126" s="76">
        <v>44531</v>
      </c>
      <c r="Z126" s="19" t="s">
        <v>231</v>
      </c>
    </row>
    <row r="127" spans="2:27" x14ac:dyDescent="0.25">
      <c r="B127" s="56">
        <v>23.089500000000001</v>
      </c>
      <c r="C127" s="57" t="s">
        <v>232</v>
      </c>
      <c r="D127" s="23">
        <v>0</v>
      </c>
      <c r="E127" s="23">
        <v>0.6</v>
      </c>
      <c r="F127" s="23">
        <f t="shared" si="134"/>
        <v>0.6</v>
      </c>
      <c r="G127" s="23">
        <v>0.6</v>
      </c>
      <c r="H127" s="23">
        <f t="shared" si="128"/>
        <v>0.6</v>
      </c>
      <c r="I127" s="56" t="s">
        <v>142</v>
      </c>
      <c r="J127" s="66" t="s">
        <v>147</v>
      </c>
      <c r="K127" s="56" t="s">
        <v>144</v>
      </c>
      <c r="L127" s="58">
        <v>54</v>
      </c>
      <c r="M127" s="59"/>
      <c r="N127" s="60"/>
      <c r="O127" s="59">
        <f>L127</f>
        <v>54</v>
      </c>
      <c r="P127" s="60">
        <v>1</v>
      </c>
      <c r="Q127" s="60">
        <v>1</v>
      </c>
      <c r="R127" s="61">
        <v>0</v>
      </c>
      <c r="S127" s="59">
        <f>O127-R127</f>
        <v>54</v>
      </c>
      <c r="T127" s="62">
        <f>U127/$F127</f>
        <v>90</v>
      </c>
      <c r="U127" s="63">
        <f>ROUND(+P127*S127,0)</f>
        <v>54</v>
      </c>
      <c r="V127" s="63">
        <f t="shared" si="85"/>
        <v>54</v>
      </c>
      <c r="W127" s="59">
        <f t="shared" si="133"/>
        <v>108</v>
      </c>
      <c r="Y127" s="76">
        <v>44531</v>
      </c>
      <c r="Z127" s="19" t="s">
        <v>233</v>
      </c>
    </row>
    <row r="128" spans="2:27" x14ac:dyDescent="0.25">
      <c r="B128" s="56"/>
      <c r="C128" s="57"/>
      <c r="D128" s="23"/>
      <c r="E128" s="23"/>
      <c r="F128" s="23"/>
      <c r="G128" s="23"/>
      <c r="H128" s="23"/>
      <c r="I128" s="56"/>
      <c r="J128" s="66"/>
      <c r="K128" s="56"/>
      <c r="L128" s="64">
        <f>SUM(L122:L127)</f>
        <v>214</v>
      </c>
      <c r="M128" s="59"/>
      <c r="N128" s="60"/>
      <c r="O128" s="59"/>
      <c r="P128" s="60"/>
      <c r="Q128" s="60"/>
      <c r="R128" s="61"/>
      <c r="S128" s="59"/>
      <c r="T128" s="62"/>
      <c r="U128" s="63"/>
      <c r="V128" s="63"/>
      <c r="W128" s="59"/>
    </row>
    <row r="129" spans="2:31" x14ac:dyDescent="0.25">
      <c r="U129" s="103"/>
      <c r="V129" s="103"/>
    </row>
    <row r="130" spans="2:31" x14ac:dyDescent="0.25">
      <c r="B130" s="77" t="s">
        <v>227</v>
      </c>
      <c r="C130" s="78" t="s">
        <v>228</v>
      </c>
      <c r="D130" s="79">
        <v>0.5</v>
      </c>
      <c r="E130" s="79">
        <v>0.9</v>
      </c>
      <c r="F130" s="79">
        <f>(E130-D130)</f>
        <v>0.4</v>
      </c>
      <c r="G130" s="79">
        <v>0.9</v>
      </c>
      <c r="H130" s="77">
        <f t="shared" ref="H130:H132" si="135">G130-D130</f>
        <v>0.4</v>
      </c>
      <c r="I130" s="77" t="s">
        <v>142</v>
      </c>
      <c r="J130" s="80" t="s">
        <v>147</v>
      </c>
      <c r="K130" s="77" t="s">
        <v>132</v>
      </c>
      <c r="L130" s="81"/>
      <c r="M130" s="82">
        <v>0</v>
      </c>
      <c r="N130" s="83"/>
      <c r="O130" s="82">
        <f t="shared" ref="O130:O132" si="136">ROUND(IF(N130&lt;0.2,M130,IF(N130&gt;=0.2,M130/N130)),0)</f>
        <v>0</v>
      </c>
      <c r="P130" s="83">
        <v>1</v>
      </c>
      <c r="Q130" s="83">
        <v>1</v>
      </c>
      <c r="R130" s="84">
        <v>0</v>
      </c>
      <c r="S130" s="82">
        <f>O130-R130</f>
        <v>0</v>
      </c>
      <c r="T130" s="85">
        <f>U130/$F130</f>
        <v>0</v>
      </c>
      <c r="U130" s="86">
        <f>ROUND(+P130*S130,0)</f>
        <v>0</v>
      </c>
      <c r="V130" s="86">
        <f t="shared" si="85"/>
        <v>0</v>
      </c>
      <c r="W130" s="82">
        <f>V130+U130</f>
        <v>0</v>
      </c>
      <c r="X130" s="76"/>
      <c r="Y130" s="76">
        <v>44531</v>
      </c>
      <c r="Z130" s="19" t="s">
        <v>234</v>
      </c>
    </row>
    <row r="131" spans="2:31" x14ac:dyDescent="0.25">
      <c r="B131" s="77" t="s">
        <v>227</v>
      </c>
      <c r="C131" s="78" t="s">
        <v>228</v>
      </c>
      <c r="D131" s="79">
        <v>5.7</v>
      </c>
      <c r="E131" s="79">
        <v>6</v>
      </c>
      <c r="F131" s="79">
        <f t="shared" ref="F131:F132" si="137">(E131-D131)</f>
        <v>0.29999999999999982</v>
      </c>
      <c r="G131" s="79">
        <v>6</v>
      </c>
      <c r="H131" s="77">
        <f t="shared" si="135"/>
        <v>0.29999999999999982</v>
      </c>
      <c r="I131" s="77" t="s">
        <v>142</v>
      </c>
      <c r="J131" s="80" t="s">
        <v>147</v>
      </c>
      <c r="K131" s="77" t="s">
        <v>132</v>
      </c>
      <c r="L131" s="81"/>
      <c r="M131" s="82">
        <v>2</v>
      </c>
      <c r="N131" s="83">
        <f>13/L126</f>
        <v>0.40625</v>
      </c>
      <c r="O131" s="82">
        <f t="shared" si="136"/>
        <v>5</v>
      </c>
      <c r="P131" s="83">
        <v>1</v>
      </c>
      <c r="Q131" s="83">
        <v>1</v>
      </c>
      <c r="R131" s="84">
        <v>0</v>
      </c>
      <c r="S131" s="82">
        <f t="shared" ref="S131:S132" si="138">O131-R131</f>
        <v>5</v>
      </c>
      <c r="T131" s="85">
        <f>U131/$F131</f>
        <v>16.666666666666675</v>
      </c>
      <c r="U131" s="86">
        <f t="shared" ref="U131:U132" si="139">ROUND(+P131*S131,0)</f>
        <v>5</v>
      </c>
      <c r="V131" s="86">
        <f t="shared" si="85"/>
        <v>5</v>
      </c>
      <c r="W131" s="82">
        <f t="shared" ref="W131:W132" si="140">V131+U131</f>
        <v>10</v>
      </c>
      <c r="X131" s="76"/>
      <c r="Y131" s="76">
        <v>44531</v>
      </c>
      <c r="Z131" s="19" t="s">
        <v>234</v>
      </c>
    </row>
    <row r="132" spans="2:31" x14ac:dyDescent="0.25">
      <c r="B132" s="77" t="s">
        <v>227</v>
      </c>
      <c r="C132" s="78" t="s">
        <v>228</v>
      </c>
      <c r="D132" s="79">
        <v>6</v>
      </c>
      <c r="E132" s="79">
        <v>6.6</v>
      </c>
      <c r="F132" s="79">
        <f t="shared" si="137"/>
        <v>0.59999999999999964</v>
      </c>
      <c r="G132" s="79">
        <v>6.1</v>
      </c>
      <c r="H132" s="77">
        <f t="shared" si="135"/>
        <v>9.9999999999999645E-2</v>
      </c>
      <c r="I132" s="77" t="s">
        <v>142</v>
      </c>
      <c r="J132" s="80" t="s">
        <v>147</v>
      </c>
      <c r="K132" s="77" t="s">
        <v>132</v>
      </c>
      <c r="L132" s="81"/>
      <c r="M132" s="82">
        <v>2</v>
      </c>
      <c r="N132" s="83">
        <f>13/L126</f>
        <v>0.40625</v>
      </c>
      <c r="O132" s="82">
        <f t="shared" si="136"/>
        <v>5</v>
      </c>
      <c r="P132" s="83">
        <v>1</v>
      </c>
      <c r="Q132" s="83">
        <v>1</v>
      </c>
      <c r="R132" s="84">
        <v>0</v>
      </c>
      <c r="S132" s="82">
        <f t="shared" si="138"/>
        <v>5</v>
      </c>
      <c r="T132" s="85">
        <f>U132/$F132</f>
        <v>8.3333333333333375</v>
      </c>
      <c r="U132" s="86">
        <f t="shared" si="139"/>
        <v>5</v>
      </c>
      <c r="V132" s="86">
        <f t="shared" si="85"/>
        <v>5</v>
      </c>
      <c r="W132" s="82">
        <f t="shared" si="140"/>
        <v>10</v>
      </c>
      <c r="X132" s="76"/>
      <c r="Y132" s="76">
        <v>44531</v>
      </c>
      <c r="Z132" s="19" t="s">
        <v>234</v>
      </c>
    </row>
    <row r="133" spans="2:31" x14ac:dyDescent="0.25">
      <c r="B133" s="77"/>
      <c r="C133" s="78"/>
      <c r="D133" s="79"/>
      <c r="E133" s="79"/>
      <c r="F133" s="79"/>
      <c r="G133" s="79"/>
      <c r="H133" s="77"/>
      <c r="I133" s="77"/>
      <c r="J133" s="80"/>
      <c r="K133" s="77"/>
      <c r="L133" s="81"/>
      <c r="M133" s="82"/>
      <c r="N133" s="83"/>
      <c r="O133" s="82"/>
      <c r="P133" s="83"/>
      <c r="Q133" s="83"/>
      <c r="R133" s="84"/>
      <c r="S133" s="82"/>
      <c r="T133" s="85"/>
      <c r="U133" s="86"/>
      <c r="V133" s="86"/>
      <c r="W133" s="82"/>
      <c r="X133" s="76"/>
    </row>
    <row r="134" spans="2:31" x14ac:dyDescent="0.25">
      <c r="B134" s="90" t="s">
        <v>227</v>
      </c>
      <c r="C134" s="91" t="s">
        <v>228</v>
      </c>
      <c r="D134" s="90">
        <v>0.9</v>
      </c>
      <c r="E134" s="90">
        <v>1.9</v>
      </c>
      <c r="F134" s="90">
        <f>E134-D134</f>
        <v>0.99999999999999989</v>
      </c>
      <c r="G134" s="90"/>
      <c r="H134" s="90"/>
      <c r="I134" s="90" t="s">
        <v>142</v>
      </c>
      <c r="J134" s="90" t="s">
        <v>147</v>
      </c>
      <c r="K134" s="90" t="s">
        <v>163</v>
      </c>
      <c r="L134" s="56"/>
      <c r="M134" s="90"/>
      <c r="N134" s="90"/>
      <c r="O134" s="92">
        <f>T134*F134</f>
        <v>4.8484848484848468</v>
      </c>
      <c r="P134" s="92">
        <v>1</v>
      </c>
      <c r="Q134" s="90">
        <v>1</v>
      </c>
      <c r="R134" s="92">
        <v>0</v>
      </c>
      <c r="S134" s="92">
        <f t="shared" ref="S134:S135" si="141">O134-R134</f>
        <v>4.8484848484848468</v>
      </c>
      <c r="T134" s="93">
        <f>((SUM(L122:L123))/(SUM(F122:F123))*(1/9))</f>
        <v>4.8484848484848477</v>
      </c>
      <c r="U134" s="94">
        <f t="shared" ref="U134:U135" si="142">ROUND(+P134*S134,0)</f>
        <v>5</v>
      </c>
      <c r="V134" s="94">
        <f t="shared" ref="V134:V135" si="143">U134</f>
        <v>5</v>
      </c>
      <c r="W134" s="95">
        <f t="shared" ref="W134:W135" si="144">V134+U134</f>
        <v>10</v>
      </c>
      <c r="X134" s="76"/>
      <c r="Y134" s="19" t="s">
        <v>235</v>
      </c>
      <c r="AA134" s="121"/>
      <c r="AB134" s="103"/>
      <c r="AC134" s="19">
        <f>SUM(L122:L123)</f>
        <v>48</v>
      </c>
      <c r="AD134" s="103">
        <f>SUM(F122:F123)</f>
        <v>1.1000000000000001</v>
      </c>
      <c r="AE134" s="19">
        <f>AC134/AD134</f>
        <v>43.636363636363633</v>
      </c>
    </row>
    <row r="135" spans="2:31" x14ac:dyDescent="0.25">
      <c r="B135" s="90" t="s">
        <v>227</v>
      </c>
      <c r="C135" s="91" t="s">
        <v>228</v>
      </c>
      <c r="D135" s="90">
        <v>1.9</v>
      </c>
      <c r="E135" s="90">
        <v>2.6</v>
      </c>
      <c r="F135" s="90">
        <f>E135-D135</f>
        <v>0.70000000000000018</v>
      </c>
      <c r="G135" s="90"/>
      <c r="H135" s="90"/>
      <c r="I135" s="90" t="s">
        <v>142</v>
      </c>
      <c r="J135" s="90" t="s">
        <v>147</v>
      </c>
      <c r="K135" s="90" t="s">
        <v>163</v>
      </c>
      <c r="L135" s="56"/>
      <c r="M135" s="90"/>
      <c r="N135" s="90"/>
      <c r="O135" s="92">
        <f>T135*F135</f>
        <v>3.3939393939393945</v>
      </c>
      <c r="P135" s="92">
        <v>1</v>
      </c>
      <c r="Q135" s="90">
        <v>1</v>
      </c>
      <c r="R135" s="92">
        <v>0</v>
      </c>
      <c r="S135" s="92">
        <f t="shared" si="141"/>
        <v>3.3939393939393945</v>
      </c>
      <c r="T135" s="93">
        <f>((SUM(L122:L123))/(SUM(F122:F123))*(1/9))</f>
        <v>4.8484848484848477</v>
      </c>
      <c r="U135" s="94">
        <f t="shared" si="142"/>
        <v>3</v>
      </c>
      <c r="V135" s="94">
        <f t="shared" si="143"/>
        <v>3</v>
      </c>
      <c r="W135" s="95">
        <f t="shared" si="144"/>
        <v>6</v>
      </c>
      <c r="X135" s="76"/>
      <c r="Y135" s="19" t="s">
        <v>236</v>
      </c>
      <c r="AA135" s="121"/>
      <c r="AB135" s="103"/>
    </row>
    <row r="136" spans="2:31" x14ac:dyDescent="0.25">
      <c r="B136" s="56"/>
      <c r="C136" s="57"/>
      <c r="D136" s="23"/>
      <c r="E136" s="23"/>
      <c r="F136" s="23"/>
      <c r="G136" s="23"/>
      <c r="H136" s="23"/>
      <c r="I136" s="56"/>
      <c r="J136" s="66"/>
      <c r="K136" s="56"/>
      <c r="L136" s="58"/>
      <c r="M136" s="59"/>
      <c r="N136" s="60"/>
      <c r="O136" s="59"/>
      <c r="P136" s="60"/>
      <c r="Q136" s="60"/>
      <c r="R136" s="61"/>
      <c r="S136" s="59"/>
      <c r="T136" s="62"/>
      <c r="U136" s="63"/>
      <c r="V136" s="63"/>
      <c r="W136" s="59"/>
    </row>
    <row r="137" spans="2:31" x14ac:dyDescent="0.25">
      <c r="B137" s="77">
        <v>23.089500000000001</v>
      </c>
      <c r="C137" s="78" t="s">
        <v>232</v>
      </c>
      <c r="D137" s="79">
        <v>0.6</v>
      </c>
      <c r="E137" s="79">
        <v>1.6</v>
      </c>
      <c r="F137" s="79">
        <f t="shared" ref="F137:F144" si="145">(E137-D137)</f>
        <v>1</v>
      </c>
      <c r="G137" s="79">
        <v>0.8</v>
      </c>
      <c r="H137" s="77">
        <f t="shared" ref="H137:H144" si="146">G137-D137</f>
        <v>0.20000000000000007</v>
      </c>
      <c r="I137" s="77" t="s">
        <v>142</v>
      </c>
      <c r="J137" s="80" t="s">
        <v>147</v>
      </c>
      <c r="K137" s="77" t="s">
        <v>132</v>
      </c>
      <c r="L137" s="81"/>
      <c r="M137" s="82">
        <v>6</v>
      </c>
      <c r="N137" s="83">
        <f>20/L127</f>
        <v>0.37037037037037035</v>
      </c>
      <c r="O137" s="82">
        <f t="shared" ref="O137:O142" si="147">ROUND(IF(N137&lt;0.2,M137,IF(N137&gt;=0.2,M137/N137)),0)</f>
        <v>16</v>
      </c>
      <c r="P137" s="83">
        <v>1</v>
      </c>
      <c r="Q137" s="83">
        <v>1</v>
      </c>
      <c r="R137" s="84">
        <v>0</v>
      </c>
      <c r="S137" s="82">
        <f t="shared" ref="S137:S144" si="148">O137-R137</f>
        <v>16</v>
      </c>
      <c r="T137" s="85">
        <f>U137/$F137</f>
        <v>16</v>
      </c>
      <c r="U137" s="86">
        <f t="shared" ref="U137:U144" si="149">ROUND(+P137*S137,0)</f>
        <v>16</v>
      </c>
      <c r="V137" s="86">
        <f t="shared" si="85"/>
        <v>16</v>
      </c>
      <c r="W137" s="82">
        <f t="shared" ref="W137:W144" si="150">V137+U137</f>
        <v>32</v>
      </c>
      <c r="X137" s="76"/>
      <c r="Y137" s="76">
        <v>44531</v>
      </c>
      <c r="Z137" s="19" t="s">
        <v>237</v>
      </c>
    </row>
    <row r="138" spans="2:31" x14ac:dyDescent="0.25">
      <c r="B138" s="77">
        <v>23.089600000000001</v>
      </c>
      <c r="C138" s="78" t="s">
        <v>238</v>
      </c>
      <c r="D138" s="79">
        <v>0</v>
      </c>
      <c r="E138" s="79">
        <v>0.1</v>
      </c>
      <c r="F138" s="79">
        <f t="shared" si="145"/>
        <v>0.1</v>
      </c>
      <c r="G138" s="79">
        <v>0.1</v>
      </c>
      <c r="H138" s="77">
        <f t="shared" si="146"/>
        <v>0.1</v>
      </c>
      <c r="I138" s="77" t="s">
        <v>142</v>
      </c>
      <c r="J138" s="80" t="s">
        <v>147</v>
      </c>
      <c r="K138" s="77" t="s">
        <v>132</v>
      </c>
      <c r="L138" s="81"/>
      <c r="M138" s="82">
        <v>4</v>
      </c>
      <c r="N138" s="83">
        <f>20/L127</f>
        <v>0.37037037037037035</v>
      </c>
      <c r="O138" s="82">
        <f t="shared" si="147"/>
        <v>11</v>
      </c>
      <c r="P138" s="83">
        <v>1</v>
      </c>
      <c r="Q138" s="83">
        <v>1</v>
      </c>
      <c r="R138" s="84">
        <v>0</v>
      </c>
      <c r="S138" s="82">
        <f t="shared" si="148"/>
        <v>11</v>
      </c>
      <c r="T138" s="85">
        <f>U138/$F138</f>
        <v>110</v>
      </c>
      <c r="U138" s="86">
        <f t="shared" si="149"/>
        <v>11</v>
      </c>
      <c r="V138" s="86">
        <f t="shared" si="85"/>
        <v>11</v>
      </c>
      <c r="W138" s="82">
        <f t="shared" si="150"/>
        <v>22</v>
      </c>
      <c r="X138" s="76"/>
      <c r="Y138" s="76">
        <v>44531</v>
      </c>
      <c r="Z138" s="19" t="s">
        <v>237</v>
      </c>
    </row>
    <row r="139" spans="2:31" x14ac:dyDescent="0.25">
      <c r="B139" s="77">
        <v>23.089600000000001</v>
      </c>
      <c r="C139" s="78" t="s">
        <v>238</v>
      </c>
      <c r="D139" s="79">
        <v>0.1</v>
      </c>
      <c r="E139" s="79">
        <v>1</v>
      </c>
      <c r="F139" s="79">
        <f t="shared" si="145"/>
        <v>0.9</v>
      </c>
      <c r="G139" s="79">
        <v>0.7</v>
      </c>
      <c r="H139" s="77">
        <f t="shared" si="146"/>
        <v>0.6</v>
      </c>
      <c r="I139" s="77" t="s">
        <v>142</v>
      </c>
      <c r="J139" s="80" t="s">
        <v>147</v>
      </c>
      <c r="K139" s="77" t="s">
        <v>132</v>
      </c>
      <c r="L139" s="81"/>
      <c r="M139" s="82">
        <v>2</v>
      </c>
      <c r="N139" s="83">
        <f>20/L127</f>
        <v>0.37037037037037035</v>
      </c>
      <c r="O139" s="82">
        <f t="shared" si="147"/>
        <v>5</v>
      </c>
      <c r="P139" s="83">
        <v>1</v>
      </c>
      <c r="Q139" s="83">
        <v>1</v>
      </c>
      <c r="R139" s="84">
        <v>0</v>
      </c>
      <c r="S139" s="82">
        <f t="shared" si="148"/>
        <v>5</v>
      </c>
      <c r="T139" s="85">
        <f t="shared" ref="T139:T144" si="151">U139/$F139</f>
        <v>5.5555555555555554</v>
      </c>
      <c r="U139" s="86">
        <f t="shared" si="149"/>
        <v>5</v>
      </c>
      <c r="V139" s="86">
        <f t="shared" si="85"/>
        <v>5</v>
      </c>
      <c r="W139" s="82">
        <f t="shared" si="150"/>
        <v>10</v>
      </c>
      <c r="X139" s="76"/>
      <c r="Y139" s="76">
        <v>44531</v>
      </c>
      <c r="Z139" s="19" t="s">
        <v>237</v>
      </c>
    </row>
    <row r="140" spans="2:31" ht="15" customHeight="1" x14ac:dyDescent="0.25">
      <c r="B140" s="77">
        <v>23.089700000000001</v>
      </c>
      <c r="C140" s="78" t="s">
        <v>239</v>
      </c>
      <c r="D140" s="79">
        <v>0</v>
      </c>
      <c r="E140" s="79">
        <v>0.2</v>
      </c>
      <c r="F140" s="79">
        <f t="shared" si="145"/>
        <v>0.2</v>
      </c>
      <c r="G140" s="79">
        <v>0.2</v>
      </c>
      <c r="H140" s="77">
        <f t="shared" si="146"/>
        <v>0.2</v>
      </c>
      <c r="I140" s="77" t="s">
        <v>142</v>
      </c>
      <c r="J140" s="80" t="s">
        <v>147</v>
      </c>
      <c r="K140" s="77" t="s">
        <v>132</v>
      </c>
      <c r="L140" s="81"/>
      <c r="M140" s="82">
        <v>1</v>
      </c>
      <c r="N140" s="83">
        <f>20/L127</f>
        <v>0.37037037037037035</v>
      </c>
      <c r="O140" s="82">
        <f t="shared" si="147"/>
        <v>3</v>
      </c>
      <c r="P140" s="83">
        <v>1</v>
      </c>
      <c r="Q140" s="83">
        <v>1</v>
      </c>
      <c r="R140" s="84">
        <v>0</v>
      </c>
      <c r="S140" s="82">
        <f t="shared" si="148"/>
        <v>3</v>
      </c>
      <c r="T140" s="85">
        <f t="shared" si="151"/>
        <v>15</v>
      </c>
      <c r="U140" s="86">
        <f t="shared" si="149"/>
        <v>3</v>
      </c>
      <c r="V140" s="86">
        <f t="shared" si="85"/>
        <v>3</v>
      </c>
      <c r="W140" s="82">
        <f t="shared" si="150"/>
        <v>6</v>
      </c>
      <c r="X140" s="76"/>
      <c r="Y140" s="76">
        <v>44531</v>
      </c>
      <c r="Z140" s="19" t="s">
        <v>237</v>
      </c>
    </row>
    <row r="141" spans="2:31" x14ac:dyDescent="0.25">
      <c r="B141" s="77">
        <v>23.089700000000001</v>
      </c>
      <c r="C141" s="78" t="s">
        <v>239</v>
      </c>
      <c r="D141" s="79">
        <v>0.2</v>
      </c>
      <c r="E141" s="79">
        <v>1</v>
      </c>
      <c r="F141" s="79">
        <f t="shared" si="145"/>
        <v>0.8</v>
      </c>
      <c r="G141" s="79">
        <v>0.8</v>
      </c>
      <c r="H141" s="77">
        <f t="shared" si="146"/>
        <v>0.60000000000000009</v>
      </c>
      <c r="I141" s="77" t="s">
        <v>142</v>
      </c>
      <c r="J141" s="80" t="s">
        <v>147</v>
      </c>
      <c r="K141" s="77" t="s">
        <v>132</v>
      </c>
      <c r="L141" s="81"/>
      <c r="M141" s="82">
        <v>18</v>
      </c>
      <c r="N141" s="83">
        <f>20/L127</f>
        <v>0.37037037037037035</v>
      </c>
      <c r="O141" s="82">
        <f t="shared" si="147"/>
        <v>49</v>
      </c>
      <c r="P141" s="83">
        <v>1</v>
      </c>
      <c r="Q141" s="83">
        <v>1</v>
      </c>
      <c r="R141" s="84">
        <v>0</v>
      </c>
      <c r="S141" s="82">
        <f t="shared" si="148"/>
        <v>49</v>
      </c>
      <c r="T141" s="85">
        <f t="shared" si="151"/>
        <v>61.25</v>
      </c>
      <c r="U141" s="86">
        <f t="shared" si="149"/>
        <v>49</v>
      </c>
      <c r="V141" s="86">
        <f t="shared" si="85"/>
        <v>49</v>
      </c>
      <c r="W141" s="82">
        <f t="shared" si="150"/>
        <v>98</v>
      </c>
      <c r="X141" s="76"/>
      <c r="Y141" s="76">
        <v>44531</v>
      </c>
      <c r="Z141" s="19" t="s">
        <v>237</v>
      </c>
    </row>
    <row r="142" spans="2:31" x14ac:dyDescent="0.25">
      <c r="B142" s="77">
        <v>23.0898</v>
      </c>
      <c r="C142" s="78" t="s">
        <v>240</v>
      </c>
      <c r="D142" s="79">
        <v>0</v>
      </c>
      <c r="E142" s="79">
        <v>0.6</v>
      </c>
      <c r="F142" s="79">
        <f t="shared" si="145"/>
        <v>0.6</v>
      </c>
      <c r="G142" s="79">
        <v>0.6</v>
      </c>
      <c r="H142" s="79">
        <f t="shared" si="146"/>
        <v>0.6</v>
      </c>
      <c r="I142" s="77" t="s">
        <v>142</v>
      </c>
      <c r="J142" s="80" t="s">
        <v>147</v>
      </c>
      <c r="K142" s="77" t="s">
        <v>132</v>
      </c>
      <c r="L142" s="81"/>
      <c r="M142" s="82">
        <v>5</v>
      </c>
      <c r="N142" s="83">
        <f>20/L127</f>
        <v>0.37037037037037035</v>
      </c>
      <c r="O142" s="82">
        <f t="shared" si="147"/>
        <v>14</v>
      </c>
      <c r="P142" s="83">
        <v>1</v>
      </c>
      <c r="Q142" s="83">
        <v>1</v>
      </c>
      <c r="R142" s="84">
        <v>0</v>
      </c>
      <c r="S142" s="82">
        <f t="shared" si="148"/>
        <v>14</v>
      </c>
      <c r="T142" s="85">
        <f t="shared" si="151"/>
        <v>23.333333333333336</v>
      </c>
      <c r="U142" s="86">
        <f t="shared" si="149"/>
        <v>14</v>
      </c>
      <c r="V142" s="86">
        <f t="shared" si="85"/>
        <v>14</v>
      </c>
      <c r="W142" s="82">
        <f t="shared" si="150"/>
        <v>28</v>
      </c>
      <c r="X142" s="76"/>
      <c r="Y142" s="76">
        <v>44531</v>
      </c>
      <c r="Z142" s="19" t="s">
        <v>237</v>
      </c>
    </row>
    <row r="143" spans="2:31" x14ac:dyDescent="0.25">
      <c r="B143" s="122"/>
      <c r="C143" s="123"/>
      <c r="D143" s="79">
        <v>0</v>
      </c>
      <c r="E143" s="79">
        <v>0.1</v>
      </c>
      <c r="F143" s="79">
        <f t="shared" si="145"/>
        <v>0.1</v>
      </c>
      <c r="G143" s="79"/>
      <c r="H143" s="77">
        <f t="shared" si="146"/>
        <v>0</v>
      </c>
      <c r="I143" s="77" t="s">
        <v>142</v>
      </c>
      <c r="J143" s="80" t="s">
        <v>147</v>
      </c>
      <c r="K143" s="77" t="s">
        <v>132</v>
      </c>
      <c r="L143" s="81"/>
      <c r="M143" s="82">
        <v>1</v>
      </c>
      <c r="N143" s="83">
        <f>20/L127</f>
        <v>0.37037037037037035</v>
      </c>
      <c r="O143" s="82">
        <f>ROUND(IF(N143&lt;0.2,M143,IF(N143&gt;=0.2,M143/N143)),0)</f>
        <v>3</v>
      </c>
      <c r="P143" s="83">
        <v>1</v>
      </c>
      <c r="Q143" s="83">
        <v>1</v>
      </c>
      <c r="R143" s="84">
        <v>0</v>
      </c>
      <c r="S143" s="82">
        <f t="shared" si="148"/>
        <v>3</v>
      </c>
      <c r="T143" s="85">
        <f t="shared" si="151"/>
        <v>30</v>
      </c>
      <c r="U143" s="86">
        <f t="shared" si="149"/>
        <v>3</v>
      </c>
      <c r="V143" s="86">
        <f t="shared" si="85"/>
        <v>3</v>
      </c>
      <c r="W143" s="82">
        <f t="shared" si="150"/>
        <v>6</v>
      </c>
      <c r="X143" s="76"/>
      <c r="Y143" s="76">
        <v>44531</v>
      </c>
      <c r="Z143" s="19" t="s">
        <v>237</v>
      </c>
    </row>
    <row r="144" spans="2:31" x14ac:dyDescent="0.25">
      <c r="B144" s="122"/>
      <c r="C144" s="123"/>
      <c r="D144" s="79">
        <v>0</v>
      </c>
      <c r="E144" s="79">
        <v>0.1</v>
      </c>
      <c r="F144" s="79">
        <f t="shared" si="145"/>
        <v>0.1</v>
      </c>
      <c r="G144" s="79"/>
      <c r="H144" s="77">
        <f t="shared" si="146"/>
        <v>0</v>
      </c>
      <c r="I144" s="77" t="s">
        <v>142</v>
      </c>
      <c r="J144" s="80" t="s">
        <v>147</v>
      </c>
      <c r="K144" s="77" t="s">
        <v>132</v>
      </c>
      <c r="L144" s="81"/>
      <c r="M144" s="82">
        <v>1</v>
      </c>
      <c r="N144" s="83">
        <f>20/L127</f>
        <v>0.37037037037037035</v>
      </c>
      <c r="O144" s="82">
        <f>ROUND(IF(N144&lt;0.2,M144,IF(N144&gt;=0.2,M144/N144)),0)</f>
        <v>3</v>
      </c>
      <c r="P144" s="83">
        <v>1</v>
      </c>
      <c r="Q144" s="83">
        <v>1</v>
      </c>
      <c r="R144" s="84">
        <v>0</v>
      </c>
      <c r="S144" s="82">
        <f t="shared" si="148"/>
        <v>3</v>
      </c>
      <c r="T144" s="85">
        <f t="shared" si="151"/>
        <v>30</v>
      </c>
      <c r="U144" s="86">
        <f t="shared" si="149"/>
        <v>3</v>
      </c>
      <c r="V144" s="86">
        <f t="shared" si="85"/>
        <v>3</v>
      </c>
      <c r="W144" s="82">
        <f t="shared" si="150"/>
        <v>6</v>
      </c>
      <c r="X144" s="76"/>
      <c r="Y144" s="76">
        <v>44531</v>
      </c>
      <c r="Z144" s="19" t="s">
        <v>237</v>
      </c>
    </row>
    <row r="145" spans="2:32" x14ac:dyDescent="0.25">
      <c r="C145" s="98"/>
      <c r="I145" s="21"/>
      <c r="L145" s="106"/>
      <c r="M145" s="100"/>
      <c r="N145" s="100"/>
      <c r="O145" s="107"/>
      <c r="T145" s="102"/>
      <c r="U145" s="103"/>
      <c r="V145" s="63"/>
      <c r="W145" s="108"/>
    </row>
    <row r="146" spans="2:32" x14ac:dyDescent="0.25">
      <c r="B146" s="90" t="s">
        <v>241</v>
      </c>
      <c r="C146" s="91" t="s">
        <v>242</v>
      </c>
      <c r="D146" s="94">
        <v>0</v>
      </c>
      <c r="E146" s="94">
        <v>0.4</v>
      </c>
      <c r="F146" s="94">
        <f t="shared" ref="F146" si="152">(E146-D146)</f>
        <v>0.4</v>
      </c>
      <c r="G146" s="94"/>
      <c r="H146" s="94"/>
      <c r="I146" s="90"/>
      <c r="J146" s="90"/>
      <c r="K146" s="90" t="s">
        <v>163</v>
      </c>
      <c r="L146" s="58"/>
      <c r="M146" s="124"/>
      <c r="N146" s="125"/>
      <c r="O146" s="124">
        <f>T146*F146</f>
        <v>7.2380952380952381</v>
      </c>
      <c r="P146" s="125">
        <v>1</v>
      </c>
      <c r="Q146" s="90">
        <v>1</v>
      </c>
      <c r="R146" s="92">
        <v>0</v>
      </c>
      <c r="S146" s="124">
        <f t="shared" ref="S146" si="153">O146-R146</f>
        <v>7.2380952380952381</v>
      </c>
      <c r="T146" s="93">
        <f>((SUM(O127,O137:O142)/(SUM(F127,F137:F142))*0.5))</f>
        <v>18.095238095238095</v>
      </c>
      <c r="U146" s="126">
        <f t="shared" ref="U146" si="154">ROUND(+P146*S146,0)</f>
        <v>7</v>
      </c>
      <c r="V146" s="126">
        <f t="shared" ref="V146" si="155">U146</f>
        <v>7</v>
      </c>
      <c r="W146" s="124">
        <f t="shared" ref="W146" si="156">V146+U146</f>
        <v>14</v>
      </c>
      <c r="X146" s="76"/>
      <c r="Y146" s="19" t="s">
        <v>243</v>
      </c>
      <c r="AA146" s="121"/>
      <c r="AB146" s="103"/>
      <c r="AE146" s="121">
        <f>SUM(O127,O137:O144)</f>
        <v>158</v>
      </c>
      <c r="AF146" s="103">
        <f>SUM(F127,F137:F142)</f>
        <v>4.2</v>
      </c>
    </row>
    <row r="147" spans="2:32" x14ac:dyDescent="0.25">
      <c r="C147" s="98"/>
      <c r="I147" s="21"/>
      <c r="L147" s="106"/>
      <c r="M147" s="100"/>
      <c r="N147" s="100"/>
      <c r="O147" s="107"/>
      <c r="T147" s="102"/>
      <c r="U147" s="103"/>
      <c r="V147" s="63"/>
      <c r="W147" s="108"/>
      <c r="AE147" s="19">
        <f>(AE146/AF146)*0.5</f>
        <v>18.80952380952381</v>
      </c>
    </row>
    <row r="148" spans="2:32" x14ac:dyDescent="0.25">
      <c r="B148" s="56" t="s">
        <v>244</v>
      </c>
      <c r="C148" s="57" t="s">
        <v>245</v>
      </c>
      <c r="D148" s="23">
        <v>0</v>
      </c>
      <c r="E148" s="23">
        <v>0.3</v>
      </c>
      <c r="F148" s="23">
        <f t="shared" ref="F148:F151" si="157">(E148-D148)</f>
        <v>0.3</v>
      </c>
      <c r="G148" s="23">
        <v>0.3</v>
      </c>
      <c r="H148" s="23">
        <f t="shared" ref="H148:H151" si="158">G148-D148</f>
        <v>0.3</v>
      </c>
      <c r="I148" s="56" t="s">
        <v>142</v>
      </c>
      <c r="J148" s="66" t="s">
        <v>147</v>
      </c>
      <c r="K148" s="56" t="s">
        <v>144</v>
      </c>
      <c r="L148" s="58">
        <v>22</v>
      </c>
      <c r="M148" s="59"/>
      <c r="N148" s="60"/>
      <c r="O148" s="59">
        <f t="shared" ref="O148:O150" si="159">L148</f>
        <v>22</v>
      </c>
      <c r="P148" s="60">
        <v>1</v>
      </c>
      <c r="Q148" s="60">
        <v>1</v>
      </c>
      <c r="R148" s="61">
        <v>0</v>
      </c>
      <c r="S148" s="59">
        <f t="shared" ref="S148:S151" si="160">O148-R148</f>
        <v>22</v>
      </c>
      <c r="T148" s="62">
        <f>U148/$F148</f>
        <v>73.333333333333343</v>
      </c>
      <c r="U148" s="63">
        <f t="shared" ref="U148:U151" si="161">ROUND(+P148*S148,0)</f>
        <v>22</v>
      </c>
      <c r="V148" s="63">
        <f t="shared" si="85"/>
        <v>22</v>
      </c>
      <c r="W148" s="59">
        <f t="shared" ref="W148:W151" si="162">V148+U148</f>
        <v>44</v>
      </c>
    </row>
    <row r="149" spans="2:32" x14ac:dyDescent="0.25">
      <c r="B149" s="56" t="s">
        <v>244</v>
      </c>
      <c r="C149" s="57" t="s">
        <v>245</v>
      </c>
      <c r="D149" s="23">
        <v>0.3</v>
      </c>
      <c r="E149" s="23">
        <v>1.5</v>
      </c>
      <c r="F149" s="23">
        <f t="shared" si="157"/>
        <v>1.2</v>
      </c>
      <c r="G149" s="23">
        <v>1.5</v>
      </c>
      <c r="H149" s="23">
        <f t="shared" si="158"/>
        <v>1.2</v>
      </c>
      <c r="I149" s="56" t="s">
        <v>142</v>
      </c>
      <c r="J149" s="66" t="s">
        <v>147</v>
      </c>
      <c r="K149" s="56" t="s">
        <v>144</v>
      </c>
      <c r="L149" s="58">
        <v>90</v>
      </c>
      <c r="M149" s="59"/>
      <c r="N149" s="60"/>
      <c r="O149" s="59">
        <f t="shared" si="159"/>
        <v>90</v>
      </c>
      <c r="P149" s="60">
        <v>1</v>
      </c>
      <c r="Q149" s="60">
        <v>1</v>
      </c>
      <c r="R149" s="61">
        <v>0</v>
      </c>
      <c r="S149" s="59">
        <f t="shared" si="160"/>
        <v>90</v>
      </c>
      <c r="T149" s="62">
        <f>U149/$F149</f>
        <v>75</v>
      </c>
      <c r="U149" s="63">
        <f t="shared" si="161"/>
        <v>90</v>
      </c>
      <c r="V149" s="63">
        <f t="shared" si="85"/>
        <v>90</v>
      </c>
      <c r="W149" s="59">
        <f t="shared" si="162"/>
        <v>180</v>
      </c>
    </row>
    <row r="150" spans="2:32" x14ac:dyDescent="0.25">
      <c r="B150" s="56" t="s">
        <v>244</v>
      </c>
      <c r="C150" s="57" t="s">
        <v>245</v>
      </c>
      <c r="D150" s="23">
        <v>1.5</v>
      </c>
      <c r="E150" s="23">
        <v>2</v>
      </c>
      <c r="F150" s="23">
        <f t="shared" si="157"/>
        <v>0.5</v>
      </c>
      <c r="G150" s="23">
        <v>2</v>
      </c>
      <c r="H150" s="23">
        <f t="shared" si="158"/>
        <v>0.5</v>
      </c>
      <c r="I150" s="56" t="s">
        <v>142</v>
      </c>
      <c r="J150" s="66" t="s">
        <v>147</v>
      </c>
      <c r="K150" s="56" t="s">
        <v>144</v>
      </c>
      <c r="L150" s="58">
        <v>22</v>
      </c>
      <c r="M150" s="59"/>
      <c r="N150" s="60"/>
      <c r="O150" s="59">
        <f t="shared" si="159"/>
        <v>22</v>
      </c>
      <c r="P150" s="60">
        <v>1</v>
      </c>
      <c r="Q150" s="60">
        <v>1</v>
      </c>
      <c r="R150" s="61">
        <v>0</v>
      </c>
      <c r="S150" s="59">
        <f t="shared" si="160"/>
        <v>22</v>
      </c>
      <c r="T150" s="62">
        <f>U150/$F150</f>
        <v>44</v>
      </c>
      <c r="U150" s="63">
        <f t="shared" si="161"/>
        <v>22</v>
      </c>
      <c r="V150" s="63">
        <f t="shared" si="85"/>
        <v>22</v>
      </c>
      <c r="W150" s="59">
        <f t="shared" si="162"/>
        <v>44</v>
      </c>
    </row>
    <row r="151" spans="2:32" x14ac:dyDescent="0.25">
      <c r="B151" s="122" t="s">
        <v>246</v>
      </c>
      <c r="C151" s="123"/>
      <c r="D151" s="127"/>
      <c r="E151" s="127"/>
      <c r="F151" s="79">
        <f t="shared" si="157"/>
        <v>0</v>
      </c>
      <c r="G151" s="79"/>
      <c r="H151" s="77">
        <f t="shared" si="158"/>
        <v>0</v>
      </c>
      <c r="I151" s="77" t="s">
        <v>142</v>
      </c>
      <c r="J151" s="80" t="s">
        <v>147</v>
      </c>
      <c r="K151" s="77" t="s">
        <v>132</v>
      </c>
      <c r="L151" s="81"/>
      <c r="M151" s="82">
        <v>0</v>
      </c>
      <c r="N151" s="83"/>
      <c r="O151" s="82">
        <f t="shared" ref="O151" si="163">ROUND(IF(N151&lt;0.2,M151,IF(N151&gt;=0.2,M151/N151)),0)</f>
        <v>0</v>
      </c>
      <c r="P151" s="83">
        <v>1</v>
      </c>
      <c r="Q151" s="83">
        <v>1</v>
      </c>
      <c r="R151" s="84">
        <v>0</v>
      </c>
      <c r="S151" s="82">
        <f t="shared" si="160"/>
        <v>0</v>
      </c>
      <c r="T151" s="85" t="e">
        <f>U151/$F151</f>
        <v>#DIV/0!</v>
      </c>
      <c r="U151" s="86">
        <f t="shared" si="161"/>
        <v>0</v>
      </c>
      <c r="V151" s="86">
        <f t="shared" si="85"/>
        <v>0</v>
      </c>
      <c r="W151" s="82">
        <f t="shared" si="162"/>
        <v>0</v>
      </c>
      <c r="X151" s="76"/>
    </row>
    <row r="152" spans="2:32" x14ac:dyDescent="0.25">
      <c r="B152" s="56"/>
      <c r="C152" s="57"/>
      <c r="D152" s="23"/>
      <c r="E152" s="23"/>
      <c r="F152" s="23"/>
      <c r="G152" s="23"/>
      <c r="H152" s="23"/>
      <c r="I152" s="56"/>
      <c r="J152" s="66"/>
      <c r="K152" s="56"/>
      <c r="L152" s="58"/>
      <c r="M152" s="59"/>
      <c r="N152" s="60"/>
      <c r="O152" s="59"/>
      <c r="P152" s="60"/>
      <c r="Q152" s="60"/>
      <c r="R152" s="61"/>
      <c r="S152" s="59"/>
      <c r="T152" s="62"/>
      <c r="U152" s="63"/>
      <c r="V152" s="63"/>
      <c r="W152" s="59"/>
    </row>
    <row r="153" spans="2:32" x14ac:dyDescent="0.25">
      <c r="B153" s="56"/>
      <c r="C153" s="57"/>
      <c r="D153" s="23"/>
      <c r="E153" s="23"/>
      <c r="F153" s="23"/>
      <c r="G153" s="23"/>
      <c r="H153" s="23"/>
      <c r="I153" s="56"/>
      <c r="J153" s="66"/>
      <c r="K153" s="56"/>
      <c r="L153" s="58"/>
      <c r="M153" s="59"/>
      <c r="N153" s="60"/>
      <c r="O153" s="59"/>
      <c r="P153" s="60"/>
      <c r="Q153" s="60"/>
      <c r="R153" s="61"/>
      <c r="S153" s="59"/>
      <c r="T153" s="62"/>
      <c r="U153" s="63"/>
      <c r="V153" s="63"/>
      <c r="W153" s="59"/>
    </row>
    <row r="154" spans="2:32" x14ac:dyDescent="0.25">
      <c r="B154" s="56" t="s">
        <v>247</v>
      </c>
      <c r="C154" s="57"/>
      <c r="D154" s="23">
        <v>0</v>
      </c>
      <c r="E154" s="23">
        <v>0.5</v>
      </c>
      <c r="F154" s="23">
        <f>(E154-D154)</f>
        <v>0.5</v>
      </c>
      <c r="G154" s="23">
        <v>0.5</v>
      </c>
      <c r="H154" s="56">
        <f t="shared" ref="H154:H156" si="164">G154-D154</f>
        <v>0.5</v>
      </c>
      <c r="I154" s="56" t="s">
        <v>142</v>
      </c>
      <c r="J154" s="66" t="s">
        <v>147</v>
      </c>
      <c r="K154" s="56" t="s">
        <v>144</v>
      </c>
      <c r="L154" s="58">
        <v>100</v>
      </c>
      <c r="M154" s="59"/>
      <c r="N154" s="60"/>
      <c r="O154" s="59">
        <f t="shared" ref="O154" si="165">L154</f>
        <v>100</v>
      </c>
      <c r="P154" s="60">
        <v>1</v>
      </c>
      <c r="Q154" s="60">
        <v>1</v>
      </c>
      <c r="R154" s="61">
        <v>0</v>
      </c>
      <c r="S154" s="59">
        <f t="shared" ref="S154:S156" si="166">O154-R154</f>
        <v>100</v>
      </c>
      <c r="T154" s="62">
        <f>U154/$F154</f>
        <v>200</v>
      </c>
      <c r="U154" s="63">
        <f t="shared" ref="U154:U156" si="167">ROUND(+P154*S154,0)</f>
        <v>100</v>
      </c>
      <c r="V154" s="63">
        <f t="shared" ref="V154:V156" si="168">U154</f>
        <v>100</v>
      </c>
      <c r="W154" s="59">
        <f t="shared" ref="W154:W156" si="169">V154+U154</f>
        <v>200</v>
      </c>
      <c r="Y154" s="76">
        <v>44594</v>
      </c>
      <c r="Z154" s="19" t="s">
        <v>248</v>
      </c>
    </row>
    <row r="155" spans="2:32" x14ac:dyDescent="0.25">
      <c r="B155" s="77" t="s">
        <v>247</v>
      </c>
      <c r="C155" s="78"/>
      <c r="D155" s="79">
        <v>1.3</v>
      </c>
      <c r="E155" s="79">
        <v>2.2000000000000002</v>
      </c>
      <c r="F155" s="79">
        <f t="shared" ref="F155:F156" si="170">(E155-D155)</f>
        <v>0.90000000000000013</v>
      </c>
      <c r="G155" s="79">
        <v>2.2000000000000002</v>
      </c>
      <c r="H155" s="77">
        <f t="shared" si="164"/>
        <v>0.90000000000000013</v>
      </c>
      <c r="I155" s="77" t="s">
        <v>142</v>
      </c>
      <c r="J155" s="80" t="s">
        <v>147</v>
      </c>
      <c r="K155" s="77" t="s">
        <v>132</v>
      </c>
      <c r="L155" s="81"/>
      <c r="M155" s="82">
        <v>8</v>
      </c>
      <c r="N155" s="83">
        <f>27/L154</f>
        <v>0.27</v>
      </c>
      <c r="O155" s="82">
        <f>ROUND(IF(N155&lt;0.2,M155,IF(N155&gt;=0.2,M155/N155)),0)</f>
        <v>30</v>
      </c>
      <c r="P155" s="83">
        <v>1</v>
      </c>
      <c r="Q155" s="83">
        <v>1</v>
      </c>
      <c r="R155" s="84">
        <v>0</v>
      </c>
      <c r="S155" s="82">
        <f t="shared" si="166"/>
        <v>30</v>
      </c>
      <c r="T155" s="85">
        <f>U155/$F155</f>
        <v>33.333333333333329</v>
      </c>
      <c r="U155" s="86">
        <f t="shared" si="167"/>
        <v>30</v>
      </c>
      <c r="V155" s="86">
        <f t="shared" si="168"/>
        <v>30</v>
      </c>
      <c r="W155" s="82">
        <f t="shared" si="169"/>
        <v>60</v>
      </c>
      <c r="X155" s="76"/>
      <c r="Y155" s="76">
        <v>44594</v>
      </c>
      <c r="Z155" s="19" t="s">
        <v>249</v>
      </c>
    </row>
    <row r="156" spans="2:32" x14ac:dyDescent="0.25">
      <c r="B156" s="77" t="s">
        <v>247</v>
      </c>
      <c r="C156" s="78"/>
      <c r="D156" s="79">
        <v>2.2000000000000002</v>
      </c>
      <c r="E156" s="79">
        <v>2.2999999999999998</v>
      </c>
      <c r="F156" s="79">
        <f t="shared" si="170"/>
        <v>9.9999999999999645E-2</v>
      </c>
      <c r="G156" s="79">
        <v>2.2000000000000002</v>
      </c>
      <c r="H156" s="77">
        <f t="shared" si="164"/>
        <v>0</v>
      </c>
      <c r="I156" s="77" t="s">
        <v>142</v>
      </c>
      <c r="J156" s="80" t="s">
        <v>147</v>
      </c>
      <c r="K156" s="77" t="s">
        <v>132</v>
      </c>
      <c r="L156" s="81"/>
      <c r="M156" s="82">
        <v>0</v>
      </c>
      <c r="N156" s="83">
        <f>27/L154</f>
        <v>0.27</v>
      </c>
      <c r="O156" s="82">
        <f t="shared" ref="O156" si="171">ROUND(IF(N156&lt;0.2,M156,IF(N156&gt;=0.2,M156/N156)),0)</f>
        <v>0</v>
      </c>
      <c r="P156" s="83">
        <v>1</v>
      </c>
      <c r="Q156" s="83">
        <v>1</v>
      </c>
      <c r="R156" s="84">
        <v>0</v>
      </c>
      <c r="S156" s="82">
        <f t="shared" si="166"/>
        <v>0</v>
      </c>
      <c r="T156" s="85">
        <f>U156/$F156</f>
        <v>0</v>
      </c>
      <c r="U156" s="86">
        <f t="shared" si="167"/>
        <v>0</v>
      </c>
      <c r="V156" s="86">
        <f t="shared" si="168"/>
        <v>0</v>
      </c>
      <c r="W156" s="82">
        <f t="shared" si="169"/>
        <v>0</v>
      </c>
      <c r="X156" s="76"/>
      <c r="Y156" s="76">
        <v>44594</v>
      </c>
      <c r="Z156" s="19" t="s">
        <v>249</v>
      </c>
    </row>
    <row r="157" spans="2:32" x14ac:dyDescent="0.25">
      <c r="B157" s="90"/>
      <c r="C157" s="91"/>
      <c r="D157" s="94"/>
      <c r="E157" s="94"/>
      <c r="F157" s="94"/>
      <c r="G157" s="94"/>
      <c r="H157" s="94"/>
      <c r="I157" s="90"/>
      <c r="J157" s="90"/>
      <c r="K157" s="90"/>
      <c r="L157" s="58"/>
      <c r="M157" s="124"/>
      <c r="N157" s="125"/>
      <c r="O157" s="124"/>
      <c r="P157" s="125"/>
      <c r="Q157" s="125"/>
      <c r="R157" s="92"/>
      <c r="S157" s="124"/>
      <c r="T157" s="93"/>
      <c r="U157" s="126"/>
      <c r="V157" s="126"/>
      <c r="W157" s="124"/>
    </row>
    <row r="158" spans="2:32" x14ac:dyDescent="0.25">
      <c r="B158" s="56" t="s">
        <v>250</v>
      </c>
      <c r="C158" s="57"/>
      <c r="D158" s="23">
        <v>0</v>
      </c>
      <c r="E158" s="23">
        <v>0.8</v>
      </c>
      <c r="F158" s="23">
        <f>(E158-D158)</f>
        <v>0.8</v>
      </c>
      <c r="G158" s="23">
        <v>0.8</v>
      </c>
      <c r="H158" s="56">
        <f t="shared" ref="H158" si="172">G158-D158</f>
        <v>0.8</v>
      </c>
      <c r="I158" s="56" t="s">
        <v>142</v>
      </c>
      <c r="J158" s="66" t="s">
        <v>147</v>
      </c>
      <c r="K158" s="56" t="s">
        <v>144</v>
      </c>
      <c r="L158" s="58">
        <v>81</v>
      </c>
      <c r="M158" s="59"/>
      <c r="N158" s="60"/>
      <c r="O158" s="59">
        <f>L158</f>
        <v>81</v>
      </c>
      <c r="P158" s="60">
        <v>1</v>
      </c>
      <c r="Q158" s="60">
        <v>1</v>
      </c>
      <c r="R158" s="61">
        <v>0</v>
      </c>
      <c r="S158" s="59">
        <f>O158-R158</f>
        <v>81</v>
      </c>
      <c r="T158" s="62">
        <f>U158/$F158</f>
        <v>101.25</v>
      </c>
      <c r="U158" s="63">
        <f>ROUND(+P158*S158,0)</f>
        <v>81</v>
      </c>
      <c r="V158" s="63">
        <f t="shared" ref="V158:V159" si="173">U158</f>
        <v>81</v>
      </c>
      <c r="W158" s="59">
        <f t="shared" ref="W158:W159" si="174">V158+U158</f>
        <v>162</v>
      </c>
      <c r="Y158" s="76">
        <v>44524</v>
      </c>
      <c r="Z158" s="19" t="s">
        <v>251</v>
      </c>
    </row>
    <row r="159" spans="2:32" x14ac:dyDescent="0.25">
      <c r="B159" s="77" t="s">
        <v>250</v>
      </c>
      <c r="C159" s="78"/>
      <c r="D159" s="79">
        <v>0.8</v>
      </c>
      <c r="E159" s="79">
        <v>1.5</v>
      </c>
      <c r="F159" s="79">
        <f>(E159-D159)</f>
        <v>0.7</v>
      </c>
      <c r="G159" s="79">
        <v>1.4</v>
      </c>
      <c r="H159" s="79">
        <f>G159-D159</f>
        <v>0.59999999999999987</v>
      </c>
      <c r="I159" s="77" t="s">
        <v>142</v>
      </c>
      <c r="J159" s="80" t="s">
        <v>147</v>
      </c>
      <c r="K159" s="77" t="s">
        <v>132</v>
      </c>
      <c r="L159" s="81"/>
      <c r="M159" s="82">
        <v>14</v>
      </c>
      <c r="N159" s="83">
        <f>41/L158</f>
        <v>0.50617283950617287</v>
      </c>
      <c r="O159" s="82">
        <f>ROUND(IF(N159&lt;0.2,M159,IF(N159&gt;=0.2,M159/N159)),0)</f>
        <v>28</v>
      </c>
      <c r="P159" s="83">
        <v>1</v>
      </c>
      <c r="Q159" s="83">
        <v>1</v>
      </c>
      <c r="R159" s="84">
        <v>0</v>
      </c>
      <c r="S159" s="82">
        <f>O159-R159</f>
        <v>28</v>
      </c>
      <c r="T159" s="85">
        <f>U159/$F159</f>
        <v>40</v>
      </c>
      <c r="U159" s="86">
        <f t="shared" ref="U159" si="175">ROUND(+P159*S159,0)</f>
        <v>28</v>
      </c>
      <c r="V159" s="86">
        <f t="shared" si="173"/>
        <v>28</v>
      </c>
      <c r="W159" s="82">
        <f t="shared" si="174"/>
        <v>56</v>
      </c>
      <c r="X159" s="76"/>
      <c r="Y159" s="76">
        <v>44524</v>
      </c>
      <c r="Z159" s="19" t="s">
        <v>252</v>
      </c>
    </row>
    <row r="162" spans="4:23" x14ac:dyDescent="0.25">
      <c r="V162" s="19" t="s">
        <v>253</v>
      </c>
      <c r="W162" s="128">
        <f>SUM(W4:W7,W10:W27,W30:W31,W33:W46,W48:W51,W53,W55:W56,W58:W64,W67:W72,W74:W75,W77:W78,W80:W81,W83:W84,W86,W88:W91,W93:W96,W98:W103,W105:W107,W111:W114,W117:W120,W122:W127,W130:W132,W134:W135,W137:W144,W146,W148:W151,W154:W156,W158:W159)</f>
        <v>5248</v>
      </c>
    </row>
    <row r="163" spans="4:23" x14ac:dyDescent="0.25">
      <c r="D163" s="19" t="s">
        <v>127</v>
      </c>
      <c r="E163" s="103">
        <f>SUM(H4:H159)</f>
        <v>88.29999999999994</v>
      </c>
      <c r="K163" s="19" t="s">
        <v>254</v>
      </c>
      <c r="L163" s="129">
        <f>SUM(L4:L7,L10:L27,L33:L46,L55,L58:L64,L75,L77,L83:L84,L93:L96,L111:L114,L122:L127,L148:L150)</f>
        <v>1779</v>
      </c>
      <c r="V163" s="19" t="s">
        <v>255</v>
      </c>
      <c r="W163" s="121">
        <f>W162+W109</f>
        <v>5594</v>
      </c>
    </row>
    <row r="164" spans="4:23" x14ac:dyDescent="0.25">
      <c r="D164" s="19" t="s">
        <v>256</v>
      </c>
      <c r="E164" s="103">
        <f>SUM(F4:F7,F10:F27,F30,F33:F46,F48:F50,F55,F58:F64,F67:F72,F74:F75,F77,F83:F84,F86,F88:F91,F93:F96,F98:F103,F105:F107,F109,F111:F114,F118:F119,F122:F127,F130:F132,F137:F142,F148:F150,F154,F158)</f>
        <v>98.850000000000023</v>
      </c>
      <c r="K164" s="19" t="s">
        <v>257</v>
      </c>
      <c r="L164" s="130">
        <f>SUM(M30,M48:M50,M67:M72,M74,M86,M88:M91,M98:M103,M105:M107,M118:M119,M130:M132,M137:M142,M154,M158)</f>
        <v>177.18796992481202</v>
      </c>
    </row>
    <row r="165" spans="4:23" x14ac:dyDescent="0.25">
      <c r="K165" s="19" t="s">
        <v>258</v>
      </c>
      <c r="L165" s="131">
        <f>SUM(O4:O7,O10:O27,O30,O33:O46,O48:O50,O53,O55,O58:O64,O67:O72,O74:O75,O77,O80:O81,O83:O84,O86,O88:O91,O93:O96,O98:O103,O105:O107,O111:O114,O117:O119,O122:O127,O130:O132,O135,O137:O142,O146,O148:O150,O154,O158:O159)</f>
        <v>2581.1320346320349</v>
      </c>
    </row>
    <row r="166" spans="4:23" x14ac:dyDescent="0.25">
      <c r="K166" s="19" t="s">
        <v>259</v>
      </c>
      <c r="L166" s="131">
        <f>L165+O109</f>
        <v>2754.1320346320349</v>
      </c>
    </row>
    <row r="169" spans="4:23" x14ac:dyDescent="0.25">
      <c r="K169" s="19" t="s">
        <v>260</v>
      </c>
    </row>
    <row r="170" spans="4:23" x14ac:dyDescent="0.25">
      <c r="K170" s="109" t="s">
        <v>261</v>
      </c>
      <c r="L170" s="132"/>
      <c r="M170" s="109"/>
      <c r="N170" s="109"/>
      <c r="O170" s="109"/>
      <c r="P170" s="109"/>
    </row>
    <row r="171" spans="4:23" x14ac:dyDescent="0.25">
      <c r="K171" s="19" t="s">
        <v>262</v>
      </c>
    </row>
    <row r="172" spans="4:23" x14ac:dyDescent="0.25">
      <c r="K172" s="133" t="s">
        <v>263</v>
      </c>
      <c r="L172" s="134" t="s">
        <v>264</v>
      </c>
      <c r="M172" s="135" t="s">
        <v>265</v>
      </c>
      <c r="N172" s="135" t="s">
        <v>266</v>
      </c>
      <c r="O172" s="135" t="s">
        <v>267</v>
      </c>
      <c r="P172" s="136" t="s">
        <v>268</v>
      </c>
    </row>
    <row r="173" spans="4:23" x14ac:dyDescent="0.25">
      <c r="K173" s="137" t="s">
        <v>269</v>
      </c>
      <c r="L173" s="138">
        <f>SUM(W109)</f>
        <v>346</v>
      </c>
      <c r="M173" s="139">
        <v>0.97</v>
      </c>
      <c r="N173" s="139">
        <v>0.03</v>
      </c>
      <c r="O173" s="140">
        <f>ROUND((L173*M173),0)</f>
        <v>336</v>
      </c>
      <c r="P173" s="141">
        <f>ROUND((L173*N173),0)</f>
        <v>10</v>
      </c>
    </row>
    <row r="174" spans="4:23" x14ac:dyDescent="0.25">
      <c r="K174" s="137" t="s">
        <v>270</v>
      </c>
      <c r="L174" s="138">
        <f>SUM(W10:W18,W80:W81,W154:W156)</f>
        <v>320</v>
      </c>
      <c r="M174" s="142"/>
      <c r="N174" s="142"/>
      <c r="O174" s="140">
        <f>ROUND((L174*M174),0)</f>
        <v>0</v>
      </c>
      <c r="P174" s="141">
        <f>ROUND((L174*N174),0)</f>
        <v>0</v>
      </c>
    </row>
    <row r="175" spans="4:23" x14ac:dyDescent="0.25">
      <c r="K175" s="137" t="s">
        <v>271</v>
      </c>
      <c r="L175" s="138">
        <f>SUM(W19:W27,W30:W31,W83:W84,W86,W88:W91,W93:W96,W98:W103,W105:W107,W111:W114,W117:W120,W158:W159)</f>
        <v>1638</v>
      </c>
      <c r="M175" s="142"/>
      <c r="N175" s="142"/>
      <c r="O175" s="140"/>
      <c r="P175" s="141"/>
    </row>
    <row r="176" spans="4:23" x14ac:dyDescent="0.25">
      <c r="K176" s="137" t="s">
        <v>272</v>
      </c>
      <c r="L176" s="138">
        <f>SUM(W33:W46,W48:W51,W53,W55:W56,W122:W127,W130:W132,W134:W135,W137:W144,W146,W148:W151)</f>
        <v>1996</v>
      </c>
      <c r="M176" s="139">
        <v>0.02</v>
      </c>
      <c r="N176" s="139">
        <v>0.98</v>
      </c>
      <c r="O176" s="140">
        <f t="shared" ref="O176:O178" si="176">ROUND((L176*M176),0)</f>
        <v>40</v>
      </c>
      <c r="P176" s="141">
        <f t="shared" ref="P176:P178" si="177">ROUND((L176*N176),0)</f>
        <v>1956</v>
      </c>
    </row>
    <row r="177" spans="10:27" x14ac:dyDescent="0.25">
      <c r="K177" s="137" t="s">
        <v>273</v>
      </c>
      <c r="L177" s="138">
        <f>SUM(W58:W64,W67:W72)</f>
        <v>1168</v>
      </c>
      <c r="M177" s="139">
        <v>0.09</v>
      </c>
      <c r="N177" s="139">
        <v>0.91</v>
      </c>
      <c r="O177" s="140">
        <f t="shared" si="176"/>
        <v>105</v>
      </c>
      <c r="P177" s="141">
        <f t="shared" si="177"/>
        <v>1063</v>
      </c>
    </row>
    <row r="178" spans="10:27" x14ac:dyDescent="0.25">
      <c r="K178" s="137" t="s">
        <v>274</v>
      </c>
      <c r="L178" s="138">
        <f>SUM(W74:W75,W77:W78)</f>
        <v>126</v>
      </c>
      <c r="M178" s="139">
        <v>0.67</v>
      </c>
      <c r="N178" s="139">
        <v>0.33</v>
      </c>
      <c r="O178" s="140">
        <f t="shared" si="176"/>
        <v>84</v>
      </c>
      <c r="P178" s="141">
        <f t="shared" si="177"/>
        <v>42</v>
      </c>
    </row>
    <row r="179" spans="10:27" x14ac:dyDescent="0.25">
      <c r="K179" s="137"/>
      <c r="L179" s="143"/>
      <c r="M179" s="140"/>
      <c r="N179" s="140"/>
      <c r="O179" s="140"/>
      <c r="P179" s="141"/>
    </row>
    <row r="180" spans="10:27" x14ac:dyDescent="0.25">
      <c r="K180" s="144" t="s">
        <v>275</v>
      </c>
      <c r="L180" s="145"/>
      <c r="M180" s="146"/>
      <c r="N180" s="146"/>
      <c r="O180" s="146">
        <f>SUM(O174:O178)</f>
        <v>229</v>
      </c>
      <c r="P180" s="147">
        <f>SUM(P174:P178)</f>
        <v>3061</v>
      </c>
    </row>
    <row r="181" spans="10:27" x14ac:dyDescent="0.25">
      <c r="K181" s="148" t="s">
        <v>276</v>
      </c>
      <c r="L181" s="149"/>
      <c r="M181" s="150"/>
      <c r="N181" s="150"/>
      <c r="O181" s="150">
        <f>SUM(O173:O178)</f>
        <v>565</v>
      </c>
      <c r="P181" s="151">
        <f>SUM(P173:P178)</f>
        <v>3071</v>
      </c>
    </row>
    <row r="182" spans="10:27" x14ac:dyDescent="0.25">
      <c r="L182" s="131">
        <f>SUM(L174:L178)</f>
        <v>5248</v>
      </c>
      <c r="M182" s="19">
        <f>SUM(O174:P178)</f>
        <v>3290</v>
      </c>
    </row>
    <row r="183" spans="10:27" x14ac:dyDescent="0.25">
      <c r="L183" s="131"/>
    </row>
    <row r="184" spans="10:27" x14ac:dyDescent="0.25">
      <c r="J184" s="19" t="s">
        <v>277</v>
      </c>
      <c r="K184" s="19" t="s">
        <v>278</v>
      </c>
      <c r="T184" s="19" t="s">
        <v>279</v>
      </c>
    </row>
    <row r="185" spans="10:27" ht="15.75" thickBot="1" x14ac:dyDescent="0.3">
      <c r="K185" s="152"/>
      <c r="L185" s="153" t="s">
        <v>138</v>
      </c>
      <c r="M185" s="153" t="s">
        <v>280</v>
      </c>
      <c r="N185" s="153" t="s">
        <v>281</v>
      </c>
      <c r="O185" s="153" t="s">
        <v>282</v>
      </c>
      <c r="P185" s="153" t="s">
        <v>283</v>
      </c>
      <c r="Q185" s="153" t="s">
        <v>284</v>
      </c>
      <c r="R185" s="154" t="s">
        <v>285</v>
      </c>
      <c r="T185" s="155"/>
      <c r="U185" s="153" t="s">
        <v>138</v>
      </c>
      <c r="V185" s="153" t="s">
        <v>280</v>
      </c>
      <c r="W185" s="153" t="s">
        <v>281</v>
      </c>
      <c r="X185" s="153" t="s">
        <v>282</v>
      </c>
      <c r="Y185" s="153" t="s">
        <v>283</v>
      </c>
      <c r="Z185" s="153" t="s">
        <v>286</v>
      </c>
      <c r="AA185" s="154" t="s">
        <v>287</v>
      </c>
    </row>
    <row r="186" spans="10:27" ht="15.75" thickTop="1" x14ac:dyDescent="0.25">
      <c r="K186" s="156" t="s">
        <v>288</v>
      </c>
      <c r="L186" s="157">
        <f>SUM(L188,L194,L196,L198,L199,L201)</f>
        <v>155</v>
      </c>
      <c r="M186" s="158">
        <f>L186-P186</f>
        <v>146</v>
      </c>
      <c r="N186" s="158">
        <v>102</v>
      </c>
      <c r="O186" s="158">
        <v>44</v>
      </c>
      <c r="P186" s="158">
        <v>9</v>
      </c>
      <c r="Q186" s="157">
        <f>(ROUND((N186/M186),2)*100)</f>
        <v>70</v>
      </c>
      <c r="R186" s="159">
        <f>(ROUND((O186/M186),2)*100)</f>
        <v>30</v>
      </c>
      <c r="T186" s="156" t="s">
        <v>289</v>
      </c>
      <c r="U186" s="157">
        <f>SUM(U188,U194,U196)</f>
        <v>67</v>
      </c>
      <c r="V186" s="158">
        <f>U186-Y186</f>
        <v>63</v>
      </c>
      <c r="W186" s="158">
        <v>62</v>
      </c>
      <c r="X186" s="158">
        <v>1</v>
      </c>
      <c r="Y186" s="158">
        <v>4</v>
      </c>
      <c r="Z186" s="157">
        <f>(ROUND((W186/V186),2)*100)</f>
        <v>98</v>
      </c>
      <c r="AA186" s="159">
        <f>(ROUND((X186/V186),2)*100)</f>
        <v>2</v>
      </c>
    </row>
    <row r="187" spans="10:27" x14ac:dyDescent="0.25">
      <c r="K187" s="160"/>
      <c r="L187" s="161"/>
      <c r="M187" s="21"/>
      <c r="N187" s="21"/>
      <c r="O187" s="21"/>
      <c r="P187" s="21"/>
      <c r="Q187" s="161"/>
      <c r="R187" s="162"/>
      <c r="T187" s="163"/>
      <c r="U187" s="161"/>
      <c r="V187" s="21"/>
      <c r="W187" s="21"/>
      <c r="X187" s="21"/>
      <c r="Y187" s="21"/>
      <c r="Z187" s="21"/>
      <c r="AA187" s="164"/>
    </row>
    <row r="188" spans="10:27" x14ac:dyDescent="0.25">
      <c r="K188" s="160" t="s">
        <v>290</v>
      </c>
      <c r="L188" s="161">
        <v>28</v>
      </c>
      <c r="M188" s="21">
        <f>L188-P188</f>
        <v>24</v>
      </c>
      <c r="N188" s="21">
        <v>16</v>
      </c>
      <c r="O188" s="21">
        <v>8</v>
      </c>
      <c r="P188" s="21">
        <v>4</v>
      </c>
      <c r="Q188" s="161">
        <f>(ROUND((N188/M188),2)*100)</f>
        <v>67</v>
      </c>
      <c r="R188" s="162">
        <f>(ROUND((O188/M188),2)*100)</f>
        <v>33</v>
      </c>
      <c r="T188" s="160" t="s">
        <v>291</v>
      </c>
      <c r="U188" s="161">
        <f>SUM(U190:U192)</f>
        <v>23</v>
      </c>
      <c r="V188" s="21">
        <f>U188-Y188</f>
        <v>20</v>
      </c>
      <c r="W188" s="21">
        <f t="shared" ref="W188:Y188" si="178">SUM(W190:W192)</f>
        <v>19</v>
      </c>
      <c r="X188" s="21">
        <f t="shared" si="178"/>
        <v>1</v>
      </c>
      <c r="Y188" s="21">
        <f t="shared" si="178"/>
        <v>3</v>
      </c>
      <c r="Z188" s="161">
        <f>(ROUND((W188/V188),2)*100)</f>
        <v>95</v>
      </c>
      <c r="AA188" s="162">
        <f>(ROUND((X188/V188),2)*100)</f>
        <v>5</v>
      </c>
    </row>
    <row r="189" spans="10:27" x14ac:dyDescent="0.25">
      <c r="K189" s="160"/>
      <c r="L189" s="161"/>
      <c r="M189" s="21"/>
      <c r="N189" s="21"/>
      <c r="O189" s="21"/>
      <c r="P189" s="21"/>
      <c r="Q189" s="161"/>
      <c r="R189" s="162"/>
      <c r="T189" s="163"/>
      <c r="U189" s="161"/>
      <c r="V189" s="21"/>
      <c r="W189" s="21"/>
      <c r="X189" s="21"/>
      <c r="Y189" s="21"/>
      <c r="Z189" s="21"/>
      <c r="AA189" s="164"/>
    </row>
    <row r="190" spans="10:27" x14ac:dyDescent="0.25">
      <c r="K190" s="133" t="s">
        <v>292</v>
      </c>
      <c r="L190" s="165">
        <v>8</v>
      </c>
      <c r="M190" s="165">
        <f t="shared" ref="M190:M192" si="179">L190-P190</f>
        <v>7</v>
      </c>
      <c r="N190" s="165">
        <v>6</v>
      </c>
      <c r="O190" s="165">
        <v>1</v>
      </c>
      <c r="P190" s="165">
        <v>1</v>
      </c>
      <c r="Q190" s="166">
        <f t="shared" ref="Q190:Q192" si="180">(ROUND((N190/M190),2)*100)</f>
        <v>86</v>
      </c>
      <c r="R190" s="167">
        <f t="shared" ref="R190:R192" si="181">(ROUND((O190/M190),2)*100)</f>
        <v>14.000000000000002</v>
      </c>
      <c r="T190" s="133" t="s">
        <v>293</v>
      </c>
      <c r="U190" s="166">
        <v>11</v>
      </c>
      <c r="V190" s="165">
        <f t="shared" ref="V190:V192" si="182">U190-Y190</f>
        <v>10</v>
      </c>
      <c r="W190" s="165">
        <v>10</v>
      </c>
      <c r="X190" s="165">
        <v>0</v>
      </c>
      <c r="Y190" s="165">
        <v>1</v>
      </c>
      <c r="Z190" s="166">
        <f>(ROUND((W190/V190),2)*100)</f>
        <v>100</v>
      </c>
      <c r="AA190" s="167">
        <f>(ROUND((X190/V190),2)*100)</f>
        <v>0</v>
      </c>
    </row>
    <row r="191" spans="10:27" x14ac:dyDescent="0.25">
      <c r="K191" s="168" t="s">
        <v>294</v>
      </c>
      <c r="L191" s="169">
        <v>11</v>
      </c>
      <c r="M191" s="169">
        <f t="shared" si="179"/>
        <v>9</v>
      </c>
      <c r="N191" s="169">
        <v>7</v>
      </c>
      <c r="O191" s="169">
        <v>2</v>
      </c>
      <c r="P191" s="169">
        <v>2</v>
      </c>
      <c r="Q191" s="170">
        <f t="shared" si="180"/>
        <v>78</v>
      </c>
      <c r="R191" s="171">
        <f t="shared" si="181"/>
        <v>22</v>
      </c>
      <c r="T191" s="168" t="s">
        <v>295</v>
      </c>
      <c r="U191" s="170">
        <v>10</v>
      </c>
      <c r="V191" s="169">
        <f t="shared" si="182"/>
        <v>8</v>
      </c>
      <c r="W191" s="169">
        <v>8</v>
      </c>
      <c r="X191" s="169">
        <v>0</v>
      </c>
      <c r="Y191" s="169">
        <v>2</v>
      </c>
      <c r="Z191" s="170">
        <f>(ROUND((W191/V191),2)*100)</f>
        <v>100</v>
      </c>
      <c r="AA191" s="171">
        <f>(ROUND((X191/V191),2)*100)</f>
        <v>0</v>
      </c>
    </row>
    <row r="192" spans="10:27" x14ac:dyDescent="0.25">
      <c r="K192" s="172" t="s">
        <v>296</v>
      </c>
      <c r="L192" s="173">
        <v>9</v>
      </c>
      <c r="M192" s="173">
        <f t="shared" si="179"/>
        <v>8</v>
      </c>
      <c r="N192" s="173">
        <v>3</v>
      </c>
      <c r="O192" s="173">
        <v>5</v>
      </c>
      <c r="P192" s="173">
        <v>1</v>
      </c>
      <c r="Q192" s="174">
        <f t="shared" si="180"/>
        <v>38</v>
      </c>
      <c r="R192" s="175">
        <f t="shared" si="181"/>
        <v>63</v>
      </c>
      <c r="T192" s="172" t="s">
        <v>297</v>
      </c>
      <c r="U192" s="174">
        <v>2</v>
      </c>
      <c r="V192" s="173">
        <f t="shared" si="182"/>
        <v>2</v>
      </c>
      <c r="W192" s="173">
        <v>1</v>
      </c>
      <c r="X192" s="173">
        <v>1</v>
      </c>
      <c r="Y192" s="173">
        <v>0</v>
      </c>
      <c r="Z192" s="174">
        <f>(ROUND((W192/V192),2)*100)</f>
        <v>50</v>
      </c>
      <c r="AA192" s="175">
        <f>(ROUND((X192/V192),2)*100)</f>
        <v>50</v>
      </c>
    </row>
    <row r="193" spans="11:27" x14ac:dyDescent="0.25">
      <c r="K193" s="160"/>
      <c r="L193" s="161"/>
      <c r="M193" s="21"/>
      <c r="N193" s="21"/>
      <c r="O193" s="21"/>
      <c r="P193" s="21"/>
      <c r="Q193" s="161"/>
      <c r="R193" s="162"/>
      <c r="T193" s="163"/>
      <c r="U193" s="161"/>
      <c r="V193" s="21"/>
      <c r="W193" s="21"/>
      <c r="X193" s="21"/>
      <c r="Y193" s="21"/>
      <c r="Z193" s="21"/>
      <c r="AA193" s="164"/>
    </row>
    <row r="194" spans="11:27" x14ac:dyDescent="0.25">
      <c r="K194" s="160" t="s">
        <v>298</v>
      </c>
      <c r="L194" s="161">
        <v>3</v>
      </c>
      <c r="M194" s="21">
        <f>L194-P194</f>
        <v>3</v>
      </c>
      <c r="N194" s="21">
        <v>3</v>
      </c>
      <c r="O194" s="21">
        <v>0</v>
      </c>
      <c r="P194" s="21">
        <v>0</v>
      </c>
      <c r="Q194" s="161">
        <f>(ROUND((N194/M194),2)*100)</f>
        <v>100</v>
      </c>
      <c r="R194" s="162">
        <f>(ROUND((O194/M194),2)*100)</f>
        <v>0</v>
      </c>
      <c r="T194" s="160" t="s">
        <v>299</v>
      </c>
      <c r="U194" s="161">
        <v>32</v>
      </c>
      <c r="V194" s="21">
        <f>U194-Y194</f>
        <v>31</v>
      </c>
      <c r="W194" s="21">
        <v>31</v>
      </c>
      <c r="X194" s="21">
        <v>0</v>
      </c>
      <c r="Y194" s="21">
        <v>1</v>
      </c>
      <c r="Z194" s="161">
        <f>(ROUND((W194/V194),2)*100)</f>
        <v>100</v>
      </c>
      <c r="AA194" s="162">
        <f>(ROUND((X194/V194),2)*100)</f>
        <v>0</v>
      </c>
    </row>
    <row r="195" spans="11:27" x14ac:dyDescent="0.25">
      <c r="K195" s="160"/>
      <c r="L195" s="161"/>
      <c r="M195" s="21"/>
      <c r="N195" s="21"/>
      <c r="O195" s="21"/>
      <c r="P195" s="21"/>
      <c r="Q195" s="161"/>
      <c r="R195" s="162"/>
      <c r="T195" s="163"/>
      <c r="U195" s="161"/>
      <c r="V195" s="21"/>
      <c r="W195" s="21"/>
      <c r="X195" s="21"/>
      <c r="Y195" s="21"/>
      <c r="Z195" s="21"/>
      <c r="AA195" s="164"/>
    </row>
    <row r="196" spans="11:27" x14ac:dyDescent="0.25">
      <c r="K196" s="160" t="s">
        <v>300</v>
      </c>
      <c r="L196" s="161">
        <v>13</v>
      </c>
      <c r="M196" s="21">
        <f>L196-P196</f>
        <v>12</v>
      </c>
      <c r="N196" s="21">
        <v>12</v>
      </c>
      <c r="O196" s="21">
        <v>0</v>
      </c>
      <c r="P196" s="21">
        <v>1</v>
      </c>
      <c r="Q196" s="161">
        <f>(ROUND((N196/M196),2)*100)</f>
        <v>100</v>
      </c>
      <c r="R196" s="162">
        <f>(ROUND((O196/M196),2)*100)</f>
        <v>0</v>
      </c>
      <c r="T196" s="176" t="s">
        <v>301</v>
      </c>
      <c r="U196" s="177">
        <v>12</v>
      </c>
      <c r="V196" s="178">
        <f>U196-Y196</f>
        <v>12</v>
      </c>
      <c r="W196" s="178">
        <v>12</v>
      </c>
      <c r="X196" s="178">
        <v>0</v>
      </c>
      <c r="Y196" s="178">
        <v>0</v>
      </c>
      <c r="Z196" s="177">
        <f>(ROUND((W196/V196),2)*100)</f>
        <v>100</v>
      </c>
      <c r="AA196" s="179">
        <f>(ROUND((X196/V196),2)*100)</f>
        <v>0</v>
      </c>
    </row>
    <row r="197" spans="11:27" x14ac:dyDescent="0.25">
      <c r="K197" s="160"/>
      <c r="L197" s="161"/>
      <c r="M197" s="21"/>
      <c r="N197" s="21"/>
      <c r="O197" s="21"/>
      <c r="P197" s="21"/>
      <c r="Q197" s="161"/>
      <c r="R197" s="162"/>
    </row>
    <row r="198" spans="11:27" x14ac:dyDescent="0.25">
      <c r="K198" s="160" t="s">
        <v>302</v>
      </c>
      <c r="L198" s="161">
        <v>46</v>
      </c>
      <c r="M198" s="21">
        <f t="shared" ref="M198:M199" si="183">L198-P198</f>
        <v>44</v>
      </c>
      <c r="N198" s="21">
        <v>44</v>
      </c>
      <c r="O198" s="21">
        <v>0</v>
      </c>
      <c r="P198" s="21">
        <v>2</v>
      </c>
      <c r="Q198" s="161">
        <f>(ROUND((N198/M198),2)*100)</f>
        <v>100</v>
      </c>
      <c r="R198" s="162">
        <f>(ROUND((O198/M198),2)*100)</f>
        <v>0</v>
      </c>
      <c r="T198" s="19" t="s">
        <v>273</v>
      </c>
    </row>
    <row r="199" spans="11:27" ht="15.75" thickBot="1" x14ac:dyDescent="0.3">
      <c r="K199" s="160" t="s">
        <v>303</v>
      </c>
      <c r="L199" s="161">
        <v>15</v>
      </c>
      <c r="M199" s="21">
        <f t="shared" si="183"/>
        <v>15</v>
      </c>
      <c r="N199" s="21">
        <v>15</v>
      </c>
      <c r="O199" s="21">
        <v>0</v>
      </c>
      <c r="P199" s="21">
        <v>0</v>
      </c>
      <c r="Q199" s="161">
        <f>(ROUND((N199/M199),2)*100)</f>
        <v>100</v>
      </c>
      <c r="R199" s="162">
        <f>(ROUND((O199/M199),2)*100)</f>
        <v>0</v>
      </c>
      <c r="T199" s="155"/>
      <c r="U199" s="153" t="s">
        <v>138</v>
      </c>
      <c r="V199" s="153" t="s">
        <v>280</v>
      </c>
      <c r="W199" s="153" t="s">
        <v>281</v>
      </c>
      <c r="X199" s="153" t="s">
        <v>282</v>
      </c>
      <c r="Y199" s="153" t="s">
        <v>283</v>
      </c>
      <c r="Z199" s="153" t="s">
        <v>286</v>
      </c>
      <c r="AA199" s="154" t="s">
        <v>287</v>
      </c>
    </row>
    <row r="200" spans="11:27" ht="16.5" thickTop="1" thickBot="1" x14ac:dyDescent="0.3">
      <c r="K200" s="160"/>
      <c r="L200" s="161"/>
      <c r="M200" s="21"/>
      <c r="N200" s="21"/>
      <c r="O200" s="21"/>
      <c r="P200" s="21"/>
      <c r="Q200" s="161"/>
      <c r="R200" s="162"/>
      <c r="T200" s="180"/>
      <c r="U200" s="181">
        <f>SUM(U201:U202)</f>
        <v>61</v>
      </c>
      <c r="V200" s="181">
        <f>SUM(V201:V202)</f>
        <v>54</v>
      </c>
      <c r="W200" s="181">
        <f t="shared" ref="W200:Y200" si="184">SUM(W201:W202)</f>
        <v>49</v>
      </c>
      <c r="X200" s="181">
        <f t="shared" si="184"/>
        <v>5</v>
      </c>
      <c r="Y200" s="181">
        <f t="shared" si="184"/>
        <v>7</v>
      </c>
      <c r="Z200" s="182">
        <f>(ROUND((W200/V200),2)*100)</f>
        <v>91</v>
      </c>
      <c r="AA200" s="183">
        <f>(ROUND((X200/V200),2)*100)</f>
        <v>9</v>
      </c>
    </row>
    <row r="201" spans="11:27" ht="15.75" thickTop="1" x14ac:dyDescent="0.25">
      <c r="K201" s="176" t="s">
        <v>304</v>
      </c>
      <c r="L201" s="177">
        <v>50</v>
      </c>
      <c r="M201" s="178">
        <f>L201-P201</f>
        <v>48</v>
      </c>
      <c r="N201" s="178">
        <v>12</v>
      </c>
      <c r="O201" s="178">
        <v>36</v>
      </c>
      <c r="P201" s="178">
        <v>2</v>
      </c>
      <c r="Q201" s="177">
        <f>(ROUND((N201/M201),2)*100)</f>
        <v>25</v>
      </c>
      <c r="R201" s="179">
        <f>(ROUND((O201/M201),2)*100)</f>
        <v>75</v>
      </c>
      <c r="T201" s="156" t="s">
        <v>273</v>
      </c>
      <c r="U201" s="184">
        <v>56</v>
      </c>
      <c r="V201" s="158">
        <f>U201-Y201</f>
        <v>50</v>
      </c>
      <c r="W201" s="158">
        <v>45</v>
      </c>
      <c r="X201" s="158">
        <v>5</v>
      </c>
      <c r="Y201" s="158">
        <v>6</v>
      </c>
      <c r="Z201" s="157">
        <f>(ROUND((W201/V201),2)*100)</f>
        <v>90</v>
      </c>
      <c r="AA201" s="159">
        <f>(ROUND((X201/V201),2)*100)</f>
        <v>10</v>
      </c>
    </row>
    <row r="202" spans="11:27" x14ac:dyDescent="0.25">
      <c r="K202" s="100"/>
      <c r="L202" s="161"/>
      <c r="M202" s="21"/>
      <c r="N202" s="21"/>
      <c r="O202" s="21"/>
      <c r="P202" s="21"/>
      <c r="Q202" s="161"/>
      <c r="R202" s="161"/>
      <c r="T202" s="185" t="s">
        <v>178</v>
      </c>
      <c r="U202" s="186">
        <v>5</v>
      </c>
      <c r="V202" s="178">
        <f>U202-Y202</f>
        <v>4</v>
      </c>
      <c r="W202" s="178">
        <v>4</v>
      </c>
      <c r="X202" s="178">
        <v>0</v>
      </c>
      <c r="Y202" s="178">
        <v>1</v>
      </c>
      <c r="Z202" s="177">
        <f>(ROUND((W202/V202),2)*100)</f>
        <v>100</v>
      </c>
      <c r="AA202" s="179">
        <f>(ROUND((X202/V202),2)*100)</f>
        <v>0</v>
      </c>
    </row>
    <row r="204" spans="11:27" x14ac:dyDescent="0.25">
      <c r="T204" s="19" t="s">
        <v>305</v>
      </c>
    </row>
    <row r="205" spans="11:27" ht="15.75" thickBot="1" x14ac:dyDescent="0.3">
      <c r="T205" s="155"/>
      <c r="U205" s="187" t="s">
        <v>138</v>
      </c>
      <c r="V205" s="187" t="s">
        <v>280</v>
      </c>
      <c r="W205" s="187" t="s">
        <v>281</v>
      </c>
      <c r="X205" s="187" t="s">
        <v>282</v>
      </c>
      <c r="Y205" s="187" t="s">
        <v>283</v>
      </c>
      <c r="Z205" s="187" t="s">
        <v>286</v>
      </c>
      <c r="AA205" s="188" t="s">
        <v>287</v>
      </c>
    </row>
    <row r="206" spans="11:27" ht="16.5" thickTop="1" thickBot="1" x14ac:dyDescent="0.3">
      <c r="K206" s="152"/>
      <c r="L206" s="153" t="s">
        <v>138</v>
      </c>
      <c r="M206" s="153" t="s">
        <v>280</v>
      </c>
      <c r="N206" s="153" t="s">
        <v>281</v>
      </c>
      <c r="O206" s="153" t="s">
        <v>282</v>
      </c>
      <c r="P206" s="153" t="s">
        <v>283</v>
      </c>
      <c r="Q206" s="153" t="s">
        <v>284</v>
      </c>
      <c r="R206" s="154" t="s">
        <v>285</v>
      </c>
      <c r="T206" s="189"/>
      <c r="U206" s="157">
        <v>12</v>
      </c>
      <c r="V206" s="158">
        <f>U206-Y206</f>
        <v>12</v>
      </c>
      <c r="W206" s="158">
        <f>SUM(W207:W208)</f>
        <v>4</v>
      </c>
      <c r="X206" s="158">
        <f>SUM(X207:X208)</f>
        <v>8</v>
      </c>
      <c r="Y206" s="158">
        <v>0</v>
      </c>
      <c r="Z206" s="182">
        <f>(ROUND((W206/V206),2)*100)</f>
        <v>33</v>
      </c>
      <c r="AA206" s="183">
        <f>(ROUND((X206/V206),2)*100)</f>
        <v>67</v>
      </c>
    </row>
    <row r="207" spans="11:27" ht="15.75" thickTop="1" x14ac:dyDescent="0.25">
      <c r="K207" s="190" t="s">
        <v>306</v>
      </c>
      <c r="L207" s="191">
        <f>SUM(N207:O207)</f>
        <v>83</v>
      </c>
      <c r="M207" s="192">
        <f>L207-P207</f>
        <v>83</v>
      </c>
      <c r="N207" s="192">
        <v>3</v>
      </c>
      <c r="O207" s="192">
        <v>80</v>
      </c>
      <c r="P207" s="192">
        <v>0</v>
      </c>
      <c r="Q207" s="157">
        <f>(ROUND((N207/M207),2)*100)</f>
        <v>4</v>
      </c>
      <c r="R207" s="159">
        <f>(ROUND((O207/M207),2)*100)</f>
        <v>96</v>
      </c>
      <c r="T207" s="189" t="s">
        <v>307</v>
      </c>
      <c r="U207" s="157">
        <v>9</v>
      </c>
      <c r="V207" s="158">
        <f>U207-Y207</f>
        <v>9</v>
      </c>
      <c r="W207" s="158">
        <v>3</v>
      </c>
      <c r="X207" s="158">
        <v>6</v>
      </c>
      <c r="Y207" s="158">
        <v>0</v>
      </c>
      <c r="Z207" s="157">
        <f>(ROUND((W207/V207),2)*100)</f>
        <v>33</v>
      </c>
      <c r="AA207" s="159">
        <f>(ROUND((X207/V207),2)*100)</f>
        <v>67</v>
      </c>
    </row>
    <row r="208" spans="11:27" x14ac:dyDescent="0.25">
      <c r="K208" s="163"/>
      <c r="R208" s="193"/>
      <c r="T208" s="194" t="s">
        <v>308</v>
      </c>
      <c r="U208" s="177">
        <v>3</v>
      </c>
      <c r="V208" s="178">
        <f>U208-Y208</f>
        <v>3</v>
      </c>
      <c r="W208" s="178">
        <v>1</v>
      </c>
      <c r="X208" s="178">
        <v>2</v>
      </c>
      <c r="Y208" s="178">
        <v>0</v>
      </c>
      <c r="Z208" s="177">
        <f>(ROUND((W208/V208),2)*100)</f>
        <v>33</v>
      </c>
      <c r="AA208" s="179">
        <f>(ROUND((X208/V208),2)*100)</f>
        <v>67</v>
      </c>
    </row>
    <row r="209" spans="11:20" x14ac:dyDescent="0.25">
      <c r="K209" s="195" t="s">
        <v>309</v>
      </c>
      <c r="L209" s="196">
        <f>SUM(N209:O209)</f>
        <v>88</v>
      </c>
      <c r="M209" s="197">
        <f>L209-P209</f>
        <v>88</v>
      </c>
      <c r="N209" s="197">
        <v>3</v>
      </c>
      <c r="O209" s="197">
        <v>85</v>
      </c>
      <c r="P209" s="197">
        <v>0</v>
      </c>
      <c r="Q209" s="177">
        <f>(ROUND((N209/M209),2)*100)</f>
        <v>3</v>
      </c>
      <c r="R209" s="179">
        <f>(ROUND((O209/M209),2)*100)</f>
        <v>97</v>
      </c>
    </row>
    <row r="210" spans="11:20" x14ac:dyDescent="0.25">
      <c r="T210" s="19">
        <f>SUM(L186,U186,U200,U206)</f>
        <v>295</v>
      </c>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vw_redd_count_coho (2)</vt:lpstr>
      <vt:lpstr>Coho Abundance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Ronne, Lea M (DFW)</cp:lastModifiedBy>
  <dcterms:created xsi:type="dcterms:W3CDTF">2022-03-15T20:10:13Z</dcterms:created>
  <dcterms:modified xsi:type="dcterms:W3CDTF">2022-03-15T20:29:54Z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45011977-b912-4387-97a4-f4c94a801377_Enabled">
    <vt:lpwstr>true</vt:lpwstr>
  </property>
  <property fmtid="{D5CDD505-2E9C-101B-9397-08002B2CF9AE}" pid="3" name="MSIP_Label_45011977-b912-4387-97a4-f4c94a801377_SetDate">
    <vt:lpwstr>2022-03-15T20:08:57Z</vt:lpwstr>
  </property>
  <property fmtid="{D5CDD505-2E9C-101B-9397-08002B2CF9AE}" pid="4" name="MSIP_Label_45011977-b912-4387-97a4-f4c94a801377_Method">
    <vt:lpwstr>Standard</vt:lpwstr>
  </property>
  <property fmtid="{D5CDD505-2E9C-101B-9397-08002B2CF9AE}" pid="5" name="MSIP_Label_45011977-b912-4387-97a4-f4c94a801377_Name">
    <vt:lpwstr>Uncategorized Data</vt:lpwstr>
  </property>
  <property fmtid="{D5CDD505-2E9C-101B-9397-08002B2CF9AE}" pid="6" name="MSIP_Label_45011977-b912-4387-97a4-f4c94a801377_SiteId">
    <vt:lpwstr>11d0e217-264e-400a-8ba0-57dcc127d72d</vt:lpwstr>
  </property>
  <property fmtid="{D5CDD505-2E9C-101B-9397-08002B2CF9AE}" pid="7" name="MSIP_Label_45011977-b912-4387-97a4-f4c94a801377_ActionId">
    <vt:lpwstr>4c1ecec9-75b9-48e5-851d-6ff2d8dc26a4</vt:lpwstr>
  </property>
  <property fmtid="{D5CDD505-2E9C-101B-9397-08002B2CF9AE}" pid="8" name="MSIP_Label_45011977-b912-4387-97a4-f4c94a801377_ContentBits">
    <vt:lpwstr>0</vt:lpwstr>
  </property>
</Properties>
</file>