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hidePivotFieldList="1"/>
  <mc:AlternateContent xmlns:mc="http://schemas.openxmlformats.org/markup-compatibility/2006">
    <mc:Choice Requires="x15">
      <x15ac:absPath xmlns:x15ac="http://schemas.microsoft.com/office/spreadsheetml/2010/11/ac" url="/Users/kevinhh/Downloads/"/>
    </mc:Choice>
  </mc:AlternateContent>
  <xr:revisionPtr revIDLastSave="0" documentId="8_{C7FE8C42-615D-3640-BCE5-EA14855DD623}" xr6:coauthVersionLast="47" xr6:coauthVersionMax="47" xr10:uidLastSave="{00000000-0000-0000-0000-000000000000}"/>
  <bookViews>
    <workbookView xWindow="0" yWindow="500" windowWidth="28800" windowHeight="15800" activeTab="4" xr2:uid="{00000000-000D-0000-FFFF-FFFF00000000}"/>
  </bookViews>
  <sheets>
    <sheet name="Assumptions" sheetId="1" r:id="rId1"/>
    <sheet name="Income Statement" sheetId="2" r:id="rId2"/>
    <sheet name="Balance Sheet" sheetId="3" r:id="rId3"/>
    <sheet name="Cash Flow" sheetId="4" r:id="rId4"/>
    <sheet name="Ratios &amp; KPI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5" l="1"/>
  <c r="D9" i="5"/>
  <c r="B9" i="5"/>
  <c r="C8" i="5"/>
  <c r="D8" i="5"/>
  <c r="B8" i="5"/>
  <c r="C3" i="5"/>
  <c r="D3" i="5"/>
  <c r="B3" i="5"/>
  <c r="C7" i="5"/>
  <c r="D7" i="5"/>
  <c r="B7" i="5"/>
  <c r="C6" i="5"/>
  <c r="D6" i="5"/>
  <c r="B6" i="5"/>
  <c r="C5" i="5"/>
  <c r="D5" i="5"/>
  <c r="B5" i="5"/>
  <c r="D4" i="5"/>
  <c r="C4" i="5"/>
  <c r="B4" i="5"/>
  <c r="C2" i="5"/>
  <c r="D2" i="5"/>
  <c r="B2" i="5"/>
  <c r="D16" i="4"/>
  <c r="D14" i="4"/>
  <c r="D15" i="4" s="1"/>
  <c r="D17" i="4" s="1"/>
  <c r="D3" i="3" s="1"/>
  <c r="D7" i="3" s="1"/>
  <c r="D13" i="4"/>
  <c r="D6" i="4"/>
  <c r="D4" i="4"/>
  <c r="D3" i="4"/>
  <c r="D12" i="2"/>
  <c r="D11" i="2"/>
  <c r="D10" i="2"/>
  <c r="D9" i="2"/>
  <c r="D16" i="3"/>
  <c r="D15" i="3"/>
  <c r="C15" i="3"/>
  <c r="C16" i="3" s="1"/>
  <c r="D11" i="3"/>
  <c r="C11" i="3"/>
  <c r="D9" i="3"/>
  <c r="C9" i="3"/>
  <c r="D5" i="3"/>
  <c r="C5" i="3"/>
  <c r="D4" i="3"/>
  <c r="C4" i="3"/>
  <c r="C16" i="4"/>
  <c r="C14" i="4"/>
  <c r="C15" i="4" s="1"/>
  <c r="C17" i="4" s="1"/>
  <c r="C3" i="3" s="1"/>
  <c r="C7" i="3" s="1"/>
  <c r="C13" i="4"/>
  <c r="B13" i="4"/>
  <c r="C6" i="4"/>
  <c r="C4" i="4"/>
  <c r="C3" i="4"/>
  <c r="C12" i="2"/>
  <c r="C11" i="2"/>
  <c r="C10" i="2"/>
  <c r="C9" i="2"/>
  <c r="C8" i="2"/>
  <c r="D8" i="2"/>
  <c r="D7" i="2"/>
  <c r="C7" i="2"/>
  <c r="B7" i="2"/>
  <c r="B8" i="2" s="1"/>
  <c r="B15" i="3"/>
  <c r="B9" i="2"/>
  <c r="C9" i="4"/>
  <c r="D9" i="4"/>
  <c r="B9" i="4"/>
  <c r="D8" i="4"/>
  <c r="C8" i="4"/>
  <c r="B8" i="4"/>
  <c r="D5" i="4"/>
  <c r="C5" i="4"/>
  <c r="C6" i="2"/>
  <c r="D6" i="2"/>
  <c r="B6" i="2"/>
  <c r="D5" i="2"/>
  <c r="C5" i="2"/>
  <c r="C4" i="2"/>
  <c r="D4" i="2"/>
  <c r="C3" i="2"/>
  <c r="D3" i="2" s="1"/>
  <c r="D2" i="2"/>
  <c r="C2" i="2"/>
  <c r="B4" i="2"/>
  <c r="B11" i="3" l="1"/>
  <c r="B16" i="3" s="1"/>
  <c r="B10" i="2"/>
  <c r="B11" i="2" s="1"/>
  <c r="B12" i="2" s="1"/>
  <c r="B4" i="4"/>
  <c r="B14" i="4" l="1"/>
  <c r="B3" i="4"/>
  <c r="B6" i="4" s="1"/>
  <c r="B15" i="4" l="1"/>
  <c r="B17" i="4" s="1"/>
  <c r="B3" i="3" l="1"/>
  <c r="B7" i="3" s="1"/>
</calcChain>
</file>

<file path=xl/sharedStrings.xml><?xml version="1.0" encoding="utf-8"?>
<sst xmlns="http://schemas.openxmlformats.org/spreadsheetml/2006/main" count="70" uniqueCount="68">
  <si>
    <t>Assumption</t>
  </si>
  <si>
    <t>Revenue Growth %</t>
  </si>
  <si>
    <t>Gross Margin %</t>
  </si>
  <si>
    <t>SG&amp;A as % of Revenue</t>
  </si>
  <si>
    <t>Tax Rate</t>
  </si>
  <si>
    <t>Depreciation % of PPE</t>
  </si>
  <si>
    <t>CapEx as % of Revenue</t>
  </si>
  <si>
    <t>Change in WC % Revenue</t>
  </si>
  <si>
    <t>Interest Rate</t>
  </si>
  <si>
    <t>Dividends % of Net Income</t>
  </si>
  <si>
    <t>Revenue</t>
  </si>
  <si>
    <t>COGS</t>
  </si>
  <si>
    <t>Gross Profit</t>
  </si>
  <si>
    <t>SG&amp;A</t>
  </si>
  <si>
    <t>Depreciation &amp; Amortization</t>
  </si>
  <si>
    <t>EBIT</t>
  </si>
  <si>
    <t>Interest Expense</t>
  </si>
  <si>
    <t>Pre-Tax Income</t>
  </si>
  <si>
    <t>Taxes</t>
  </si>
  <si>
    <t>Net Income</t>
  </si>
  <si>
    <t>Assets</t>
  </si>
  <si>
    <t>Cash</t>
  </si>
  <si>
    <t>Accounts Receivable</t>
  </si>
  <si>
    <t>Inventory</t>
  </si>
  <si>
    <t>PPE</t>
  </si>
  <si>
    <t>Total Assets</t>
  </si>
  <si>
    <t>Liabilities</t>
  </si>
  <si>
    <t>Accounts Payable</t>
  </si>
  <si>
    <t>Debt</t>
  </si>
  <si>
    <t>Total Liabilities</t>
  </si>
  <si>
    <t>Equity</t>
  </si>
  <si>
    <t>Retained Earnings</t>
  </si>
  <si>
    <t>Total Equity</t>
  </si>
  <si>
    <t>Total Liabilities &amp; Equity</t>
  </si>
  <si>
    <t>Operating Activities</t>
  </si>
  <si>
    <t>Depreciation</t>
  </si>
  <si>
    <t>Change in Working Capital</t>
  </si>
  <si>
    <t>Cash from Operations</t>
  </si>
  <si>
    <t>Investing Activities</t>
  </si>
  <si>
    <t>Capital Expenditures</t>
  </si>
  <si>
    <t>Cash from Investing</t>
  </si>
  <si>
    <t>Financing Activities</t>
  </si>
  <si>
    <t>New Debt</t>
  </si>
  <si>
    <t>Debt Repayment</t>
  </si>
  <si>
    <t>Dividends Paid</t>
  </si>
  <si>
    <t>Cash from Financing</t>
  </si>
  <si>
    <t>Net Change in Cash</t>
  </si>
  <si>
    <t>Beginning Cash Balance</t>
  </si>
  <si>
    <t>Ending Cash Balance</t>
  </si>
  <si>
    <t>Metric</t>
  </si>
  <si>
    <t>EBITDA Margin</t>
  </si>
  <si>
    <t>ROE</t>
  </si>
  <si>
    <t>ROA</t>
  </si>
  <si>
    <t>Debt/Equity</t>
  </si>
  <si>
    <t>Current Ratio</t>
  </si>
  <si>
    <t>Normalized EBITDA</t>
  </si>
  <si>
    <t xml:space="preserve"># all numbers in thousands </t>
  </si>
  <si>
    <t># all numbers in thousands</t>
  </si>
  <si>
    <t># all number in thousands</t>
  </si>
  <si>
    <t xml:space="preserve">Additional paid in capital </t>
  </si>
  <si>
    <t xml:space="preserve">Account recievables % of revenue </t>
  </si>
  <si>
    <t>Inventory % of revenue</t>
  </si>
  <si>
    <t>Account payable % of revenue</t>
  </si>
  <si>
    <t>Year ending</t>
  </si>
  <si>
    <t xml:space="preserve">Year ending </t>
  </si>
  <si>
    <t>Net profit Margin</t>
  </si>
  <si>
    <t>Inventory Turnover</t>
  </si>
  <si>
    <t>Gross 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</si>
</sst>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entury Gothic"/>
      <family val="2"/>
      <scheme val="minor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3" fontId="0" fillId="0" borderId="0" xfId="0" applyNumberFormat="1"/>
    <xf numFmtId="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0</xdr:row>
      <xdr:rowOff>2244</xdr:rowOff>
    </xdr:from>
    <xdr:to>
      <xdr:col>8</xdr:col>
      <xdr:colOff>338667</xdr:colOff>
      <xdr:row>8</xdr:row>
      <xdr:rowOff>65744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BF4BF48-1CD1-30B2-ECC5-F25D939F9FF6}"/>
            </a:ext>
          </a:extLst>
        </xdr:cNvPr>
        <xdr:cNvSpPr/>
      </xdr:nvSpPr>
      <xdr:spPr>
        <a:xfrm>
          <a:off x="4116918" y="2244"/>
          <a:ext cx="2370666" cy="1513417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624416</xdr:colOff>
      <xdr:row>0</xdr:row>
      <xdr:rowOff>0</xdr:rowOff>
    </xdr:from>
    <xdr:ext cx="1217083" cy="37535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7A9DB2A-351F-82D7-C96D-9FCF1210B63F}"/>
            </a:ext>
          </a:extLst>
        </xdr:cNvPr>
        <xdr:cNvSpPr txBox="1"/>
      </xdr:nvSpPr>
      <xdr:spPr>
        <a:xfrm>
          <a:off x="4741333" y="0"/>
          <a:ext cx="1217083" cy="375359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accent1">
              <a:lumMod val="40000"/>
              <a:lumOff val="60000"/>
            </a:schemeClr>
          </a:solidFill>
        </a:ln>
        <a:effectLst>
          <a:outerShdw blurRad="50800" dist="50800" dir="5400000" algn="ctr" rotWithShape="0">
            <a:schemeClr val="accent1">
              <a:lumMod val="40000"/>
              <a:lumOff val="6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>
              <a:solidFill>
                <a:schemeClr val="bg1"/>
              </a:solidFill>
              <a:latin typeface="+mj-lt"/>
            </a:rPr>
            <a:t>Revenue</a:t>
          </a:r>
          <a:r>
            <a:rPr lang="en-US" sz="1400"/>
            <a:t> </a:t>
          </a:r>
        </a:p>
      </xdr:txBody>
    </xdr:sp>
    <xdr:clientData/>
  </xdr:oneCellAnchor>
  <xdr:oneCellAnchor>
    <xdr:from>
      <xdr:col>4</xdr:col>
      <xdr:colOff>603248</xdr:colOff>
      <xdr:row>1</xdr:row>
      <xdr:rowOff>169333</xdr:rowOff>
    </xdr:from>
    <xdr:ext cx="2529418" cy="370417"/>
    <xdr:sp macro="" textlink="'Income Statement'!B2">
      <xdr:nvSpPr>
        <xdr:cNvPr id="4" name="TextBox 3">
          <a:extLst>
            <a:ext uri="{FF2B5EF4-FFF2-40B4-BE49-F238E27FC236}">
              <a16:creationId xmlns:a16="http://schemas.microsoft.com/office/drawing/2014/main" id="{F7095784-6315-07B2-C191-F4AF8B24CAE8}"/>
            </a:ext>
          </a:extLst>
        </xdr:cNvPr>
        <xdr:cNvSpPr txBox="1"/>
      </xdr:nvSpPr>
      <xdr:spPr>
        <a:xfrm>
          <a:off x="4042831" y="359833"/>
          <a:ext cx="2529418" cy="37041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schemeClr val="tx1"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>
          <a:noAutofit/>
        </a:bodyPr>
        <a:lstStyle/>
        <a:p>
          <a:fld id="{924136A8-27D6-FA41-B404-5A491096878D}" type="TxLink">
            <a:rPr lang="en-US" sz="1600" b="0" i="0" u="none" strike="noStrike">
              <a:solidFill>
                <a:srgbClr val="000000"/>
              </a:solidFill>
              <a:latin typeface="Century Gothic"/>
            </a:rPr>
            <a:pPr/>
            <a:t>670,038,000</a:t>
          </a:fld>
          <a:endParaRPr lang="en-US" sz="1600"/>
        </a:p>
      </xdr:txBody>
    </xdr:sp>
    <xdr:clientData/>
  </xdr:oneCellAnchor>
  <xdr:twoCellAnchor editAs="oneCell">
    <xdr:from>
      <xdr:col>5</xdr:col>
      <xdr:colOff>4548</xdr:colOff>
      <xdr:row>2</xdr:row>
      <xdr:rowOff>161636</xdr:rowOff>
    </xdr:from>
    <xdr:to>
      <xdr:col>8</xdr:col>
      <xdr:colOff>378114</xdr:colOff>
      <xdr:row>9</xdr:row>
      <xdr:rowOff>44258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4474C56-2843-20EB-B0D0-B58A6D025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1639" y="531091"/>
          <a:ext cx="2382475" cy="1094894"/>
        </a:xfrm>
        <a:prstGeom prst="rect">
          <a:avLst/>
        </a:prstGeom>
      </xdr:spPr>
    </xdr:pic>
    <xdr:clientData/>
  </xdr:twoCellAnchor>
  <xdr:twoCellAnchor>
    <xdr:from>
      <xdr:col>10</xdr:col>
      <xdr:colOff>142877</xdr:colOff>
      <xdr:row>0</xdr:row>
      <xdr:rowOff>0</xdr:rowOff>
    </xdr:from>
    <xdr:to>
      <xdr:col>13</xdr:col>
      <xdr:colOff>481543</xdr:colOff>
      <xdr:row>8</xdr:row>
      <xdr:rowOff>67987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9AB936B-575B-4A43-B746-AE9C5980711C}"/>
            </a:ext>
          </a:extLst>
        </xdr:cNvPr>
        <xdr:cNvSpPr>
          <a:spLocks/>
        </xdr:cNvSpPr>
      </xdr:nvSpPr>
      <xdr:spPr>
        <a:xfrm>
          <a:off x="7646460" y="0"/>
          <a:ext cx="2370666" cy="1517904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</xdr:colOff>
      <xdr:row>10</xdr:row>
      <xdr:rowOff>169333</xdr:rowOff>
    </xdr:from>
    <xdr:to>
      <xdr:col>8</xdr:col>
      <xdr:colOff>338667</xdr:colOff>
      <xdr:row>19</xdr:row>
      <xdr:rowOff>63500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8AC1B60-4B4B-6540-B64B-51B760B4E55A}"/>
            </a:ext>
          </a:extLst>
        </xdr:cNvPr>
        <xdr:cNvSpPr/>
      </xdr:nvSpPr>
      <xdr:spPr>
        <a:xfrm>
          <a:off x="4116918" y="1979083"/>
          <a:ext cx="2370666" cy="1513417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142877</xdr:colOff>
      <xdr:row>10</xdr:row>
      <xdr:rowOff>169333</xdr:rowOff>
    </xdr:from>
    <xdr:to>
      <xdr:col>13</xdr:col>
      <xdr:colOff>481543</xdr:colOff>
      <xdr:row>19</xdr:row>
      <xdr:rowOff>67987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F090768C-8305-B246-9ECC-C8E3FD027D51}"/>
            </a:ext>
          </a:extLst>
        </xdr:cNvPr>
        <xdr:cNvSpPr>
          <a:spLocks/>
        </xdr:cNvSpPr>
      </xdr:nvSpPr>
      <xdr:spPr>
        <a:xfrm>
          <a:off x="7646460" y="1979083"/>
          <a:ext cx="2370666" cy="1517904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232834</xdr:colOff>
      <xdr:row>0</xdr:row>
      <xdr:rowOff>0</xdr:rowOff>
    </xdr:from>
    <xdr:to>
      <xdr:col>13</xdr:col>
      <xdr:colOff>412751</xdr:colOff>
      <xdr:row>3</xdr:row>
      <xdr:rowOff>10584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B7EBBF5-9CA7-1A65-583C-5C68377BCCEF}"/>
            </a:ext>
          </a:extLst>
        </xdr:cNvPr>
        <xdr:cNvSpPr txBox="1"/>
      </xdr:nvSpPr>
      <xdr:spPr>
        <a:xfrm>
          <a:off x="7736417" y="0"/>
          <a:ext cx="2211917" cy="560917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accent1">
              <a:lumMod val="40000"/>
              <a:lumOff val="6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>
              <a:solidFill>
                <a:schemeClr val="bg1"/>
              </a:solidFill>
              <a:latin typeface="+mj-lt"/>
            </a:rPr>
            <a:t>Net</a:t>
          </a:r>
          <a:r>
            <a:rPr lang="en-US" sz="1800" baseline="0">
              <a:solidFill>
                <a:schemeClr val="bg1"/>
              </a:solidFill>
              <a:latin typeface="+mj-lt"/>
            </a:rPr>
            <a:t> profit Margin </a:t>
          </a:r>
          <a:endParaRPr lang="en-US" sz="1800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10</xdr:col>
      <xdr:colOff>190500</xdr:colOff>
      <xdr:row>11</xdr:row>
      <xdr:rowOff>10583</xdr:rowOff>
    </xdr:from>
    <xdr:to>
      <xdr:col>13</xdr:col>
      <xdr:colOff>444499</xdr:colOff>
      <xdr:row>13</xdr:row>
      <xdr:rowOff>105834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B3550A55-631C-C4DD-6278-49A1368387B5}"/>
            </a:ext>
          </a:extLst>
        </xdr:cNvPr>
        <xdr:cNvSpPr txBox="1"/>
      </xdr:nvSpPr>
      <xdr:spPr>
        <a:xfrm>
          <a:off x="7694083" y="2000250"/>
          <a:ext cx="2285999" cy="455084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accent1">
              <a:lumMod val="40000"/>
              <a:lumOff val="6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>
              <a:solidFill>
                <a:schemeClr val="bg1"/>
              </a:solidFill>
              <a:latin typeface="+mj-lt"/>
            </a:rPr>
            <a:t>Gross</a:t>
          </a:r>
          <a:r>
            <a:rPr lang="en-US" sz="1800" baseline="0">
              <a:solidFill>
                <a:schemeClr val="bg1"/>
              </a:solidFill>
              <a:latin typeface="+mj-lt"/>
            </a:rPr>
            <a:t> Profit Margin </a:t>
          </a:r>
          <a:endParaRPr lang="en-US" sz="1800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5</xdr:col>
      <xdr:colOff>10583</xdr:colOff>
      <xdr:row>11</xdr:row>
      <xdr:rowOff>0</xdr:rowOff>
    </xdr:from>
    <xdr:to>
      <xdr:col>8</xdr:col>
      <xdr:colOff>275166</xdr:colOff>
      <xdr:row>13</xdr:row>
      <xdr:rowOff>169333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2130BD93-DC4E-D949-CBC6-8D48F4E10D69}"/>
            </a:ext>
          </a:extLst>
        </xdr:cNvPr>
        <xdr:cNvSpPr txBox="1"/>
      </xdr:nvSpPr>
      <xdr:spPr>
        <a:xfrm>
          <a:off x="4127500" y="1989667"/>
          <a:ext cx="2296583" cy="52916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accent1">
              <a:lumMod val="40000"/>
              <a:lumOff val="6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i="0">
              <a:solidFill>
                <a:schemeClr val="bg1"/>
              </a:solidFill>
              <a:latin typeface="+mj-lt"/>
            </a:rPr>
            <a:t>Inventory</a:t>
          </a:r>
          <a:r>
            <a:rPr lang="en-US" sz="1800" i="0" baseline="0">
              <a:solidFill>
                <a:schemeClr val="bg1"/>
              </a:solidFill>
              <a:latin typeface="+mj-lt"/>
            </a:rPr>
            <a:t> Turnover</a:t>
          </a:r>
          <a:endParaRPr lang="en-US" sz="1800" i="0">
            <a:solidFill>
              <a:schemeClr val="bg1"/>
            </a:solidFill>
            <a:latin typeface="+mj-lt"/>
          </a:endParaRPr>
        </a:p>
      </xdr:txBody>
    </xdr:sp>
    <xdr:clientData/>
  </xdr:twoCellAnchor>
  <xdr:oneCellAnchor>
    <xdr:from>
      <xdr:col>10</xdr:col>
      <xdr:colOff>74084</xdr:colOff>
      <xdr:row>2</xdr:row>
      <xdr:rowOff>10582</xdr:rowOff>
    </xdr:from>
    <xdr:ext cx="2529418" cy="370417"/>
    <xdr:sp macro="" textlink="'Income Statement'!B2">
      <xdr:nvSpPr>
        <xdr:cNvPr id="7" name="TextBox 6">
          <a:extLst>
            <a:ext uri="{FF2B5EF4-FFF2-40B4-BE49-F238E27FC236}">
              <a16:creationId xmlns:a16="http://schemas.microsoft.com/office/drawing/2014/main" id="{C4E06F0F-3C5C-8D4F-8F7C-58DBE946B7CE}"/>
            </a:ext>
          </a:extLst>
        </xdr:cNvPr>
        <xdr:cNvSpPr txBox="1"/>
      </xdr:nvSpPr>
      <xdr:spPr>
        <a:xfrm>
          <a:off x="7577667" y="380999"/>
          <a:ext cx="2529418" cy="37041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schemeClr val="tx1"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>
          <a:noAutofit/>
        </a:bodyPr>
        <a:lstStyle/>
        <a:p>
          <a:fld id="{924136A8-27D6-FA41-B404-5A491096878D}" type="TxLink">
            <a:rPr lang="en-US" sz="1600" b="0" i="0" u="none" strike="noStrike">
              <a:solidFill>
                <a:srgbClr val="000000"/>
              </a:solidFill>
              <a:latin typeface="Century Gothic"/>
            </a:rPr>
            <a:pPr/>
            <a:t>670,038,000</a:t>
          </a:fld>
          <a:endParaRPr lang="en-US" sz="1600"/>
        </a:p>
      </xdr:txBody>
    </xdr:sp>
    <xdr:clientData/>
  </xdr:oneCellAnchor>
  <xdr:oneCellAnchor>
    <xdr:from>
      <xdr:col>4</xdr:col>
      <xdr:colOff>603250</xdr:colOff>
      <xdr:row>13</xdr:row>
      <xdr:rowOff>31749</xdr:rowOff>
    </xdr:from>
    <xdr:ext cx="2529418" cy="370417"/>
    <xdr:sp macro="" textlink="$B$8">
      <xdr:nvSpPr>
        <xdr:cNvPr id="9" name="TextBox 8">
          <a:extLst>
            <a:ext uri="{FF2B5EF4-FFF2-40B4-BE49-F238E27FC236}">
              <a16:creationId xmlns:a16="http://schemas.microsoft.com/office/drawing/2014/main" id="{6BE470FE-6F77-F640-A418-8A5714D46BFD}"/>
            </a:ext>
          </a:extLst>
        </xdr:cNvPr>
        <xdr:cNvSpPr txBox="1"/>
      </xdr:nvSpPr>
      <xdr:spPr>
        <a:xfrm>
          <a:off x="4042833" y="2381249"/>
          <a:ext cx="2529418" cy="37041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schemeClr val="tx1"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>
          <a:noAutofit/>
        </a:bodyPr>
        <a:lstStyle/>
        <a:p>
          <a:fld id="{6A7E6534-1344-504C-9A44-932116677888}" type="TxLink">
            <a:rPr lang="en-US" sz="1600" b="0" i="0" u="none" strike="noStrike">
              <a:solidFill>
                <a:srgbClr val="000000"/>
              </a:solidFill>
              <a:latin typeface="Century Gothic"/>
            </a:rPr>
            <a:t>9.86891331</a:t>
          </a:fld>
          <a:endParaRPr lang="en-US" sz="1600"/>
        </a:p>
      </xdr:txBody>
    </xdr:sp>
    <xdr:clientData/>
  </xdr:oneCellAnchor>
  <xdr:oneCellAnchor>
    <xdr:from>
      <xdr:col>10</xdr:col>
      <xdr:colOff>84667</xdr:colOff>
      <xdr:row>13</xdr:row>
      <xdr:rowOff>74082</xdr:rowOff>
    </xdr:from>
    <xdr:ext cx="2529418" cy="370417"/>
    <xdr:sp macro="" textlink="'Income Statement'!B2">
      <xdr:nvSpPr>
        <xdr:cNvPr id="11" name="TextBox 10">
          <a:extLst>
            <a:ext uri="{FF2B5EF4-FFF2-40B4-BE49-F238E27FC236}">
              <a16:creationId xmlns:a16="http://schemas.microsoft.com/office/drawing/2014/main" id="{96EABF74-22DF-8F40-A676-502346F575E6}"/>
            </a:ext>
          </a:extLst>
        </xdr:cNvPr>
        <xdr:cNvSpPr txBox="1"/>
      </xdr:nvSpPr>
      <xdr:spPr>
        <a:xfrm>
          <a:off x="7588250" y="2423582"/>
          <a:ext cx="2529418" cy="37041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schemeClr val="tx1"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>
          <a:noAutofit/>
        </a:bodyPr>
        <a:lstStyle/>
        <a:p>
          <a:fld id="{924136A8-27D6-FA41-B404-5A491096878D}" type="TxLink">
            <a:rPr lang="en-US" sz="1600" b="0" i="0" u="none" strike="noStrike">
              <a:solidFill>
                <a:srgbClr val="000000"/>
              </a:solidFill>
              <a:latin typeface="Century Gothic"/>
            </a:rPr>
            <a:pPr/>
            <a:t>670,038,000</a:t>
          </a:fld>
          <a:endParaRPr lang="en-US" sz="1600"/>
        </a:p>
      </xdr:txBody>
    </xdr:sp>
    <xdr:clientData/>
  </xdr:oneCellAnchor>
  <xdr:twoCellAnchor editAs="oneCell">
    <xdr:from>
      <xdr:col>4</xdr:col>
      <xdr:colOff>651165</xdr:colOff>
      <xdr:row>14</xdr:row>
      <xdr:rowOff>103910</xdr:rowOff>
    </xdr:from>
    <xdr:to>
      <xdr:col>8</xdr:col>
      <xdr:colOff>346364</xdr:colOff>
      <xdr:row>20</xdr:row>
      <xdr:rowOff>132773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B4C0319-504C-A6D2-E2B0-658A893B1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68620" y="2551546"/>
          <a:ext cx="2373744" cy="1067954"/>
        </a:xfrm>
        <a:prstGeom prst="rect">
          <a:avLst/>
        </a:prstGeom>
      </xdr:spPr>
    </xdr:pic>
    <xdr:clientData/>
  </xdr:twoCellAnchor>
  <xdr:twoCellAnchor editAs="oneCell">
    <xdr:from>
      <xdr:col>10</xdr:col>
      <xdr:colOff>57727</xdr:colOff>
      <xdr:row>15</xdr:row>
      <xdr:rowOff>69274</xdr:rowOff>
    </xdr:from>
    <xdr:to>
      <xdr:col>13</xdr:col>
      <xdr:colOff>635000</xdr:colOff>
      <xdr:row>20</xdr:row>
      <xdr:rowOff>86592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1BACDAE-5875-CD1D-7F80-07237D51F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93000" y="2690092"/>
          <a:ext cx="2586182" cy="883227"/>
        </a:xfrm>
        <a:prstGeom prst="rect">
          <a:avLst/>
        </a:prstGeom>
      </xdr:spPr>
    </xdr:pic>
    <xdr:clientData/>
  </xdr:twoCellAnchor>
  <xdr:twoCellAnchor editAs="oneCell">
    <xdr:from>
      <xdr:col>10</xdr:col>
      <xdr:colOff>46181</xdr:colOff>
      <xdr:row>4</xdr:row>
      <xdr:rowOff>99418</xdr:rowOff>
    </xdr:from>
    <xdr:to>
      <xdr:col>13</xdr:col>
      <xdr:colOff>651162</xdr:colOff>
      <xdr:row>8</xdr:row>
      <xdr:rowOff>132772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F8C9D9D-60A1-4C46-C859-9AE380608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81454" y="815236"/>
          <a:ext cx="2613890" cy="7260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zoomScale="180" zoomScaleNormal="180" workbookViewId="0">
      <selection activeCell="D13" sqref="D13"/>
    </sheetView>
  </sheetViews>
  <sheetFormatPr baseColWidth="10" defaultColWidth="8.83203125" defaultRowHeight="14" x14ac:dyDescent="0.15"/>
  <cols>
    <col min="1" max="1" width="32.5" customWidth="1"/>
  </cols>
  <sheetData>
    <row r="1" spans="1:4" ht="15" x14ac:dyDescent="0.2">
      <c r="A1" s="1" t="s">
        <v>0</v>
      </c>
      <c r="B1" s="1">
        <v>2025</v>
      </c>
      <c r="C1" s="1">
        <v>2026</v>
      </c>
      <c r="D1" s="1">
        <v>2027</v>
      </c>
    </row>
    <row r="2" spans="1:4" x14ac:dyDescent="0.15">
      <c r="A2" t="s">
        <v>1</v>
      </c>
      <c r="B2" s="4">
        <v>0.1</v>
      </c>
      <c r="C2" s="4">
        <v>0.08</v>
      </c>
      <c r="D2" s="4">
        <v>7.0000000000000007E-2</v>
      </c>
    </row>
    <row r="3" spans="1:4" x14ac:dyDescent="0.15">
      <c r="A3" t="s">
        <v>2</v>
      </c>
      <c r="B3" s="4">
        <v>0.65</v>
      </c>
      <c r="C3" s="4">
        <v>0.66</v>
      </c>
      <c r="D3" s="4">
        <v>0.67</v>
      </c>
    </row>
    <row r="4" spans="1:4" x14ac:dyDescent="0.15">
      <c r="A4" t="s">
        <v>3</v>
      </c>
      <c r="B4" s="4">
        <v>0.2</v>
      </c>
      <c r="C4" s="4">
        <v>0.19</v>
      </c>
      <c r="D4" s="4">
        <v>0.18</v>
      </c>
    </row>
    <row r="5" spans="1:4" x14ac:dyDescent="0.15">
      <c r="A5" t="s">
        <v>4</v>
      </c>
      <c r="B5" s="4">
        <v>0.25</v>
      </c>
      <c r="C5" s="4">
        <v>0.25</v>
      </c>
      <c r="D5" s="4">
        <v>0.25</v>
      </c>
    </row>
    <row r="6" spans="1:4" x14ac:dyDescent="0.15">
      <c r="A6" t="s">
        <v>5</v>
      </c>
      <c r="B6" s="4">
        <v>0.05</v>
      </c>
      <c r="C6" s="4">
        <v>0.05</v>
      </c>
      <c r="D6" s="4">
        <v>0.05</v>
      </c>
    </row>
    <row r="7" spans="1:4" x14ac:dyDescent="0.15">
      <c r="A7" t="s">
        <v>6</v>
      </c>
      <c r="B7" s="4">
        <v>0.08</v>
      </c>
      <c r="C7" s="4">
        <v>7.0000000000000007E-2</v>
      </c>
      <c r="D7" s="4">
        <v>7.0000000000000007E-2</v>
      </c>
    </row>
    <row r="8" spans="1:4" x14ac:dyDescent="0.15">
      <c r="A8" t="s">
        <v>7</v>
      </c>
      <c r="B8" s="4">
        <v>0.03</v>
      </c>
      <c r="C8" s="4">
        <v>2.5000000000000001E-2</v>
      </c>
      <c r="D8" s="4">
        <v>0.02</v>
      </c>
    </row>
    <row r="9" spans="1:4" x14ac:dyDescent="0.15">
      <c r="A9" t="s">
        <v>8</v>
      </c>
      <c r="B9" s="4">
        <v>0.05</v>
      </c>
      <c r="C9" s="4">
        <v>0.05</v>
      </c>
      <c r="D9" s="4">
        <v>0.05</v>
      </c>
    </row>
    <row r="10" spans="1:4" x14ac:dyDescent="0.15">
      <c r="A10" t="s">
        <v>9</v>
      </c>
      <c r="B10" s="4">
        <v>0.2</v>
      </c>
      <c r="C10" s="4">
        <v>0.2</v>
      </c>
      <c r="D10" s="4">
        <v>0.2</v>
      </c>
    </row>
    <row r="11" spans="1:4" x14ac:dyDescent="0.15">
      <c r="A11" t="s">
        <v>60</v>
      </c>
      <c r="C11" s="4">
        <v>0.18</v>
      </c>
      <c r="D11" s="4">
        <v>0.19</v>
      </c>
    </row>
    <row r="12" spans="1:4" x14ac:dyDescent="0.15">
      <c r="A12" t="s">
        <v>61</v>
      </c>
      <c r="C12" s="4">
        <v>0.1</v>
      </c>
      <c r="D12" s="4">
        <v>0.1</v>
      </c>
    </row>
    <row r="13" spans="1:4" x14ac:dyDescent="0.15">
      <c r="A13" t="s">
        <v>62</v>
      </c>
      <c r="C13" s="4">
        <v>0.08</v>
      </c>
      <c r="D13" s="4">
        <v>0.1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zoomScale="160" zoomScaleNormal="160" workbookViewId="0">
      <selection activeCell="F11" sqref="F11"/>
    </sheetView>
  </sheetViews>
  <sheetFormatPr baseColWidth="10" defaultColWidth="8.83203125" defaultRowHeight="14" x14ac:dyDescent="0.15"/>
  <cols>
    <col min="1" max="1" width="22.5" customWidth="1"/>
    <col min="2" max="2" width="13.1640625" customWidth="1"/>
    <col min="3" max="3" width="15.1640625" customWidth="1"/>
    <col min="4" max="4" width="15.6640625" customWidth="1"/>
  </cols>
  <sheetData>
    <row r="1" spans="1:4" ht="15" x14ac:dyDescent="0.2">
      <c r="A1" s="1" t="s">
        <v>63</v>
      </c>
      <c r="B1" s="1">
        <v>2025</v>
      </c>
      <c r="C1" s="1">
        <v>2026</v>
      </c>
      <c r="D1" s="1">
        <v>2027</v>
      </c>
    </row>
    <row r="2" spans="1:4" x14ac:dyDescent="0.15">
      <c r="A2" t="s">
        <v>10</v>
      </c>
      <c r="B2" s="2">
        <v>670038000</v>
      </c>
      <c r="C2" s="3">
        <f>B2*(1+Assumptions!C2)</f>
        <v>723641040</v>
      </c>
      <c r="D2" s="3">
        <f>C2*(1+Assumptions!D2)</f>
        <v>774295912.80000007</v>
      </c>
    </row>
    <row r="3" spans="1:4" x14ac:dyDescent="0.15">
      <c r="A3" t="s">
        <v>11</v>
      </c>
      <c r="B3" s="2">
        <v>337655000</v>
      </c>
      <c r="C3" s="3">
        <f>B3*(1-Assumptions!C3)</f>
        <v>114802699.99999999</v>
      </c>
      <c r="D3" s="3">
        <f>C3*(1-Assumptions!D3)</f>
        <v>37884890.999999993</v>
      </c>
    </row>
    <row r="4" spans="1:4" x14ac:dyDescent="0.15">
      <c r="A4" t="s">
        <v>12</v>
      </c>
      <c r="B4" s="2">
        <f>B2-B3</f>
        <v>332383000</v>
      </c>
      <c r="C4" s="2">
        <f t="shared" ref="C4:D4" si="0">C2-C3</f>
        <v>608838340</v>
      </c>
      <c r="D4" s="2">
        <f t="shared" si="0"/>
        <v>736411021.80000007</v>
      </c>
    </row>
    <row r="5" spans="1:4" x14ac:dyDescent="0.15">
      <c r="A5" t="s">
        <v>13</v>
      </c>
      <c r="B5" s="2">
        <v>56081000</v>
      </c>
      <c r="C5" s="2">
        <f>B2*Assumptions!C4</f>
        <v>127307220</v>
      </c>
      <c r="D5" s="2">
        <f>C2*Assumptions!D4</f>
        <v>130255387.19999999</v>
      </c>
    </row>
    <row r="6" spans="1:4" x14ac:dyDescent="0.15">
      <c r="A6" t="s">
        <v>55</v>
      </c>
      <c r="B6" s="2">
        <f>B4-B5</f>
        <v>276302000</v>
      </c>
      <c r="C6" s="2">
        <f t="shared" ref="C6:D6" si="1">C4-C5</f>
        <v>481531120</v>
      </c>
      <c r="D6" s="2">
        <f t="shared" si="1"/>
        <v>606155634.60000014</v>
      </c>
    </row>
    <row r="7" spans="1:4" x14ac:dyDescent="0.15">
      <c r="A7" t="s">
        <v>14</v>
      </c>
      <c r="B7" s="2">
        <f>'Balance Sheet'!$B$6*Assumptions!B6</f>
        <v>16440300</v>
      </c>
      <c r="C7" s="2">
        <f>'Balance Sheet'!C6*Assumptions!C6</f>
        <v>17325000</v>
      </c>
      <c r="D7" s="2">
        <f>'Balance Sheet'!D6*Assumptions!D6</f>
        <v>18000000</v>
      </c>
    </row>
    <row r="8" spans="1:4" x14ac:dyDescent="0.15">
      <c r="A8" t="s">
        <v>15</v>
      </c>
      <c r="B8" s="2">
        <f>B6-B7</f>
        <v>259861700</v>
      </c>
      <c r="C8" s="2">
        <f t="shared" ref="C8:D8" si="2">C6-C7</f>
        <v>464206120</v>
      </c>
      <c r="D8" s="2">
        <f t="shared" si="2"/>
        <v>588155634.60000014</v>
      </c>
    </row>
    <row r="9" spans="1:4" x14ac:dyDescent="0.15">
      <c r="A9" t="s">
        <v>16</v>
      </c>
      <c r="B9" s="2">
        <f>'Balance Sheet'!B10*Assumptions!B9</f>
        <v>6545000</v>
      </c>
      <c r="C9">
        <f>'Balance Sheet'!C10*Assumptions!C9</f>
        <v>6545000</v>
      </c>
      <c r="D9">
        <f>'Balance Sheet'!D10*Assumptions!D9</f>
        <v>6545000</v>
      </c>
    </row>
    <row r="10" spans="1:4" x14ac:dyDescent="0.15">
      <c r="A10" t="s">
        <v>17</v>
      </c>
      <c r="B10" s="2">
        <f>B8-B9</f>
        <v>253316700</v>
      </c>
      <c r="C10" s="2">
        <f>C8-C9</f>
        <v>457661120</v>
      </c>
      <c r="D10" s="2">
        <f>D8-D9</f>
        <v>581610634.60000014</v>
      </c>
    </row>
    <row r="11" spans="1:4" x14ac:dyDescent="0.15">
      <c r="A11" t="s">
        <v>18</v>
      </c>
      <c r="B11" s="2">
        <f>B10*Assumptions!B5</f>
        <v>63329175</v>
      </c>
      <c r="C11" s="2">
        <f>C10*Assumptions!C5</f>
        <v>114415280</v>
      </c>
      <c r="D11" s="2">
        <f>D10*Assumptions!D5</f>
        <v>145402658.65000004</v>
      </c>
    </row>
    <row r="12" spans="1:4" x14ac:dyDescent="0.15">
      <c r="A12" t="s">
        <v>19</v>
      </c>
      <c r="B12" s="2">
        <f>B10-B11</f>
        <v>189987525</v>
      </c>
      <c r="C12" s="2">
        <f>C10-C11</f>
        <v>343245840</v>
      </c>
      <c r="D12" s="2">
        <f>D10-D11</f>
        <v>436207975.95000011</v>
      </c>
    </row>
    <row r="14" spans="1:4" x14ac:dyDescent="0.15">
      <c r="A14" t="s">
        <v>56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"/>
  <sheetViews>
    <sheetView zoomScale="195" zoomScaleNormal="195" workbookViewId="0"/>
  </sheetViews>
  <sheetFormatPr baseColWidth="10" defaultColWidth="8.83203125" defaultRowHeight="14" x14ac:dyDescent="0.15"/>
  <cols>
    <col min="1" max="1" width="23.83203125" customWidth="1"/>
    <col min="2" max="2" width="11.1640625" customWidth="1"/>
    <col min="3" max="3" width="11.1640625" bestFit="1" customWidth="1"/>
    <col min="4" max="4" width="13.6640625" customWidth="1"/>
  </cols>
  <sheetData>
    <row r="1" spans="1:4" ht="15" x14ac:dyDescent="0.2">
      <c r="A1" s="1" t="s">
        <v>64</v>
      </c>
      <c r="B1" s="1">
        <v>2025</v>
      </c>
      <c r="C1" s="1">
        <v>2026</v>
      </c>
      <c r="D1" s="1">
        <v>2027</v>
      </c>
    </row>
    <row r="2" spans="1:4" x14ac:dyDescent="0.15">
      <c r="A2" t="s">
        <v>20</v>
      </c>
    </row>
    <row r="3" spans="1:4" x14ac:dyDescent="0.15">
      <c r="A3" t="s">
        <v>21</v>
      </c>
      <c r="B3" s="2">
        <f>'Cash Flow'!B17</f>
        <v>100524000</v>
      </c>
      <c r="C3" s="2">
        <f>'Cash Flow'!C17</f>
        <v>4196791.8000000119</v>
      </c>
      <c r="D3" s="2">
        <f>'Cash Flow'!D17</f>
        <v>-12788223.712000072</v>
      </c>
    </row>
    <row r="4" spans="1:4" x14ac:dyDescent="0.15">
      <c r="A4" t="s">
        <v>22</v>
      </c>
      <c r="B4" s="2">
        <v>55451000</v>
      </c>
      <c r="C4" s="2">
        <f>'Income Statement'!C2*Assumptions!C11</f>
        <v>130255387.19999999</v>
      </c>
      <c r="D4" s="2">
        <f>'Income Statement'!D2*Assumptions!D11</f>
        <v>147116223.43200001</v>
      </c>
    </row>
    <row r="5" spans="1:4" x14ac:dyDescent="0.15">
      <c r="A5" t="s">
        <v>23</v>
      </c>
      <c r="B5" s="2">
        <v>34214000</v>
      </c>
      <c r="C5" s="2">
        <f>'Income Statement'!C2*Assumptions!C12</f>
        <v>72364104</v>
      </c>
      <c r="D5" s="2">
        <f>'Income Statement'!D2*Assumptions!D12</f>
        <v>77429591.280000016</v>
      </c>
    </row>
    <row r="6" spans="1:4" x14ac:dyDescent="0.15">
      <c r="A6" t="s">
        <v>24</v>
      </c>
      <c r="B6" s="2">
        <v>328806000</v>
      </c>
      <c r="C6" s="2">
        <v>346500000</v>
      </c>
      <c r="D6" s="2">
        <v>360000000</v>
      </c>
    </row>
    <row r="7" spans="1:4" x14ac:dyDescent="0.15">
      <c r="A7" t="s">
        <v>25</v>
      </c>
      <c r="B7" s="2">
        <f>SUM(B3,B4,B5,B6)</f>
        <v>518995000</v>
      </c>
      <c r="C7" s="2">
        <f t="shared" ref="C7:D7" si="0">SUM(C3,C4,C5,C6)</f>
        <v>553316283</v>
      </c>
      <c r="D7" s="2">
        <f t="shared" si="0"/>
        <v>571757591</v>
      </c>
    </row>
    <row r="8" spans="1:4" x14ac:dyDescent="0.15">
      <c r="A8" t="s">
        <v>26</v>
      </c>
    </row>
    <row r="9" spans="1:4" x14ac:dyDescent="0.15">
      <c r="A9" t="s">
        <v>27</v>
      </c>
      <c r="B9" s="2">
        <v>94363000</v>
      </c>
      <c r="C9" s="2">
        <f>'Income Statement'!C2*Assumptions!C13</f>
        <v>57891283.200000003</v>
      </c>
      <c r="D9" s="2">
        <f>'Income Statement'!D2*Assumptions!D13</f>
        <v>77429591.280000016</v>
      </c>
    </row>
    <row r="10" spans="1:4" x14ac:dyDescent="0.15">
      <c r="A10" t="s">
        <v>28</v>
      </c>
      <c r="B10" s="2">
        <v>130900000</v>
      </c>
      <c r="C10" s="2">
        <v>130900000</v>
      </c>
      <c r="D10" s="2">
        <v>130900000</v>
      </c>
    </row>
    <row r="11" spans="1:4" x14ac:dyDescent="0.15">
      <c r="A11" t="s">
        <v>29</v>
      </c>
      <c r="B11" s="2">
        <f>B9+B10</f>
        <v>225263000</v>
      </c>
      <c r="C11" s="2">
        <f>C9+C10</f>
        <v>188791283.19999999</v>
      </c>
      <c r="D11" s="2">
        <f>D9+D10</f>
        <v>208329591.28000003</v>
      </c>
    </row>
    <row r="12" spans="1:4" x14ac:dyDescent="0.15">
      <c r="A12" t="s">
        <v>30</v>
      </c>
    </row>
    <row r="13" spans="1:4" x14ac:dyDescent="0.15">
      <c r="A13" t="s">
        <v>31</v>
      </c>
      <c r="B13" s="2">
        <v>172866000</v>
      </c>
      <c r="C13" s="2">
        <v>217653000</v>
      </c>
      <c r="D13" s="2">
        <v>206591000</v>
      </c>
    </row>
    <row r="14" spans="1:4" x14ac:dyDescent="0.15">
      <c r="A14" t="s">
        <v>59</v>
      </c>
      <c r="B14" s="2">
        <v>120866000</v>
      </c>
      <c r="C14" s="2">
        <v>146872000</v>
      </c>
      <c r="D14" s="2">
        <v>156837000</v>
      </c>
    </row>
    <row r="15" spans="1:4" x14ac:dyDescent="0.15">
      <c r="A15" t="s">
        <v>32</v>
      </c>
      <c r="B15" s="2">
        <f>B13+B14</f>
        <v>293732000</v>
      </c>
      <c r="C15" s="2">
        <f>C13+C14</f>
        <v>364525000</v>
      </c>
      <c r="D15" s="2">
        <f>D13+D14</f>
        <v>363428000</v>
      </c>
    </row>
    <row r="16" spans="1:4" x14ac:dyDescent="0.15">
      <c r="A16" t="s">
        <v>33</v>
      </c>
      <c r="B16" s="2">
        <f>SUM(B11,B15)</f>
        <v>518995000</v>
      </c>
      <c r="C16" s="2">
        <f t="shared" ref="C16:D16" si="1">SUM(C11,C15)</f>
        <v>553316283.20000005</v>
      </c>
      <c r="D16" s="2">
        <f t="shared" si="1"/>
        <v>571757591.27999997</v>
      </c>
    </row>
    <row r="18" spans="1:1" x14ac:dyDescent="0.15">
      <c r="A18" t="s">
        <v>57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9"/>
  <sheetViews>
    <sheetView zoomScale="164" zoomScaleNormal="164" workbookViewId="0"/>
  </sheetViews>
  <sheetFormatPr baseColWidth="10" defaultColWidth="8.83203125" defaultRowHeight="14" x14ac:dyDescent="0.15"/>
  <cols>
    <col min="1" max="1" width="25.33203125" customWidth="1"/>
    <col min="2" max="2" width="13.33203125" customWidth="1"/>
    <col min="3" max="4" width="16.6640625" customWidth="1"/>
  </cols>
  <sheetData>
    <row r="1" spans="1:4" ht="15" x14ac:dyDescent="0.2">
      <c r="A1" s="1" t="s">
        <v>63</v>
      </c>
      <c r="B1" s="1">
        <v>2025</v>
      </c>
      <c r="C1" s="1">
        <v>2026</v>
      </c>
      <c r="D1" s="1">
        <v>2027</v>
      </c>
    </row>
    <row r="2" spans="1:4" x14ac:dyDescent="0.15">
      <c r="A2" t="s">
        <v>34</v>
      </c>
    </row>
    <row r="3" spans="1:4" x14ac:dyDescent="0.15">
      <c r="A3" t="s">
        <v>19</v>
      </c>
      <c r="B3" s="2">
        <f>'Income Statement'!B12</f>
        <v>189987525</v>
      </c>
      <c r="C3" s="2">
        <f>'Income Statement'!C12</f>
        <v>343245840</v>
      </c>
      <c r="D3" s="3">
        <f>'Income Statement'!D2</f>
        <v>774295912.80000007</v>
      </c>
    </row>
    <row r="4" spans="1:4" x14ac:dyDescent="0.15">
      <c r="A4" t="s">
        <v>35</v>
      </c>
      <c r="B4" s="2">
        <f>'Income Statement'!B7</f>
        <v>16440300</v>
      </c>
      <c r="C4" s="2">
        <f>'Income Statement'!C7</f>
        <v>17325000</v>
      </c>
      <c r="D4" s="2">
        <f>'Income Statement'!D7</f>
        <v>18000000</v>
      </c>
    </row>
    <row r="5" spans="1:4" x14ac:dyDescent="0.15">
      <c r="A5" t="s">
        <v>36</v>
      </c>
      <c r="B5" s="2">
        <v>-21490000</v>
      </c>
      <c r="C5" s="2">
        <f>-(('Income Statement'!C2*Assumptions!C8)-B5)</f>
        <v>-39581026</v>
      </c>
      <c r="D5" s="2">
        <f>-(('Income Statement'!D2*Assumptions!D8)-C5)</f>
        <v>-55066944.255999997</v>
      </c>
    </row>
    <row r="6" spans="1:4" x14ac:dyDescent="0.15">
      <c r="A6" t="s">
        <v>37</v>
      </c>
      <c r="B6" s="2">
        <f>B3+B4+B5</f>
        <v>184937825</v>
      </c>
      <c r="C6" s="2">
        <f>C3+C4+C5</f>
        <v>320989814</v>
      </c>
      <c r="D6" s="2">
        <f>D3+D4+D5</f>
        <v>737228968.54400003</v>
      </c>
    </row>
    <row r="7" spans="1:4" x14ac:dyDescent="0.15">
      <c r="A7" t="s">
        <v>38</v>
      </c>
    </row>
    <row r="8" spans="1:4" x14ac:dyDescent="0.15">
      <c r="A8" t="s">
        <v>39</v>
      </c>
      <c r="B8" s="2">
        <f>-('Income Statement'!B2*Assumptions!B7)</f>
        <v>-53603040</v>
      </c>
      <c r="C8" s="2">
        <f>-('Income Statement'!C2*Assumptions!C7)</f>
        <v>-50654872.800000004</v>
      </c>
      <c r="D8" s="2">
        <f>-('Income Statement'!D2*Assumptions!D7)</f>
        <v>-54200713.896000013</v>
      </c>
    </row>
    <row r="9" spans="1:4" x14ac:dyDescent="0.15">
      <c r="A9" t="s">
        <v>40</v>
      </c>
      <c r="B9" s="2">
        <f>B8</f>
        <v>-53603040</v>
      </c>
      <c r="C9" s="2">
        <f t="shared" ref="C9:D9" si="0">C8</f>
        <v>-50654872.800000004</v>
      </c>
      <c r="D9" s="2">
        <f t="shared" si="0"/>
        <v>-54200713.896000013</v>
      </c>
    </row>
    <row r="10" spans="1:4" x14ac:dyDescent="0.15">
      <c r="A10" t="s">
        <v>41</v>
      </c>
    </row>
    <row r="11" spans="1:4" x14ac:dyDescent="0.15">
      <c r="A11" t="s">
        <v>42</v>
      </c>
      <c r="B11" s="2">
        <v>-82071280</v>
      </c>
      <c r="C11" s="2">
        <v>-318775981.39999998</v>
      </c>
      <c r="D11" s="2">
        <v>-632707674.97000003</v>
      </c>
    </row>
    <row r="12" spans="1:4" x14ac:dyDescent="0.15">
      <c r="A12" t="s">
        <v>43</v>
      </c>
      <c r="B12" s="2">
        <v>-17585000</v>
      </c>
      <c r="C12" s="2">
        <v>-20763000</v>
      </c>
      <c r="D12" s="2">
        <v>-19936000</v>
      </c>
    </row>
    <row r="13" spans="1:4" x14ac:dyDescent="0.15">
      <c r="A13" t="s">
        <v>44</v>
      </c>
      <c r="B13">
        <f>-('Income Statement'!B12*Assumptions!B10)</f>
        <v>-37997505</v>
      </c>
      <c r="C13">
        <f>-('Income Statement'!C12*Assumptions!C10)</f>
        <v>-68649168</v>
      </c>
      <c r="D13">
        <f>-('Income Statement'!D12*Assumptions!D10)</f>
        <v>-87241595.190000027</v>
      </c>
    </row>
    <row r="14" spans="1:4" x14ac:dyDescent="0.15">
      <c r="A14" t="s">
        <v>45</v>
      </c>
      <c r="B14" s="2">
        <f>B11-B12+B13</f>
        <v>-102483785</v>
      </c>
      <c r="C14" s="2">
        <f>C11-C12+C13</f>
        <v>-366662149.39999998</v>
      </c>
      <c r="D14" s="2">
        <f>D11-D12+D13</f>
        <v>-700013270.16000009</v>
      </c>
    </row>
    <row r="15" spans="1:4" x14ac:dyDescent="0.15">
      <c r="A15" t="s">
        <v>46</v>
      </c>
      <c r="B15" s="2">
        <f>B6+B9+B14</f>
        <v>28851000</v>
      </c>
      <c r="C15" s="2">
        <f>C6+C9+C14</f>
        <v>-96327208.199999988</v>
      </c>
      <c r="D15" s="2">
        <f>D6+D9+D14</f>
        <v>-16985015.512000084</v>
      </c>
    </row>
    <row r="16" spans="1:4" x14ac:dyDescent="0.15">
      <c r="A16" t="s">
        <v>47</v>
      </c>
      <c r="B16" s="2">
        <v>71673000</v>
      </c>
      <c r="C16" s="2">
        <f>B17</f>
        <v>100524000</v>
      </c>
      <c r="D16" s="2">
        <f>C17</f>
        <v>4196791.8000000119</v>
      </c>
    </row>
    <row r="17" spans="1:4" x14ac:dyDescent="0.15">
      <c r="A17" t="s">
        <v>48</v>
      </c>
      <c r="B17" s="2">
        <f>B16+B15</f>
        <v>100524000</v>
      </c>
      <c r="C17" s="2">
        <f>C16+C15</f>
        <v>4196791.8000000119</v>
      </c>
      <c r="D17" s="2">
        <f>D16+D15</f>
        <v>-12788223.712000072</v>
      </c>
    </row>
    <row r="19" spans="1:4" x14ac:dyDescent="0.15">
      <c r="A19" t="s">
        <v>58</v>
      </c>
    </row>
  </sheetData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"/>
  <sheetViews>
    <sheetView showGridLines="0" tabSelected="1" zoomScale="170" zoomScaleNormal="170" workbookViewId="0">
      <selection activeCell="D5" sqref="D5"/>
    </sheetView>
  </sheetViews>
  <sheetFormatPr baseColWidth="10" defaultColWidth="8.83203125" defaultRowHeight="14" x14ac:dyDescent="0.15"/>
  <cols>
    <col min="1" max="1" width="18.5" customWidth="1"/>
  </cols>
  <sheetData>
    <row r="1" spans="1:4" ht="15" x14ac:dyDescent="0.2">
      <c r="A1" s="1" t="s">
        <v>49</v>
      </c>
      <c r="B1" s="1">
        <v>2025</v>
      </c>
      <c r="C1" s="1">
        <v>2026</v>
      </c>
      <c r="D1" s="1">
        <v>2027</v>
      </c>
    </row>
    <row r="2" spans="1:4" x14ac:dyDescent="0.15">
      <c r="A2" t="s">
        <v>50</v>
      </c>
      <c r="B2">
        <f xml:space="preserve"> 'Income Statement'!B6 / 'Income Statement'!B2</f>
        <v>0.41236765675976589</v>
      </c>
      <c r="C2">
        <f xml:space="preserve"> 'Income Statement'!C6 / 'Income Statement'!C2</f>
        <v>0.66542815205726857</v>
      </c>
      <c r="D2">
        <f xml:space="preserve"> 'Income Statement'!D6 / 'Income Statement'!D2</f>
        <v>0.78284751937799468</v>
      </c>
    </row>
    <row r="3" spans="1:4" x14ac:dyDescent="0.15">
      <c r="A3" t="s">
        <v>65</v>
      </c>
      <c r="B3">
        <f>('Income Statement'!B12/'Income Statement'!B2)*100</f>
        <v>28.354738835707828</v>
      </c>
      <c r="C3">
        <f>('Income Statement'!C12/'Income Statement'!C2)*100</f>
        <v>47.433163823875987</v>
      </c>
      <c r="D3">
        <f>('Income Statement'!D12/'Income Statement'!D2)*100</f>
        <v>56.336081430752984</v>
      </c>
    </row>
    <row r="4" spans="1:4" x14ac:dyDescent="0.15">
      <c r="A4" t="s">
        <v>51</v>
      </c>
      <c r="B4">
        <f>'Income Statement'!B12/'Balance Sheet'!B15</f>
        <v>0.64680567660316202</v>
      </c>
      <c r="C4">
        <f>'Income Statement'!C12/'Balance Sheet'!C15</f>
        <v>0.94162496399423912</v>
      </c>
      <c r="D4">
        <f>'Income Statement'!D12/'Balance Sheet'!D15</f>
        <v>1.2002596826606649</v>
      </c>
    </row>
    <row r="5" spans="1:4" x14ac:dyDescent="0.15">
      <c r="A5" t="s">
        <v>52</v>
      </c>
      <c r="B5">
        <f>'Income Statement'!B12/'Balance Sheet'!B7</f>
        <v>0.36606812204356498</v>
      </c>
      <c r="C5">
        <f>'Income Statement'!C12/'Balance Sheet'!C7</f>
        <v>0.62034292238603794</v>
      </c>
      <c r="D5">
        <f>'Income Statement'!D12/'Balance Sheet'!D7</f>
        <v>0.76292467789902962</v>
      </c>
    </row>
    <row r="6" spans="1:4" x14ac:dyDescent="0.15">
      <c r="A6" t="s">
        <v>53</v>
      </c>
      <c r="B6">
        <f>'Balance Sheet'!B10/'Balance Sheet'!B15</f>
        <v>0.44564432884398025</v>
      </c>
      <c r="C6">
        <f>'Balance Sheet'!C10/'Balance Sheet'!C15</f>
        <v>0.35909745559289485</v>
      </c>
      <c r="D6">
        <f>'Balance Sheet'!D10/'Balance Sheet'!D15</f>
        <v>0.36018138393299359</v>
      </c>
    </row>
    <row r="7" spans="1:4" x14ac:dyDescent="0.15">
      <c r="A7" t="s">
        <v>54</v>
      </c>
      <c r="B7">
        <f>('Balance Sheet'!B3+'Balance Sheet'!B4+'Balance Sheet'!B5)/('Balance Sheet'!B13+'Balance Sheet'!B14)</f>
        <v>0.64749159097408526</v>
      </c>
      <c r="C7">
        <f>('Balance Sheet'!C3+'Balance Sheet'!C4+'Balance Sheet'!C5)/('Balance Sheet'!C13+'Balance Sheet'!C14)</f>
        <v>0.56735829641314039</v>
      </c>
      <c r="D7">
        <f>('Balance Sheet'!D3+'Balance Sheet'!D4+'Balance Sheet'!D5)/('Balance Sheet'!D13+'Balance Sheet'!D14)</f>
        <v>0.58266724358057154</v>
      </c>
    </row>
    <row r="8" spans="1:4" x14ac:dyDescent="0.15">
      <c r="A8" t="s">
        <v>66</v>
      </c>
      <c r="B8">
        <f>'Income Statement'!B3/'Balance Sheet'!B5</f>
        <v>9.8689133103407958</v>
      </c>
      <c r="C8">
        <f>'Income Statement'!C3/'Balance Sheet'!C5</f>
        <v>1.5864592201680543</v>
      </c>
      <c r="D8">
        <f>'Income Statement'!D3/'Balance Sheet'!D5</f>
        <v>0.48928181556584843</v>
      </c>
    </row>
    <row r="9" spans="1:4" x14ac:dyDescent="0.15">
      <c r="A9" t="s">
        <v>67</v>
      </c>
      <c r="B9">
        <f>('Income Statement'!B4/'Income Statement'!B2)*100</f>
        <v>49.606589477014737</v>
      </c>
      <c r="C9">
        <f>('Income Statement'!C4/'Income Statement'!C2)*100</f>
        <v>84.135407798319449</v>
      </c>
      <c r="D9">
        <f>('Income Statement'!D4/'Income Statement'!D2)*100</f>
        <v>95.107181844341511</v>
      </c>
    </row>
  </sheetData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Assumptions</vt:lpstr>
      <vt:lpstr>Income Statement</vt:lpstr>
      <vt:lpstr>Balance Sheet</vt:lpstr>
      <vt:lpstr>Cash Flow</vt:lpstr>
      <vt:lpstr>Ratios &amp; KPIs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kevin hidalgo</cp:lastModifiedBy>
  <dcterms:created xsi:type="dcterms:W3CDTF">2025-08-08T22:28:07Z</dcterms:created>
  <dcterms:modified xsi:type="dcterms:W3CDTF">2025-08-10T23:49:38Z</dcterms:modified>
</cp:coreProperties>
</file>