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430"/>
  <workbookPr codeName="ThisWorkbook"/>
  <mc:AlternateContent xmlns:mc="http://schemas.openxmlformats.org/markup-compatibility/2006">
    <mc:Choice Requires="x15">
      <x15ac:absPath xmlns:x15ac="http://schemas.microsoft.com/office/spreadsheetml/2010/11/ac" url="C:\Users\Francesca\Desktop\KEVIN\Armstrong\"/>
    </mc:Choice>
  </mc:AlternateContent>
  <xr:revisionPtr revIDLastSave="0" documentId="13_ncr:40009_{CA2588D3-2DD6-4F43-B4CF-942259666550}" xr6:coauthVersionLast="45" xr6:coauthVersionMax="45" xr10:uidLastSave="{00000000-0000-0000-0000-000000000000}"/>
  <bookViews>
    <workbookView xWindow="-120" yWindow="-120" windowWidth="20730" windowHeight="11160" tabRatio="932" firstSheet="7" activeTab="14"/>
  </bookViews>
  <sheets>
    <sheet name="SchmidtTheory" sheetId="22" state="hidden" r:id="rId1"/>
    <sheet name="ValveSIZING" sheetId="23" state="hidden" r:id="rId2"/>
    <sheet name="ActuatorSIZING" sheetId="24" state="hidden" r:id="rId3"/>
    <sheet name="SPL" sheetId="32" state="hidden" r:id="rId4"/>
    <sheet name="Pressure Drop" sheetId="34" state="hidden" r:id="rId5"/>
    <sheet name="vapor" sheetId="35" state="hidden" r:id="rId6"/>
    <sheet name="Viscosity" sheetId="38" state="hidden" r:id="rId7"/>
    <sheet name="SELECTION" sheetId="25" r:id="rId8"/>
    <sheet name="PipingSchedule" sheetId="27" state="hidden" r:id="rId9"/>
    <sheet name="Property Examples" sheetId="37" state="hidden" r:id="rId10"/>
    <sheet name="FLUID Data" sheetId="28" state="hidden" r:id="rId11"/>
    <sheet name="SteamProperties" sheetId="21" state="hidden" r:id="rId12"/>
    <sheet name="SteamFunctions" sheetId="18" state="hidden" r:id="rId13"/>
    <sheet name="CV" sheetId="33" state="hidden" r:id="rId14"/>
    <sheet name="BODY" sheetId="44" r:id="rId15"/>
    <sheet name="=" sheetId="39" state="hidden" r:id="rId16"/>
    <sheet name="Valve body" sheetId="43" state="hidden" r:id="rId17"/>
  </sheets>
  <definedNames>
    <definedName name="_xlnm._FilterDatabase" localSheetId="13" hidden="1">CV!$U$10:$AG$34</definedName>
    <definedName name="_xlnm.Print_Area" localSheetId="5">vapor!$A$1:$G$59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44" l="1"/>
  <c r="R24" i="34"/>
  <c r="J62" i="35" l="1"/>
  <c r="G64" i="35"/>
  <c r="E5" i="44"/>
  <c r="E6" i="44"/>
  <c r="I68" i="25"/>
  <c r="K9" i="43"/>
  <c r="F23" i="43" s="1"/>
  <c r="K4" i="43"/>
  <c r="K3" i="43"/>
  <c r="F20" i="43" s="1"/>
  <c r="R25" i="34"/>
  <c r="W24" i="34"/>
  <c r="AA15" i="34" s="1"/>
  <c r="U32" i="34"/>
  <c r="X35" i="34" s="1"/>
  <c r="U39" i="34"/>
  <c r="X28" i="34" s="1"/>
  <c r="U38" i="34"/>
  <c r="X29" i="34" s="1"/>
  <c r="U37" i="34"/>
  <c r="X30" i="34" s="1"/>
  <c r="U36" i="34"/>
  <c r="X31" i="34" s="1"/>
  <c r="U35" i="34"/>
  <c r="X32" i="34" s="1"/>
  <c r="U34" i="34"/>
  <c r="X33" i="34" s="1"/>
  <c r="U33" i="34"/>
  <c r="X34" i="34" s="1"/>
  <c r="U31" i="34"/>
  <c r="X36" i="34" s="1"/>
  <c r="U30" i="34"/>
  <c r="X37" i="34" s="1"/>
  <c r="U29" i="34"/>
  <c r="X38" i="34" s="1"/>
  <c r="U28" i="34"/>
  <c r="X39" i="34" s="1"/>
  <c r="C21" i="37"/>
  <c r="F56" i="37"/>
  <c r="B21" i="37"/>
  <c r="E56" i="37"/>
  <c r="C3" i="39"/>
  <c r="C2" i="39"/>
  <c r="F93" i="39"/>
  <c r="G93" i="39"/>
  <c r="H93" i="39"/>
  <c r="I93" i="39"/>
  <c r="F94" i="39"/>
  <c r="G94" i="39"/>
  <c r="H94" i="39"/>
  <c r="I94" i="39"/>
  <c r="F95" i="39"/>
  <c r="G95" i="39"/>
  <c r="H95" i="39"/>
  <c r="I95" i="39"/>
  <c r="F96" i="39"/>
  <c r="G96" i="39"/>
  <c r="H96" i="39"/>
  <c r="I96" i="39"/>
  <c r="F97" i="39"/>
  <c r="G97" i="39"/>
  <c r="H97" i="39"/>
  <c r="I97" i="39"/>
  <c r="F98" i="39"/>
  <c r="G98" i="39"/>
  <c r="H98" i="39"/>
  <c r="I98" i="39"/>
  <c r="F99" i="39"/>
  <c r="G99" i="39"/>
  <c r="H99" i="39"/>
  <c r="I99" i="39"/>
  <c r="F100" i="39"/>
  <c r="G100" i="39"/>
  <c r="H100" i="39"/>
  <c r="I100" i="39"/>
  <c r="F101" i="39"/>
  <c r="G101" i="39"/>
  <c r="H101" i="39"/>
  <c r="I101" i="39"/>
  <c r="F102" i="39"/>
  <c r="G102" i="39"/>
  <c r="H102" i="39"/>
  <c r="I102" i="39"/>
  <c r="F103" i="39"/>
  <c r="G103" i="39"/>
  <c r="H103" i="39"/>
  <c r="I103" i="39"/>
  <c r="F104" i="39"/>
  <c r="G104" i="39"/>
  <c r="H104" i="39"/>
  <c r="I104" i="39"/>
  <c r="F105" i="39"/>
  <c r="G105" i="39"/>
  <c r="H105" i="39"/>
  <c r="I105" i="39"/>
  <c r="F106" i="39"/>
  <c r="G106" i="39"/>
  <c r="H106" i="39"/>
  <c r="I106" i="39"/>
  <c r="F107" i="39"/>
  <c r="G107" i="39"/>
  <c r="H107" i="39"/>
  <c r="I107" i="39"/>
  <c r="F108" i="39"/>
  <c r="G108" i="39"/>
  <c r="H108" i="39"/>
  <c r="I108" i="39"/>
  <c r="F109" i="39"/>
  <c r="G109" i="39"/>
  <c r="H109" i="39"/>
  <c r="I109" i="39"/>
  <c r="F110" i="39"/>
  <c r="G110" i="39"/>
  <c r="H110" i="39"/>
  <c r="I110" i="39"/>
  <c r="F111" i="39"/>
  <c r="G111" i="39"/>
  <c r="H111" i="39"/>
  <c r="I111" i="39"/>
  <c r="F112" i="39"/>
  <c r="G112" i="39"/>
  <c r="H112" i="39"/>
  <c r="I112" i="39"/>
  <c r="F113" i="39"/>
  <c r="G113" i="39"/>
  <c r="H113" i="39"/>
  <c r="I113" i="39"/>
  <c r="F114" i="39"/>
  <c r="G114" i="39"/>
  <c r="H114" i="39"/>
  <c r="I114" i="39"/>
  <c r="F115" i="39"/>
  <c r="G115" i="39"/>
  <c r="H115" i="39"/>
  <c r="I115" i="39"/>
  <c r="F116" i="39"/>
  <c r="G116" i="39"/>
  <c r="H116" i="39"/>
  <c r="I116" i="39"/>
  <c r="F117" i="39"/>
  <c r="G117" i="39"/>
  <c r="H117" i="39"/>
  <c r="I117" i="39"/>
  <c r="F118" i="39"/>
  <c r="G118" i="39"/>
  <c r="H118" i="39"/>
  <c r="I118" i="39"/>
  <c r="F119" i="39"/>
  <c r="G119" i="39"/>
  <c r="H119" i="39"/>
  <c r="I119" i="39"/>
  <c r="F120" i="39"/>
  <c r="G120" i="39"/>
  <c r="H120" i="39"/>
  <c r="I120" i="39"/>
  <c r="L6" i="35"/>
  <c r="B2" i="35"/>
  <c r="G25" i="35"/>
  <c r="J21" i="37"/>
  <c r="K21" i="37"/>
  <c r="B86" i="37"/>
  <c r="B87" i="37"/>
  <c r="U4" i="33"/>
  <c r="Z4" i="33" s="1"/>
  <c r="X4" i="33"/>
  <c r="C33" i="21"/>
  <c r="G33" i="21"/>
  <c r="K33" i="21"/>
  <c r="C44" i="21"/>
  <c r="G44" i="21"/>
  <c r="K44" i="21"/>
  <c r="H26" i="27"/>
  <c r="H27" i="27"/>
  <c r="H28" i="27"/>
  <c r="H29" i="27"/>
  <c r="H30" i="27"/>
  <c r="H31" i="27"/>
  <c r="H32" i="27"/>
  <c r="H33" i="27"/>
  <c r="H34" i="27"/>
  <c r="H35" i="27"/>
  <c r="H36" i="27"/>
  <c r="H37" i="27"/>
  <c r="H38" i="27"/>
  <c r="H39" i="27"/>
  <c r="H40" i="27"/>
  <c r="H41" i="27"/>
  <c r="H42" i="27"/>
  <c r="H43" i="27"/>
  <c r="H44" i="27"/>
  <c r="H45" i="27"/>
  <c r="H46" i="27"/>
  <c r="H47" i="27"/>
  <c r="H48" i="27"/>
  <c r="AD10" i="25"/>
  <c r="E43" i="23"/>
  <c r="L15" i="25"/>
  <c r="P15" i="25"/>
  <c r="R17" i="25"/>
  <c r="X17" i="25"/>
  <c r="AD17" i="25"/>
  <c r="X18" i="25"/>
  <c r="X19" i="25"/>
  <c r="E134" i="23"/>
  <c r="E9" i="23" s="1"/>
  <c r="L20" i="25"/>
  <c r="P20" i="25"/>
  <c r="AR22" i="25"/>
  <c r="E126" i="23"/>
  <c r="AT22" i="25"/>
  <c r="AU22" i="25"/>
  <c r="AJ27" i="25"/>
  <c r="L29" i="25"/>
  <c r="AQ41" i="25"/>
  <c r="AR41" i="25"/>
  <c r="AS41" i="25"/>
  <c r="P46" i="25"/>
  <c r="AS46" i="25"/>
  <c r="E11" i="24"/>
  <c r="AT46" i="25"/>
  <c r="BI47" i="25"/>
  <c r="BI48" i="25"/>
  <c r="BI49" i="25"/>
  <c r="BI50" i="25"/>
  <c r="BI51" i="25"/>
  <c r="BI52" i="25"/>
  <c r="BI53" i="25"/>
  <c r="BI54" i="25"/>
  <c r="BI55" i="25"/>
  <c r="BI56" i="25"/>
  <c r="BI57" i="25"/>
  <c r="BI58" i="25"/>
  <c r="BI59" i="25"/>
  <c r="BI60" i="25"/>
  <c r="BI61" i="25"/>
  <c r="BI62" i="25"/>
  <c r="BI63" i="25"/>
  <c r="BI64" i="25"/>
  <c r="BI65" i="25"/>
  <c r="BI66" i="25"/>
  <c r="BI67" i="25"/>
  <c r="BI68" i="25"/>
  <c r="BI69" i="25"/>
  <c r="C19" i="34"/>
  <c r="E4" i="24"/>
  <c r="E5" i="24"/>
  <c r="E8" i="24"/>
  <c r="E10" i="24"/>
  <c r="E12" i="24"/>
  <c r="E13" i="24"/>
  <c r="E16" i="24"/>
  <c r="F26" i="24" s="1"/>
  <c r="E18" i="24"/>
  <c r="E19" i="24"/>
  <c r="F36" i="24"/>
  <c r="E4" i="23"/>
  <c r="E8" i="23"/>
  <c r="D5" i="32"/>
  <c r="E44" i="23"/>
  <c r="E50" i="23"/>
  <c r="E51" i="23"/>
  <c r="E52" i="23"/>
  <c r="E53" i="23"/>
  <c r="E54" i="23"/>
  <c r="E55" i="23"/>
  <c r="E59" i="23"/>
  <c r="E60" i="23"/>
  <c r="E61" i="23"/>
  <c r="H66" i="23"/>
  <c r="I66" i="23"/>
  <c r="H67" i="23"/>
  <c r="I67" i="23"/>
  <c r="H68" i="23"/>
  <c r="I68" i="23"/>
  <c r="H69" i="23"/>
  <c r="I69" i="23"/>
  <c r="H70" i="23"/>
  <c r="I70" i="23"/>
  <c r="H71" i="23"/>
  <c r="I71" i="23"/>
  <c r="H72" i="23"/>
  <c r="I72" i="23"/>
  <c r="H73" i="23"/>
  <c r="I73" i="23"/>
  <c r="H74" i="23"/>
  <c r="I74" i="23"/>
  <c r="H75" i="23"/>
  <c r="I75" i="23"/>
  <c r="H76" i="23"/>
  <c r="I76" i="23"/>
  <c r="H77" i="23"/>
  <c r="I77" i="23"/>
  <c r="H78" i="23"/>
  <c r="I78" i="23"/>
  <c r="H79" i="23"/>
  <c r="I79" i="23"/>
  <c r="H80" i="23"/>
  <c r="I80" i="23"/>
  <c r="H81" i="23"/>
  <c r="I81" i="23"/>
  <c r="H82" i="23"/>
  <c r="I82" i="23"/>
  <c r="H83" i="23"/>
  <c r="I83" i="23"/>
  <c r="H84" i="23"/>
  <c r="I84" i="23"/>
  <c r="H85" i="23"/>
  <c r="I85" i="23"/>
  <c r="H86" i="23"/>
  <c r="I86" i="23"/>
  <c r="H87" i="23"/>
  <c r="I87" i="23"/>
  <c r="H88" i="23"/>
  <c r="I88" i="23"/>
  <c r="H89" i="23"/>
  <c r="I89" i="23"/>
  <c r="H90" i="23"/>
  <c r="I90" i="23"/>
  <c r="I108" i="23"/>
  <c r="E109" i="23"/>
  <c r="K123" i="23" s="1"/>
  <c r="I109" i="23"/>
  <c r="E110" i="23"/>
  <c r="I110" i="23"/>
  <c r="E111" i="23"/>
  <c r="E112" i="23"/>
  <c r="E113" i="23"/>
  <c r="E98" i="23"/>
  <c r="F130" i="23"/>
  <c r="E114" i="23"/>
  <c r="E118" i="23"/>
  <c r="E119" i="23"/>
  <c r="E120" i="23"/>
  <c r="F120" i="23"/>
  <c r="F122" i="23"/>
  <c r="F124" i="23"/>
  <c r="K125" i="23"/>
  <c r="E130" i="23"/>
  <c r="E131" i="23"/>
  <c r="E132" i="23"/>
  <c r="E135" i="23"/>
  <c r="E136" i="23"/>
  <c r="E137" i="23"/>
  <c r="E144" i="23"/>
  <c r="E145" i="23"/>
  <c r="E146" i="23"/>
  <c r="L152" i="23"/>
  <c r="L153" i="23"/>
  <c r="L154" i="23"/>
  <c r="L155" i="23"/>
  <c r="L156" i="23"/>
  <c r="L157" i="23"/>
  <c r="L158" i="23"/>
  <c r="L159" i="23"/>
  <c r="L160" i="23"/>
  <c r="L161" i="23"/>
  <c r="L162" i="23"/>
  <c r="L163" i="23"/>
  <c r="L164" i="23"/>
  <c r="L165" i="23"/>
  <c r="L166" i="23"/>
  <c r="L167" i="23"/>
  <c r="L168" i="23"/>
  <c r="L169" i="23"/>
  <c r="L170" i="23"/>
  <c r="L171" i="23"/>
  <c r="L172" i="23"/>
  <c r="AY7" i="22"/>
  <c r="AZ7" i="22" s="1"/>
  <c r="AW24" i="25" s="1"/>
  <c r="AY24" i="25" s="1"/>
  <c r="BC7" i="22"/>
  <c r="BD7" i="22" s="1"/>
  <c r="BE7" i="22" s="1"/>
  <c r="AX24" i="25" s="1"/>
  <c r="AY8" i="22"/>
  <c r="AZ8" i="22" s="1"/>
  <c r="AW25" i="25" s="1"/>
  <c r="AY25" i="25" s="1"/>
  <c r="BC8" i="22"/>
  <c r="BD8" i="22"/>
  <c r="BE8" i="22"/>
  <c r="AX25" i="25"/>
  <c r="AY9" i="22"/>
  <c r="AZ9" i="22"/>
  <c r="AW26" i="25" s="1"/>
  <c r="AY26" i="25" s="1"/>
  <c r="BC9" i="22"/>
  <c r="BD9" i="22"/>
  <c r="BE9" i="22"/>
  <c r="AX26" i="25"/>
  <c r="AZ14" i="22"/>
  <c r="AW31" i="25" s="1"/>
  <c r="AY31" i="25" s="1"/>
  <c r="BD14" i="22"/>
  <c r="BE14" i="22" s="1"/>
  <c r="AX31" i="25" s="1"/>
  <c r="AZ15" i="22"/>
  <c r="AW32" i="25" s="1"/>
  <c r="AY32" i="25" s="1"/>
  <c r="BC15" i="22"/>
  <c r="BD15" i="22"/>
  <c r="BE15" i="22"/>
  <c r="AX32" i="25"/>
  <c r="AY16" i="22"/>
  <c r="AZ16" i="22" s="1"/>
  <c r="AW33" i="25" s="1"/>
  <c r="AY33" i="25" s="1"/>
  <c r="BC16" i="22"/>
  <c r="BD16" i="22" s="1"/>
  <c r="BE16" i="22" s="1"/>
  <c r="AX33" i="25" s="1"/>
  <c r="AY17" i="22"/>
  <c r="AZ17" i="22" s="1"/>
  <c r="AW34" i="25" s="1"/>
  <c r="AY34" i="25" s="1"/>
  <c r="BC17" i="22"/>
  <c r="BD17" i="22"/>
  <c r="BE17" i="22"/>
  <c r="AX34" i="25"/>
  <c r="AY18" i="22"/>
  <c r="AZ18" i="22"/>
  <c r="AW35" i="25" s="1"/>
  <c r="AY35" i="25" s="1"/>
  <c r="BC18" i="22"/>
  <c r="BD18" i="22"/>
  <c r="BE18" i="22"/>
  <c r="AX35" i="25"/>
  <c r="AZ23" i="22"/>
  <c r="AW40" i="25" s="1"/>
  <c r="AY40" i="25" s="1"/>
  <c r="BD23" i="22"/>
  <c r="BE23" i="22" s="1"/>
  <c r="AX40" i="25" s="1"/>
  <c r="AZ24" i="22"/>
  <c r="AW41" i="25" s="1"/>
  <c r="AY41" i="25" s="1"/>
  <c r="BD24" i="22"/>
  <c r="BE24" i="22" s="1"/>
  <c r="AX41" i="25" s="1"/>
  <c r="AZ29" i="22"/>
  <c r="AW46" i="25" s="1"/>
  <c r="AY46" i="25" s="1"/>
  <c r="BD29" i="22"/>
  <c r="BE29" i="22" s="1"/>
  <c r="AX46" i="25" s="1"/>
  <c r="AZ30" i="22"/>
  <c r="AW47" i="25" s="1"/>
  <c r="AY47" i="25" s="1"/>
  <c r="BD30" i="22"/>
  <c r="BE30" i="22" s="1"/>
  <c r="AX47" i="25" s="1"/>
  <c r="AY31" i="22"/>
  <c r="AZ31" i="22" s="1"/>
  <c r="AW48" i="25" s="1"/>
  <c r="AY48" i="25" s="1"/>
  <c r="BC31" i="22"/>
  <c r="BD31" i="22" s="1"/>
  <c r="BE31" i="22" s="1"/>
  <c r="AX48" i="25" s="1"/>
  <c r="AY32" i="22"/>
  <c r="AZ32" i="22" s="1"/>
  <c r="AW49" i="25" s="1"/>
  <c r="AY49" i="25" s="1"/>
  <c r="BC32" i="22"/>
  <c r="BD32" i="22" s="1"/>
  <c r="BE32" i="22" s="1"/>
  <c r="AX49" i="25" s="1"/>
  <c r="AY33" i="22"/>
  <c r="AZ33" i="22" s="1"/>
  <c r="AW50" i="25" s="1"/>
  <c r="AY50" i="25" s="1"/>
  <c r="BC33" i="22"/>
  <c r="BD33" i="22" s="1"/>
  <c r="BE33" i="22" s="1"/>
  <c r="AX50" i="25" s="1"/>
  <c r="AY34" i="22"/>
  <c r="AZ34" i="22" s="1"/>
  <c r="AW51" i="25" s="1"/>
  <c r="AY51" i="25" s="1"/>
  <c r="BC34" i="22"/>
  <c r="BD34" i="22" s="1"/>
  <c r="BE34" i="22" s="1"/>
  <c r="AX51" i="25" s="1"/>
  <c r="AY35" i="22"/>
  <c r="AZ35" i="22"/>
  <c r="AW52" i="25" s="1"/>
  <c r="AY52" i="25" s="1"/>
  <c r="BC35" i="22"/>
  <c r="BD35" i="22"/>
  <c r="BE35" i="22" s="1"/>
  <c r="AX52" i="25" s="1"/>
  <c r="AY36" i="22"/>
  <c r="AZ36" i="22"/>
  <c r="AW53" i="25" s="1"/>
  <c r="AY53" i="25" s="1"/>
  <c r="BC36" i="22"/>
  <c r="BD36" i="22"/>
  <c r="BE36" i="22" s="1"/>
  <c r="AX53" i="25" s="1"/>
  <c r="AZ39" i="22"/>
  <c r="AW56" i="25" s="1"/>
  <c r="AY56" i="25" s="1"/>
  <c r="BC39" i="22"/>
  <c r="BD39" i="22"/>
  <c r="BE39" i="22"/>
  <c r="AX56" i="25"/>
  <c r="AY40" i="22"/>
  <c r="AZ40" i="22" s="1"/>
  <c r="AW57" i="25" s="1"/>
  <c r="AY57" i="25" s="1"/>
  <c r="BC40" i="22"/>
  <c r="BD40" i="22" s="1"/>
  <c r="BE40" i="22" s="1"/>
  <c r="AX57" i="25" s="1"/>
  <c r="AY41" i="22"/>
  <c r="AZ41" i="22" s="1"/>
  <c r="AW58" i="25" s="1"/>
  <c r="AY58" i="25" s="1"/>
  <c r="BC41" i="22"/>
  <c r="BD41" i="22" s="1"/>
  <c r="BE41" i="22" s="1"/>
  <c r="AX58" i="25" s="1"/>
  <c r="AY42" i="22"/>
  <c r="AZ42" i="22" s="1"/>
  <c r="AW59" i="25" s="1"/>
  <c r="AY59" i="25" s="1"/>
  <c r="BC42" i="22"/>
  <c r="BD42" i="22" s="1"/>
  <c r="BE42" i="22" s="1"/>
  <c r="AX59" i="25" s="1"/>
  <c r="AY43" i="22"/>
  <c r="AZ43" i="22" s="1"/>
  <c r="AW60" i="25" s="1"/>
  <c r="AY60" i="25" s="1"/>
  <c r="BC43" i="22"/>
  <c r="BD43" i="22" s="1"/>
  <c r="BE43" i="22" s="1"/>
  <c r="AX60" i="25" s="1"/>
  <c r="AY44" i="22"/>
  <c r="AZ44" i="22"/>
  <c r="AW61" i="25" s="1"/>
  <c r="AY61" i="25" s="1"/>
  <c r="BC44" i="22"/>
  <c r="BD44" i="22"/>
  <c r="BE44" i="22" s="1"/>
  <c r="AX61" i="25" s="1"/>
  <c r="AY45" i="22"/>
  <c r="AZ45" i="22"/>
  <c r="AW62" i="25" s="1"/>
  <c r="AY62" i="25" s="1"/>
  <c r="BC45" i="22"/>
  <c r="BD45" i="22"/>
  <c r="BE45" i="22"/>
  <c r="AX62" i="25"/>
  <c r="AY46" i="22"/>
  <c r="AZ46" i="22" s="1"/>
  <c r="AW63" i="25" s="1"/>
  <c r="AY63" i="25" s="1"/>
  <c r="BC46" i="22"/>
  <c r="BD46" i="22" s="1"/>
  <c r="BE46" i="22" s="1"/>
  <c r="AX63" i="25" s="1"/>
  <c r="AY47" i="22"/>
  <c r="AZ47" i="22" s="1"/>
  <c r="AW64" i="25" s="1"/>
  <c r="AY64" i="25" s="1"/>
  <c r="BC47" i="22"/>
  <c r="BD47" i="22" s="1"/>
  <c r="BE47" i="22" s="1"/>
  <c r="AX64" i="25" s="1"/>
  <c r="AY48" i="22"/>
  <c r="AZ48" i="22" s="1"/>
  <c r="AW65" i="25" s="1"/>
  <c r="AY65" i="25" s="1"/>
  <c r="BC48" i="22"/>
  <c r="BD48" i="22" s="1"/>
  <c r="BE48" i="22" s="1"/>
  <c r="AX65" i="25" s="1"/>
  <c r="AY49" i="22"/>
  <c r="AZ49" i="22"/>
  <c r="AW66" i="25" s="1"/>
  <c r="AY66" i="25" s="1"/>
  <c r="BC49" i="22"/>
  <c r="BD49" i="22"/>
  <c r="BE49" i="22" s="1"/>
  <c r="AX66" i="25" s="1"/>
  <c r="AY50" i="22"/>
  <c r="AZ50" i="22"/>
  <c r="AW67" i="25" s="1"/>
  <c r="AY67" i="25" s="1"/>
  <c r="BC50" i="22"/>
  <c r="BD50" i="22"/>
  <c r="BE50" i="22" s="1"/>
  <c r="AX67" i="25" s="1"/>
  <c r="AY53" i="22"/>
  <c r="AZ53" i="22" s="1"/>
  <c r="AW70" i="25" s="1"/>
  <c r="AY70" i="25" s="1"/>
  <c r="BC53" i="22"/>
  <c r="BD53" i="22" s="1"/>
  <c r="BE53" i="22" s="1"/>
  <c r="AX70" i="25" s="1"/>
  <c r="AY54" i="22"/>
  <c r="AZ54" i="22" s="1"/>
  <c r="AW71" i="25" s="1"/>
  <c r="AY71" i="25" s="1"/>
  <c r="BC54" i="22"/>
  <c r="BD54" i="22" s="1"/>
  <c r="BE54" i="22" s="1"/>
  <c r="AX71" i="25" s="1"/>
  <c r="AY55" i="22"/>
  <c r="AZ55" i="22" s="1"/>
  <c r="AW72" i="25" s="1"/>
  <c r="AY72" i="25" s="1"/>
  <c r="BC55" i="22"/>
  <c r="BD55" i="22" s="1"/>
  <c r="BE55" i="22" s="1"/>
  <c r="AX72" i="25" s="1"/>
  <c r="AY56" i="22"/>
  <c r="AZ56" i="22" s="1"/>
  <c r="AW73" i="25" s="1"/>
  <c r="AY73" i="25" s="1"/>
  <c r="BC56" i="22"/>
  <c r="BD56" i="22" s="1"/>
  <c r="BE56" i="22" s="1"/>
  <c r="AX73" i="25" s="1"/>
  <c r="AY57" i="22"/>
  <c r="AZ57" i="22" s="1"/>
  <c r="AW74" i="25" s="1"/>
  <c r="AY74" i="25" s="1"/>
  <c r="BC57" i="22"/>
  <c r="BD57" i="22" s="1"/>
  <c r="BE57" i="22" s="1"/>
  <c r="AX74" i="25" s="1"/>
  <c r="AY58" i="22"/>
  <c r="AZ58" i="22"/>
  <c r="AW75" i="25" s="1"/>
  <c r="AY75" i="25" s="1"/>
  <c r="BC58" i="22"/>
  <c r="BD58" i="22"/>
  <c r="BE58" i="22" s="1"/>
  <c r="AX75" i="25" s="1"/>
  <c r="AY59" i="22"/>
  <c r="AZ59" i="22" s="1"/>
  <c r="AW76" i="25" s="1"/>
  <c r="AY76" i="25" s="1"/>
  <c r="BC59" i="22"/>
  <c r="BD59" i="22" s="1"/>
  <c r="BE59" i="22" s="1"/>
  <c r="AX76" i="25" s="1"/>
  <c r="AY60" i="22"/>
  <c r="AZ60" i="22" s="1"/>
  <c r="AW77" i="25" s="1"/>
  <c r="AY77" i="25" s="1"/>
  <c r="BC60" i="22"/>
  <c r="BD60" i="22" s="1"/>
  <c r="BE60" i="22" s="1"/>
  <c r="AX77" i="25" s="1"/>
  <c r="AY61" i="22"/>
  <c r="AZ61" i="22" s="1"/>
  <c r="AW78" i="25" s="1"/>
  <c r="AY78" i="25" s="1"/>
  <c r="BC61" i="22"/>
  <c r="BD61" i="22" s="1"/>
  <c r="BE61" i="22" s="1"/>
  <c r="AX78" i="25" s="1"/>
  <c r="AY62" i="22"/>
  <c r="AZ62" i="22" s="1"/>
  <c r="AW79" i="25" s="1"/>
  <c r="AY79" i="25" s="1"/>
  <c r="BC62" i="22"/>
  <c r="BD62" i="22" s="1"/>
  <c r="BE62" i="22" s="1"/>
  <c r="AX79" i="25" s="1"/>
  <c r="AY63" i="22"/>
  <c r="AZ63" i="22" s="1"/>
  <c r="AW80" i="25" s="1"/>
  <c r="AY80" i="25" s="1"/>
  <c r="BC63" i="22"/>
  <c r="BD63" i="22" s="1"/>
  <c r="BE63" i="22" s="1"/>
  <c r="AX80" i="25" s="1"/>
  <c r="AY64" i="22"/>
  <c r="AZ64" i="22"/>
  <c r="AW81" i="25" s="1"/>
  <c r="AY81" i="25" s="1"/>
  <c r="BC64" i="22"/>
  <c r="BD64" i="22"/>
  <c r="BE64" i="22" s="1"/>
  <c r="AX81" i="25" s="1"/>
  <c r="AY65" i="22"/>
  <c r="AZ65" i="22" s="1"/>
  <c r="AW82" i="25" s="1"/>
  <c r="AY82" i="25" s="1"/>
  <c r="BC65" i="22"/>
  <c r="BD65" i="22" s="1"/>
  <c r="BE65" i="22" s="1"/>
  <c r="AX82" i="25" s="1"/>
  <c r="AY66" i="22"/>
  <c r="AZ66" i="22" s="1"/>
  <c r="AW83" i="25" s="1"/>
  <c r="AY83" i="25" s="1"/>
  <c r="BC66" i="22"/>
  <c r="BD66" i="22" s="1"/>
  <c r="BE66" i="22" s="1"/>
  <c r="AX83" i="25" s="1"/>
  <c r="AY67" i="22"/>
  <c r="AZ67" i="22" s="1"/>
  <c r="AW84" i="25" s="1"/>
  <c r="AY84" i="25" s="1"/>
  <c r="BC67" i="22"/>
  <c r="BD67" i="22" s="1"/>
  <c r="BE67" i="22" s="1"/>
  <c r="AX84" i="25" s="1"/>
  <c r="AY68" i="22"/>
  <c r="AZ68" i="22" s="1"/>
  <c r="AW85" i="25" s="1"/>
  <c r="AY85" i="25" s="1"/>
  <c r="BC68" i="22"/>
  <c r="BD68" i="22" s="1"/>
  <c r="BE68" i="22" s="1"/>
  <c r="AX85" i="25" s="1"/>
  <c r="AY69" i="22"/>
  <c r="AZ69" i="22" s="1"/>
  <c r="AW86" i="25" s="1"/>
  <c r="AY86" i="25" s="1"/>
  <c r="BC69" i="22"/>
  <c r="BD69" i="22" s="1"/>
  <c r="BE69" i="22" s="1"/>
  <c r="AX86" i="25" s="1"/>
  <c r="AY70" i="22"/>
  <c r="AZ70" i="22"/>
  <c r="AW87" i="25" s="1"/>
  <c r="AY87" i="25" s="1"/>
  <c r="BC70" i="22"/>
  <c r="BD70" i="22"/>
  <c r="BE70" i="22" s="1"/>
  <c r="AX87" i="25" s="1"/>
  <c r="AY71" i="22"/>
  <c r="AZ71" i="22" s="1"/>
  <c r="BC71" i="22"/>
  <c r="BD71" i="22"/>
  <c r="BE71" i="22"/>
  <c r="AY72" i="22"/>
  <c r="AZ72" i="22" s="1"/>
  <c r="BC72" i="22"/>
  <c r="BD72" i="22"/>
  <c r="BE72" i="22"/>
  <c r="AY73" i="22"/>
  <c r="AZ73" i="22"/>
  <c r="BC73" i="22"/>
  <c r="BD73" i="22"/>
  <c r="BE73" i="22"/>
  <c r="AY74" i="22"/>
  <c r="AZ74" i="22"/>
  <c r="BC74" i="22"/>
  <c r="BD74" i="22"/>
  <c r="BE74" i="22"/>
  <c r="AY75" i="22"/>
  <c r="AZ75" i="22" s="1"/>
  <c r="AW92" i="25" s="1"/>
  <c r="AY92" i="25" s="1"/>
  <c r="BC75" i="22"/>
  <c r="BD75" i="22" s="1"/>
  <c r="BE75" i="22" s="1"/>
  <c r="AX92" i="25" s="1"/>
  <c r="AY76" i="22"/>
  <c r="AZ76" i="22" s="1"/>
  <c r="AW93" i="25" s="1"/>
  <c r="AY93" i="25" s="1"/>
  <c r="BC76" i="22"/>
  <c r="BD76" i="22" s="1"/>
  <c r="BE76" i="22" s="1"/>
  <c r="AX93" i="25" s="1"/>
  <c r="AY77" i="22"/>
  <c r="AZ77" i="22" s="1"/>
  <c r="AW94" i="25" s="1"/>
  <c r="AY94" i="25" s="1"/>
  <c r="BC77" i="22"/>
  <c r="BD77" i="22" s="1"/>
  <c r="BE77" i="22" s="1"/>
  <c r="AX94" i="25" s="1"/>
  <c r="AY78" i="22"/>
  <c r="AZ78" i="22" s="1"/>
  <c r="AW95" i="25" s="1"/>
  <c r="AY95" i="25" s="1"/>
  <c r="BC78" i="22"/>
  <c r="BD78" i="22" s="1"/>
  <c r="BE78" i="22" s="1"/>
  <c r="AX95" i="25" s="1"/>
  <c r="AY79" i="22"/>
  <c r="AZ79" i="22" s="1"/>
  <c r="AW96" i="25" s="1"/>
  <c r="AY96" i="25" s="1"/>
  <c r="BC79" i="22"/>
  <c r="BD79" i="22" s="1"/>
  <c r="BE79" i="22" s="1"/>
  <c r="AX96" i="25" s="1"/>
  <c r="AY80" i="22"/>
  <c r="AZ80" i="22" s="1"/>
  <c r="AW97" i="25" s="1"/>
  <c r="AY97" i="25" s="1"/>
  <c r="BC80" i="22"/>
  <c r="BD80" i="22" s="1"/>
  <c r="BE80" i="22" s="1"/>
  <c r="AX97" i="25" s="1"/>
  <c r="AY81" i="22"/>
  <c r="AZ81" i="22" s="1"/>
  <c r="AW98" i="25" s="1"/>
  <c r="AY98" i="25" s="1"/>
  <c r="BC81" i="22"/>
  <c r="BD81" i="22" s="1"/>
  <c r="BE81" i="22" s="1"/>
  <c r="AX98" i="25" s="1"/>
  <c r="AY82" i="22"/>
  <c r="AZ82" i="22" s="1"/>
  <c r="AW99" i="25" s="1"/>
  <c r="AY99" i="25" s="1"/>
  <c r="BC82" i="22"/>
  <c r="BD82" i="22" s="1"/>
  <c r="BE82" i="22" s="1"/>
  <c r="AX99" i="25" s="1"/>
  <c r="AY83" i="22"/>
  <c r="AZ83" i="22" s="1"/>
  <c r="AW100" i="25" s="1"/>
  <c r="AY100" i="25" s="1"/>
  <c r="BC83" i="22"/>
  <c r="BD83" i="22" s="1"/>
  <c r="BE83" i="22" s="1"/>
  <c r="AX100" i="25" s="1"/>
  <c r="AY84" i="22"/>
  <c r="AZ84" i="22" s="1"/>
  <c r="AW101" i="25" s="1"/>
  <c r="AY101" i="25" s="1"/>
  <c r="BC84" i="22"/>
  <c r="BD84" i="22" s="1"/>
  <c r="BE84" i="22" s="1"/>
  <c r="AX101" i="25" s="1"/>
  <c r="AY85" i="22"/>
  <c r="AZ85" i="22" s="1"/>
  <c r="AW102" i="25" s="1"/>
  <c r="AY102" i="25" s="1"/>
  <c r="BC85" i="22"/>
  <c r="BD85" i="22" s="1"/>
  <c r="BE85" i="22" s="1"/>
  <c r="AX102" i="25" s="1"/>
  <c r="AY86" i="22"/>
  <c r="AZ86" i="22" s="1"/>
  <c r="AW103" i="25" s="1"/>
  <c r="AY103" i="25" s="1"/>
  <c r="BC86" i="22"/>
  <c r="BD86" i="22" s="1"/>
  <c r="BE86" i="22" s="1"/>
  <c r="AX103" i="25" s="1"/>
  <c r="AY87" i="22"/>
  <c r="AZ87" i="22" s="1"/>
  <c r="AW104" i="25" s="1"/>
  <c r="AY104" i="25" s="1"/>
  <c r="BC87" i="22"/>
  <c r="BD87" i="22" s="1"/>
  <c r="BE87" i="22" s="1"/>
  <c r="AX104" i="25" s="1"/>
  <c r="AY88" i="22"/>
  <c r="AZ88" i="22" s="1"/>
  <c r="AW105" i="25" s="1"/>
  <c r="AY105" i="25" s="1"/>
  <c r="BC88" i="22"/>
  <c r="BD88" i="22" s="1"/>
  <c r="BE88" i="22" s="1"/>
  <c r="AX105" i="25" s="1"/>
  <c r="AY89" i="22"/>
  <c r="AZ89" i="22" s="1"/>
  <c r="AW106" i="25" s="1"/>
  <c r="AY106" i="25" s="1"/>
  <c r="BC89" i="22"/>
  <c r="BD89" i="22" s="1"/>
  <c r="BE89" i="22" s="1"/>
  <c r="AX106" i="25" s="1"/>
  <c r="AY90" i="22"/>
  <c r="AZ90" i="22" s="1"/>
  <c r="AW107" i="25" s="1"/>
  <c r="AY107" i="25" s="1"/>
  <c r="BC90" i="22"/>
  <c r="BD90" i="22" s="1"/>
  <c r="BE90" i="22" s="1"/>
  <c r="AX107" i="25" s="1"/>
  <c r="AY91" i="22"/>
  <c r="AZ91" i="22" s="1"/>
  <c r="AW108" i="25" s="1"/>
  <c r="AY108" i="25" s="1"/>
  <c r="BC91" i="22"/>
  <c r="BD91" i="22" s="1"/>
  <c r="BE91" i="22" s="1"/>
  <c r="AX108" i="25" s="1"/>
  <c r="AY92" i="22"/>
  <c r="AZ92" i="22" s="1"/>
  <c r="AW109" i="25" s="1"/>
  <c r="AY109" i="25" s="1"/>
  <c r="BC92" i="22"/>
  <c r="BD92" i="22" s="1"/>
  <c r="BE92" i="22" s="1"/>
  <c r="AX109" i="25" s="1"/>
  <c r="AY93" i="22"/>
  <c r="AZ93" i="22" s="1"/>
  <c r="BC93" i="22"/>
  <c r="BD93" i="22"/>
  <c r="BE93" i="22"/>
  <c r="AY94" i="22"/>
  <c r="AZ94" i="22" s="1"/>
  <c r="BC94" i="22"/>
  <c r="BD94" i="22"/>
  <c r="BE94" i="22"/>
  <c r="AY95" i="22"/>
  <c r="AZ95" i="22"/>
  <c r="BC95" i="22"/>
  <c r="BD95" i="22"/>
  <c r="BE95" i="22"/>
  <c r="AY96" i="22"/>
  <c r="AZ96" i="22"/>
  <c r="BC96" i="22"/>
  <c r="BD96" i="22"/>
  <c r="BE96" i="22"/>
  <c r="Q105" i="22"/>
  <c r="R105" i="22"/>
  <c r="S105" i="22"/>
  <c r="T105" i="22"/>
  <c r="U105" i="22"/>
  <c r="V105" i="22"/>
  <c r="W105" i="22"/>
  <c r="X105" i="22"/>
  <c r="Y105" i="22"/>
  <c r="Z105" i="22"/>
  <c r="AA105" i="22"/>
  <c r="AB105" i="22"/>
  <c r="AC105" i="22"/>
  <c r="AD105" i="22"/>
  <c r="AE105" i="22"/>
  <c r="AF105" i="22"/>
  <c r="AG105" i="22"/>
  <c r="AH105" i="22"/>
  <c r="AI105" i="22"/>
  <c r="AJ105" i="22"/>
  <c r="AK105" i="22"/>
  <c r="AL105" i="22"/>
  <c r="O108" i="22"/>
  <c r="Q108" i="22"/>
  <c r="R108" i="22"/>
  <c r="S108" i="22"/>
  <c r="T108" i="22"/>
  <c r="U108" i="22"/>
  <c r="V108" i="22"/>
  <c r="W108" i="22"/>
  <c r="X108" i="22"/>
  <c r="Y108" i="22"/>
  <c r="Z108" i="22"/>
  <c r="AA108" i="22"/>
  <c r="AB108" i="22"/>
  <c r="AC108" i="22"/>
  <c r="AD108" i="22"/>
  <c r="AE108" i="22"/>
  <c r="AF108" i="22"/>
  <c r="AG108" i="22"/>
  <c r="AH108" i="22"/>
  <c r="AI108" i="22"/>
  <c r="AJ108" i="22"/>
  <c r="AK108" i="22"/>
  <c r="AL108" i="22"/>
  <c r="AM108" i="22"/>
  <c r="AN108" i="22"/>
  <c r="AO108" i="22"/>
  <c r="AP108" i="22"/>
  <c r="AQ108" i="22"/>
  <c r="AR108" i="22"/>
  <c r="AS108" i="22"/>
  <c r="AT108" i="22"/>
  <c r="AU108" i="22"/>
  <c r="AV108" i="22"/>
  <c r="U109" i="22"/>
  <c r="V109" i="22"/>
  <c r="W109" i="22"/>
  <c r="X109" i="22"/>
  <c r="Y109" i="22"/>
  <c r="Z109" i="22"/>
  <c r="AA109" i="22"/>
  <c r="AB109" i="22"/>
  <c r="AC109" i="22"/>
  <c r="AD109" i="22"/>
  <c r="AE109" i="22"/>
  <c r="AF109" i="22"/>
  <c r="AG109" i="22"/>
  <c r="AH109" i="22"/>
  <c r="AI109" i="22"/>
  <c r="AJ109" i="22"/>
  <c r="AK109" i="22"/>
  <c r="AL109" i="22"/>
  <c r="AM109" i="22"/>
  <c r="AN109" i="22"/>
  <c r="AO109" i="22"/>
  <c r="AP109" i="22"/>
  <c r="AQ109" i="22"/>
  <c r="AR109" i="22"/>
  <c r="AS109" i="22"/>
  <c r="AT109" i="22"/>
  <c r="AU109" i="22"/>
  <c r="AV109" i="22"/>
  <c r="AA110" i="22"/>
  <c r="AB110" i="22"/>
  <c r="AC110" i="22"/>
  <c r="AD110" i="22"/>
  <c r="AE110" i="22"/>
  <c r="AF110" i="22"/>
  <c r="AG110" i="22"/>
  <c r="AH110" i="22"/>
  <c r="AI110" i="22"/>
  <c r="AJ110" i="22"/>
  <c r="AK110" i="22"/>
  <c r="AL110" i="22"/>
  <c r="AM110" i="22"/>
  <c r="AN110" i="22"/>
  <c r="AO110" i="22"/>
  <c r="AP110" i="22"/>
  <c r="AQ110" i="22"/>
  <c r="AR110" i="22"/>
  <c r="AS110" i="22"/>
  <c r="AT110" i="22"/>
  <c r="AU110" i="22"/>
  <c r="AV110" i="22"/>
  <c r="AD111" i="22"/>
  <c r="AE111" i="22"/>
  <c r="AF111" i="22"/>
  <c r="AG111" i="22"/>
  <c r="AH111" i="22"/>
  <c r="AI111" i="22"/>
  <c r="AJ111" i="22"/>
  <c r="AK111" i="22"/>
  <c r="AL111" i="22"/>
  <c r="AM111" i="22"/>
  <c r="AN111" i="22"/>
  <c r="AO111" i="22"/>
  <c r="AP111" i="22"/>
  <c r="AQ111" i="22"/>
  <c r="AR111" i="22"/>
  <c r="AS111" i="22"/>
  <c r="AT111" i="22"/>
  <c r="AU111" i="22"/>
  <c r="AV111" i="22"/>
  <c r="AO112" i="22"/>
  <c r="AP112" i="22"/>
  <c r="AQ112" i="22"/>
  <c r="AR112" i="22"/>
  <c r="AS112" i="22"/>
  <c r="AT112" i="22"/>
  <c r="AU112" i="22"/>
  <c r="AV112" i="22"/>
  <c r="Q114" i="22"/>
  <c r="R114" i="22"/>
  <c r="S114" i="22"/>
  <c r="T114" i="22"/>
  <c r="U114" i="22"/>
  <c r="V114" i="22"/>
  <c r="W114" i="22"/>
  <c r="X114" i="22"/>
  <c r="Y114" i="22"/>
  <c r="Z114" i="22"/>
  <c r="AA114" i="22"/>
  <c r="AB114" i="22"/>
  <c r="AC114" i="22"/>
  <c r="AD114" i="22"/>
  <c r="AE114" i="22"/>
  <c r="AF114" i="22"/>
  <c r="AG114" i="22"/>
  <c r="AH114" i="22"/>
  <c r="AI114" i="22"/>
  <c r="AJ114" i="22"/>
  <c r="AK114" i="22"/>
  <c r="AL114" i="22"/>
  <c r="AM114" i="22"/>
  <c r="AN114" i="22"/>
  <c r="AO114" i="22"/>
  <c r="AP114" i="22"/>
  <c r="AQ114" i="22"/>
  <c r="AR114" i="22"/>
  <c r="AS114" i="22"/>
  <c r="AT114" i="22"/>
  <c r="AU114" i="22"/>
  <c r="AV114" i="22"/>
  <c r="O117" i="22"/>
  <c r="P117" i="22"/>
  <c r="Q117" i="22"/>
  <c r="R117" i="22"/>
  <c r="S117" i="22"/>
  <c r="T117" i="22"/>
  <c r="U117" i="22"/>
  <c r="V117" i="22"/>
  <c r="W117" i="22"/>
  <c r="X117" i="22"/>
  <c r="Y117" i="22"/>
  <c r="Z117" i="22"/>
  <c r="AA117" i="22"/>
  <c r="AB117" i="22"/>
  <c r="AC117" i="22"/>
  <c r="AD117" i="22"/>
  <c r="AE117" i="22"/>
  <c r="AF117" i="22"/>
  <c r="AG117" i="22"/>
  <c r="S118" i="22"/>
  <c r="T118" i="22"/>
  <c r="U118" i="22"/>
  <c r="V118" i="22"/>
  <c r="W118" i="22"/>
  <c r="X118" i="22"/>
  <c r="Y118" i="22"/>
  <c r="Z118" i="22"/>
  <c r="AA118" i="22"/>
  <c r="AB118" i="22"/>
  <c r="AC118" i="22"/>
  <c r="AD118" i="22"/>
  <c r="AE118" i="22"/>
  <c r="AF118" i="22"/>
  <c r="AG118" i="22"/>
  <c r="AH118" i="22"/>
  <c r="AI118" i="22"/>
  <c r="AJ118" i="22"/>
  <c r="AK118" i="22"/>
  <c r="AL118" i="22"/>
  <c r="AM118" i="22"/>
  <c r="AN118" i="22"/>
  <c r="AO118" i="22"/>
  <c r="AP118" i="22"/>
  <c r="AQ118" i="22"/>
  <c r="AR118" i="22"/>
  <c r="AS118" i="22"/>
  <c r="AT118" i="22"/>
  <c r="AU118" i="22"/>
  <c r="AV118" i="22"/>
  <c r="Y119" i="22"/>
  <c r="Z119" i="22"/>
  <c r="AA119" i="22"/>
  <c r="AB119" i="22"/>
  <c r="AC119" i="22"/>
  <c r="AD119" i="22"/>
  <c r="AB120" i="22"/>
  <c r="AC120" i="22"/>
  <c r="AD120" i="22"/>
  <c r="AE120" i="22"/>
  <c r="AF120" i="22"/>
  <c r="AG120" i="22"/>
  <c r="AH120" i="22"/>
  <c r="AI120" i="22"/>
  <c r="AJ120" i="22"/>
  <c r="AK120" i="22"/>
  <c r="AM121" i="22"/>
  <c r="AN121" i="22"/>
  <c r="AO121" i="22"/>
  <c r="AP121" i="22"/>
  <c r="AQ121" i="22"/>
  <c r="AR121" i="22"/>
  <c r="AS121" i="22"/>
  <c r="AT121" i="22"/>
  <c r="AU121" i="22"/>
  <c r="AV121" i="22"/>
  <c r="O123" i="22"/>
  <c r="P123" i="22"/>
  <c r="Q123" i="22"/>
  <c r="R123" i="22"/>
  <c r="S123" i="22"/>
  <c r="T123" i="22"/>
  <c r="U123" i="22"/>
  <c r="V123" i="22"/>
  <c r="W123" i="22"/>
  <c r="X123" i="22"/>
  <c r="Y123" i="22"/>
  <c r="Z123" i="22"/>
  <c r="AA123" i="22"/>
  <c r="AB123" i="22"/>
  <c r="AC123" i="22"/>
  <c r="AD123" i="22"/>
  <c r="AE123" i="22"/>
  <c r="AF123" i="22"/>
  <c r="AG123" i="22"/>
  <c r="AH123" i="22"/>
  <c r="AI123" i="22"/>
  <c r="AJ123" i="22"/>
  <c r="AK123" i="22"/>
  <c r="AL123" i="22"/>
  <c r="AM123" i="22"/>
  <c r="AN123" i="22"/>
  <c r="AO123" i="22"/>
  <c r="AP123" i="22"/>
  <c r="AQ123" i="22"/>
  <c r="AR123" i="22"/>
  <c r="AS123" i="22"/>
  <c r="AT123" i="22"/>
  <c r="S124" i="22"/>
  <c r="T124" i="22"/>
  <c r="U124" i="22"/>
  <c r="V124" i="22"/>
  <c r="W124" i="22"/>
  <c r="X124" i="22"/>
  <c r="Y124" i="22"/>
  <c r="Z124" i="22"/>
  <c r="AA124" i="22"/>
  <c r="AB124" i="22"/>
  <c r="AC124" i="22"/>
  <c r="AD124" i="22"/>
  <c r="AE124" i="22"/>
  <c r="AF124" i="22"/>
  <c r="AG124" i="22"/>
  <c r="AH124" i="22"/>
  <c r="AI124" i="22"/>
  <c r="AJ124" i="22"/>
  <c r="AK124" i="22"/>
  <c r="AL124" i="22"/>
  <c r="AM124" i="22"/>
  <c r="AN124" i="22"/>
  <c r="AO124" i="22"/>
  <c r="AP124" i="22"/>
  <c r="AQ124" i="22"/>
  <c r="AR124" i="22"/>
  <c r="AS124" i="22"/>
  <c r="AT124" i="22"/>
  <c r="AU124" i="22"/>
  <c r="AV124" i="22"/>
  <c r="X125" i="22"/>
  <c r="Y125" i="22"/>
  <c r="Z125" i="22"/>
  <c r="AA125" i="22"/>
  <c r="AB125" i="22"/>
  <c r="AC125" i="22"/>
  <c r="AD125" i="22"/>
  <c r="AE125" i="22"/>
  <c r="AF125" i="22"/>
  <c r="AG125" i="22"/>
  <c r="AH125" i="22"/>
  <c r="AI125" i="22"/>
  <c r="AJ125" i="22"/>
  <c r="AK125" i="22"/>
  <c r="AA126" i="22"/>
  <c r="AB126" i="22"/>
  <c r="AC126" i="22"/>
  <c r="AD126" i="22"/>
  <c r="AE126" i="22"/>
  <c r="AF126" i="22"/>
  <c r="AB127" i="22"/>
  <c r="AC127" i="22"/>
  <c r="AD127" i="22"/>
  <c r="AE127" i="22"/>
  <c r="AV128" i="22"/>
  <c r="O129" i="22"/>
  <c r="P129" i="22"/>
  <c r="Q129" i="22"/>
  <c r="R129" i="22"/>
  <c r="S129" i="22"/>
  <c r="T129" i="22"/>
  <c r="U129" i="22"/>
  <c r="V129" i="22"/>
  <c r="W129" i="22"/>
  <c r="X129" i="22"/>
  <c r="Y129" i="22"/>
  <c r="Z129" i="22"/>
  <c r="AA129" i="22"/>
  <c r="AB129" i="22"/>
  <c r="AC129" i="22"/>
  <c r="AD129" i="22"/>
  <c r="AE129" i="22"/>
  <c r="AF129" i="22"/>
  <c r="AG129" i="22"/>
  <c r="AH129" i="22"/>
  <c r="AI129" i="22"/>
  <c r="AJ129" i="22"/>
  <c r="AK129" i="22"/>
  <c r="AL129" i="22"/>
  <c r="AM129" i="22"/>
  <c r="AN129" i="22"/>
  <c r="AO129" i="22"/>
  <c r="AP129" i="22"/>
  <c r="AQ129" i="22"/>
  <c r="AR129" i="22"/>
  <c r="AS129" i="22"/>
  <c r="AT129" i="22"/>
  <c r="AU129" i="22"/>
  <c r="AV129" i="22"/>
  <c r="S130" i="22"/>
  <c r="T130" i="22"/>
  <c r="U130" i="22"/>
  <c r="V130" i="22"/>
  <c r="W130" i="22"/>
  <c r="X130" i="22"/>
  <c r="AA135" i="22"/>
  <c r="AB135" i="22"/>
  <c r="AC135" i="22"/>
  <c r="AD135" i="22"/>
  <c r="AH136" i="22"/>
  <c r="AI136" i="22"/>
  <c r="AJ136" i="22"/>
  <c r="AK136" i="22"/>
  <c r="AL136" i="22"/>
  <c r="AM136" i="22"/>
  <c r="O138" i="22"/>
  <c r="P138" i="22"/>
  <c r="Q138" i="22"/>
  <c r="R138" i="22"/>
  <c r="S138" i="22"/>
  <c r="T138" i="22"/>
  <c r="U138" i="22"/>
  <c r="V138" i="22"/>
  <c r="W138" i="22"/>
  <c r="X138" i="22"/>
  <c r="Y138" i="22"/>
  <c r="Z138" i="22"/>
  <c r="AA138" i="22"/>
  <c r="AB138" i="22"/>
  <c r="S139" i="22"/>
  <c r="T139" i="22"/>
  <c r="U139" i="22"/>
  <c r="V139" i="22"/>
  <c r="W139" i="22"/>
  <c r="X139" i="22"/>
  <c r="Y139" i="22"/>
  <c r="Z139" i="22"/>
  <c r="AA139" i="22"/>
  <c r="AB139" i="22"/>
  <c r="AC139" i="22"/>
  <c r="W140" i="22"/>
  <c r="X140" i="22"/>
  <c r="Y140" i="22"/>
  <c r="Z140" i="22"/>
  <c r="AA140" i="22"/>
  <c r="AA141" i="22"/>
  <c r="AB141" i="22"/>
  <c r="AC141" i="22"/>
  <c r="AD141" i="22"/>
  <c r="AE141" i="22"/>
  <c r="AF141" i="22"/>
  <c r="AG141" i="22"/>
  <c r="AH141" i="22"/>
  <c r="AI141" i="22"/>
  <c r="AJ141" i="22"/>
  <c r="AK141" i="22"/>
  <c r="AL141" i="22"/>
  <c r="AM141" i="22"/>
  <c r="AN141" i="22"/>
  <c r="AO141" i="22"/>
  <c r="AP141" i="22"/>
  <c r="AQ141" i="22"/>
  <c r="AL142" i="22"/>
  <c r="AM142" i="22"/>
  <c r="AN142" i="22"/>
  <c r="AO142" i="22"/>
  <c r="AP142" i="22"/>
  <c r="AQ142" i="22"/>
  <c r="AR142" i="22"/>
  <c r="AS142" i="22"/>
  <c r="AT142" i="22"/>
  <c r="AU142" i="22"/>
  <c r="O144" i="22"/>
  <c r="P144" i="22"/>
  <c r="S145" i="22"/>
  <c r="T145" i="22"/>
  <c r="U145" i="22"/>
  <c r="W146" i="22"/>
  <c r="X146" i="22"/>
  <c r="Y146" i="22"/>
  <c r="Z146" i="22"/>
  <c r="AA146" i="22"/>
  <c r="AB146" i="22"/>
  <c r="AA147" i="22"/>
  <c r="AB147" i="22"/>
  <c r="AC147" i="22"/>
  <c r="AD147" i="22"/>
  <c r="AE147" i="22"/>
  <c r="AF147" i="22"/>
  <c r="AG147" i="22"/>
  <c r="AH147" i="22"/>
  <c r="AI147" i="22"/>
  <c r="AL148" i="22"/>
  <c r="AM148" i="22"/>
  <c r="AN148" i="22"/>
  <c r="AO148" i="22"/>
  <c r="S149" i="22"/>
  <c r="T149" i="22"/>
  <c r="U149" i="22"/>
  <c r="V149" i="22"/>
  <c r="W149" i="22"/>
  <c r="X149" i="22"/>
  <c r="Y149" i="22"/>
  <c r="U150" i="22"/>
  <c r="V150" i="22"/>
  <c r="O151" i="22"/>
  <c r="P151" i="22"/>
  <c r="Q151" i="22"/>
  <c r="R151" i="22"/>
  <c r="S151" i="22"/>
  <c r="T151" i="22"/>
  <c r="U151" i="22"/>
  <c r="V151" i="22"/>
  <c r="W151" i="22"/>
  <c r="X151" i="22"/>
  <c r="Y151" i="22"/>
  <c r="Z151" i="22"/>
  <c r="U152" i="22"/>
  <c r="O153" i="22"/>
  <c r="AB154" i="22"/>
  <c r="AC154" i="22"/>
  <c r="AD154" i="22"/>
  <c r="AJ155" i="22"/>
  <c r="AK155" i="22"/>
  <c r="AL155" i="22"/>
  <c r="AM155" i="22"/>
  <c r="AN155" i="22"/>
  <c r="AQ156" i="22"/>
  <c r="AR156" i="22"/>
  <c r="AS156" i="22"/>
  <c r="O157" i="22"/>
  <c r="P157" i="22"/>
  <c r="U158" i="22"/>
  <c r="V158" i="22"/>
  <c r="W158" i="22"/>
  <c r="X158" i="22"/>
  <c r="Y158" i="22"/>
  <c r="Z158" i="22"/>
  <c r="AA158" i="22"/>
  <c r="AB158" i="22"/>
  <c r="O159" i="22"/>
  <c r="P159" i="22"/>
  <c r="AB160" i="22"/>
  <c r="AC160" i="22"/>
  <c r="AD160" i="22"/>
  <c r="AE160" i="22"/>
  <c r="AF160" i="22"/>
  <c r="AG160" i="22"/>
  <c r="AH160" i="22"/>
  <c r="AJ161" i="22"/>
  <c r="AQ162" i="22"/>
  <c r="AR162" i="22"/>
  <c r="AS162" i="22"/>
  <c r="AT162" i="22"/>
  <c r="AU162" i="22"/>
  <c r="AV162" i="22"/>
  <c r="O163" i="22"/>
  <c r="P163" i="22"/>
  <c r="Q163" i="22"/>
  <c r="R163" i="22"/>
  <c r="S163" i="22"/>
  <c r="T163" i="22"/>
  <c r="U163" i="22"/>
  <c r="V163" i="22"/>
  <c r="U164" i="22"/>
  <c r="V164" i="22"/>
  <c r="W164" i="22"/>
  <c r="X164" i="22"/>
  <c r="O165" i="22"/>
  <c r="P165" i="22"/>
  <c r="Q165" i="22"/>
  <c r="R165" i="22"/>
  <c r="S165" i="22"/>
  <c r="T165" i="22"/>
  <c r="U165" i="22"/>
  <c r="V165" i="22"/>
  <c r="W165" i="22"/>
  <c r="X165" i="22"/>
  <c r="Y165" i="22"/>
  <c r="Z165" i="22"/>
  <c r="AA165" i="22"/>
  <c r="AB165" i="22"/>
  <c r="AC165" i="22"/>
  <c r="AD165" i="22"/>
  <c r="AE165" i="22"/>
  <c r="AF165" i="22"/>
  <c r="AG165" i="22"/>
  <c r="AH165" i="22"/>
  <c r="AI165" i="22"/>
  <c r="AJ165" i="22"/>
  <c r="AK165" i="22"/>
  <c r="AL165" i="22"/>
  <c r="AM165" i="22"/>
  <c r="AN165" i="22"/>
  <c r="AO165" i="22"/>
  <c r="AP165" i="22"/>
  <c r="AQ165" i="22"/>
  <c r="AR165" i="22"/>
  <c r="AS165" i="22"/>
  <c r="AB166" i="22"/>
  <c r="AC166" i="22"/>
  <c r="AD166" i="22"/>
  <c r="AE166" i="22"/>
  <c r="AF166" i="22"/>
  <c r="AG166" i="22"/>
  <c r="AH166" i="22"/>
  <c r="AI166" i="22"/>
  <c r="AJ166" i="22"/>
  <c r="AK166" i="22"/>
  <c r="AL166" i="22"/>
  <c r="AM166" i="22"/>
  <c r="AN166" i="22"/>
  <c r="AO166" i="22"/>
  <c r="AP166" i="22"/>
  <c r="AQ166" i="22"/>
  <c r="AJ167" i="22"/>
  <c r="AK167" i="22"/>
  <c r="AL167" i="22"/>
  <c r="AM167" i="22"/>
  <c r="AN167" i="22"/>
  <c r="AO167" i="22"/>
  <c r="AP167" i="22"/>
  <c r="AQ167" i="22"/>
  <c r="AR167" i="22"/>
  <c r="AS167" i="22"/>
  <c r="AT167" i="22"/>
  <c r="AU167" i="22"/>
  <c r="AV167" i="22"/>
  <c r="AQ168" i="22"/>
  <c r="AR168" i="22"/>
  <c r="AS168" i="22"/>
  <c r="AT168" i="22"/>
  <c r="AU168" i="22"/>
  <c r="AV168" i="22"/>
  <c r="O173" i="22"/>
  <c r="P173" i="22"/>
  <c r="Q173" i="22"/>
  <c r="R173" i="22"/>
  <c r="S173" i="22"/>
  <c r="T173" i="22"/>
  <c r="U173" i="22"/>
  <c r="V173" i="22"/>
  <c r="W173" i="22"/>
  <c r="X173" i="22"/>
  <c r="Y173" i="22"/>
  <c r="Z173" i="22"/>
  <c r="U174" i="22"/>
  <c r="V174" i="22"/>
  <c r="W174" i="22"/>
  <c r="X174" i="22"/>
  <c r="Y174" i="22"/>
  <c r="Z174" i="22"/>
  <c r="AA174" i="22"/>
  <c r="AB174" i="22"/>
  <c r="AC174" i="22"/>
  <c r="AE174" i="22"/>
  <c r="AF174" i="22"/>
  <c r="AG174" i="22"/>
  <c r="AH174" i="22"/>
  <c r="AI174" i="22"/>
  <c r="AJ174" i="22"/>
  <c r="AK174" i="22"/>
  <c r="AL174" i="22"/>
  <c r="O175" i="22"/>
  <c r="P175" i="22"/>
  <c r="Q175" i="22"/>
  <c r="R175" i="22"/>
  <c r="S175" i="22"/>
  <c r="T175" i="22"/>
  <c r="U175" i="22"/>
  <c r="V175" i="22"/>
  <c r="W175" i="22"/>
  <c r="X175" i="22"/>
  <c r="Y175" i="22"/>
  <c r="Z175" i="22"/>
  <c r="AA175" i="22"/>
  <c r="AB175" i="22"/>
  <c r="AC175" i="22"/>
  <c r="AD175" i="22"/>
  <c r="X176" i="22"/>
  <c r="Y176" i="22"/>
  <c r="Z176" i="22"/>
  <c r="AA176" i="22"/>
  <c r="AB176" i="22"/>
  <c r="AC176" i="22"/>
  <c r="AD176" i="22"/>
  <c r="AE176" i="22"/>
  <c r="AF176" i="22"/>
  <c r="AG176" i="22"/>
  <c r="AH176" i="22"/>
  <c r="AI176" i="22"/>
  <c r="AJ176" i="22"/>
  <c r="AK176" i="22"/>
  <c r="AL176" i="22"/>
  <c r="AM176" i="22"/>
  <c r="AN176" i="22"/>
  <c r="AO176" i="22"/>
  <c r="AP176" i="22"/>
  <c r="U177" i="22"/>
  <c r="V177" i="22"/>
  <c r="W177" i="22"/>
  <c r="X177" i="22"/>
  <c r="Y177" i="22"/>
  <c r="Z177" i="22"/>
  <c r="AA177" i="22"/>
  <c r="AB177" i="22"/>
  <c r="AC177" i="22"/>
  <c r="AD177" i="22"/>
  <c r="AE177" i="22"/>
  <c r="AF177" i="22"/>
  <c r="AG177" i="22"/>
  <c r="AH177" i="22"/>
  <c r="AI177" i="22"/>
  <c r="AJ177" i="22"/>
  <c r="AK177" i="22"/>
  <c r="AL177" i="22"/>
  <c r="AM177" i="22"/>
  <c r="T178" i="22"/>
  <c r="U178" i="22"/>
  <c r="V178" i="22"/>
  <c r="W178" i="22"/>
  <c r="X178" i="22"/>
  <c r="Y178" i="22"/>
  <c r="Z178" i="22"/>
  <c r="AA178" i="22"/>
  <c r="AB178" i="22"/>
  <c r="AC178" i="22"/>
  <c r="AD178" i="22"/>
  <c r="AE178" i="22"/>
  <c r="AF178" i="22"/>
  <c r="AG178" i="22"/>
  <c r="AH178" i="22"/>
  <c r="AI178" i="22"/>
  <c r="AJ178" i="22"/>
  <c r="AK178" i="22"/>
  <c r="AL178" i="22"/>
  <c r="AM178" i="22"/>
  <c r="AN178" i="22"/>
  <c r="AO178" i="22"/>
  <c r="AP178" i="22"/>
  <c r="AQ178" i="22"/>
  <c r="AR178" i="22"/>
  <c r="AS178" i="22"/>
  <c r="AT178" i="22"/>
  <c r="AU178" i="22"/>
  <c r="AV178" i="22"/>
  <c r="O179" i="22"/>
  <c r="P179" i="22"/>
  <c r="Q179" i="22"/>
  <c r="R179" i="22"/>
  <c r="S179" i="22"/>
  <c r="T179" i="22"/>
  <c r="U179" i="22"/>
  <c r="V179" i="22"/>
  <c r="W179" i="22"/>
  <c r="X179" i="22"/>
  <c r="Y179" i="22"/>
  <c r="Z179" i="22"/>
  <c r="U180" i="22"/>
  <c r="V180" i="22"/>
  <c r="W180" i="22"/>
  <c r="X180" i="22"/>
  <c r="Y180" i="22"/>
  <c r="Z180" i="22"/>
  <c r="AA180" i="22"/>
  <c r="AB180" i="22"/>
  <c r="AC180" i="22"/>
  <c r="AD180" i="22"/>
  <c r="AE180" i="22"/>
  <c r="AF180" i="22"/>
  <c r="AG180" i="22"/>
  <c r="AH180" i="22"/>
  <c r="AI180" i="22"/>
  <c r="AJ180" i="22"/>
  <c r="AK180" i="22"/>
  <c r="AL180" i="22"/>
  <c r="O181" i="22"/>
  <c r="P181" i="22"/>
  <c r="Q181" i="22"/>
  <c r="R181" i="22"/>
  <c r="S181" i="22"/>
  <c r="T181" i="22"/>
  <c r="U181" i="22"/>
  <c r="V181" i="22"/>
  <c r="W181" i="22"/>
  <c r="X181" i="22"/>
  <c r="Y181" i="22"/>
  <c r="Z181" i="22"/>
  <c r="AA181" i="22"/>
  <c r="AB181" i="22"/>
  <c r="AC181" i="22"/>
  <c r="X182" i="22"/>
  <c r="Y182" i="22"/>
  <c r="Z182" i="22"/>
  <c r="AA182" i="22"/>
  <c r="AB182" i="22"/>
  <c r="AC182" i="22"/>
  <c r="AD182" i="22"/>
  <c r="AE182" i="22"/>
  <c r="AF182" i="22"/>
  <c r="AG182" i="22"/>
  <c r="AH182" i="22"/>
  <c r="AI182" i="22"/>
  <c r="AJ182" i="22"/>
  <c r="AK182" i="22"/>
  <c r="AL182" i="22"/>
  <c r="AM182" i="22"/>
  <c r="AN182" i="22"/>
  <c r="AO182" i="22"/>
  <c r="AP182" i="22"/>
  <c r="U183" i="22"/>
  <c r="V183" i="22"/>
  <c r="W183" i="22"/>
  <c r="X183" i="22"/>
  <c r="Y183" i="22"/>
  <c r="Z183" i="22"/>
  <c r="AA183" i="22"/>
  <c r="AB183" i="22"/>
  <c r="AC183" i="22"/>
  <c r="AD183" i="22"/>
  <c r="AE183" i="22"/>
  <c r="AF183" i="22"/>
  <c r="AG183" i="22"/>
  <c r="AH183" i="22"/>
  <c r="AI183" i="22"/>
  <c r="AJ183" i="22"/>
  <c r="AK183" i="22"/>
  <c r="AL183" i="22"/>
  <c r="AM183" i="22"/>
  <c r="T184" i="22"/>
  <c r="U184" i="22"/>
  <c r="V184" i="22"/>
  <c r="W184" i="22"/>
  <c r="X184" i="22"/>
  <c r="Y184" i="22"/>
  <c r="Z184" i="22"/>
  <c r="AA184" i="22"/>
  <c r="AB184" i="22"/>
  <c r="AC184" i="22"/>
  <c r="AD184" i="22"/>
  <c r="AE184" i="22"/>
  <c r="AF184" i="22"/>
  <c r="AG184" i="22"/>
  <c r="AH184" i="22"/>
  <c r="AI184" i="22"/>
  <c r="AJ184" i="22"/>
  <c r="AK184" i="22"/>
  <c r="AL184" i="22"/>
  <c r="AM184" i="22"/>
  <c r="AN184" i="22"/>
  <c r="AO184" i="22"/>
  <c r="AP184" i="22"/>
  <c r="AQ184" i="22"/>
  <c r="AR184" i="22"/>
  <c r="AS184" i="22"/>
  <c r="AT184" i="22"/>
  <c r="AU184" i="22"/>
  <c r="AV184" i="22"/>
  <c r="O185" i="22"/>
  <c r="P185" i="22"/>
  <c r="Q185" i="22"/>
  <c r="R185" i="22"/>
  <c r="S185" i="22"/>
  <c r="T185" i="22"/>
  <c r="U185" i="22"/>
  <c r="V185" i="22"/>
  <c r="W185" i="22"/>
  <c r="X185" i="22"/>
  <c r="Y185" i="22"/>
  <c r="Z185" i="22"/>
  <c r="U186" i="22"/>
  <c r="V186" i="22"/>
  <c r="W186" i="22"/>
  <c r="X186" i="22"/>
  <c r="Y186" i="22"/>
  <c r="Z186" i="22"/>
  <c r="AA186" i="22"/>
  <c r="AB186" i="22"/>
  <c r="AC186" i="22"/>
  <c r="AD186" i="22"/>
  <c r="AE186" i="22"/>
  <c r="AF186" i="22"/>
  <c r="AG186" i="22"/>
  <c r="AH186" i="22"/>
  <c r="AI186" i="22"/>
  <c r="AJ186" i="22"/>
  <c r="AK186" i="22"/>
  <c r="O187" i="22"/>
  <c r="P187" i="22"/>
  <c r="Q187" i="22"/>
  <c r="R187" i="22"/>
  <c r="S187" i="22"/>
  <c r="T187" i="22"/>
  <c r="U187" i="22"/>
  <c r="V187" i="22"/>
  <c r="W187" i="22"/>
  <c r="X187" i="22"/>
  <c r="Y187" i="22"/>
  <c r="Z187" i="22"/>
  <c r="AA187" i="22"/>
  <c r="AB187" i="22"/>
  <c r="AC187" i="22"/>
  <c r="X188" i="22"/>
  <c r="Y188" i="22"/>
  <c r="Z188" i="22"/>
  <c r="AA188" i="22"/>
  <c r="AB188" i="22"/>
  <c r="AC188" i="22"/>
  <c r="AD188" i="22"/>
  <c r="AE188" i="22"/>
  <c r="AF188" i="22"/>
  <c r="AG188" i="22"/>
  <c r="AH188" i="22"/>
  <c r="AI188" i="22"/>
  <c r="AJ188" i="22"/>
  <c r="AK188" i="22"/>
  <c r="AL188" i="22"/>
  <c r="AM188" i="22"/>
  <c r="AN188" i="22"/>
  <c r="AO188" i="22"/>
  <c r="AP188" i="22"/>
  <c r="U189" i="22"/>
  <c r="V189" i="22"/>
  <c r="W189" i="22"/>
  <c r="X189" i="22"/>
  <c r="Y189" i="22"/>
  <c r="Z189" i="22"/>
  <c r="AA189" i="22"/>
  <c r="AB189" i="22"/>
  <c r="AC189" i="22"/>
  <c r="AD189" i="22"/>
  <c r="AE189" i="22"/>
  <c r="AF189" i="22"/>
  <c r="AG189" i="22"/>
  <c r="AH189" i="22"/>
  <c r="AI189" i="22"/>
  <c r="AJ189" i="22"/>
  <c r="AK189" i="22"/>
  <c r="AL189" i="22"/>
  <c r="AM189" i="22"/>
  <c r="T190" i="22"/>
  <c r="U190" i="22"/>
  <c r="V190" i="22"/>
  <c r="W190" i="22"/>
  <c r="X190" i="22"/>
  <c r="Y190" i="22"/>
  <c r="Z190" i="22"/>
  <c r="AA190" i="22"/>
  <c r="AB190" i="22"/>
  <c r="AC190" i="22"/>
  <c r="AD190" i="22"/>
  <c r="AE190" i="22"/>
  <c r="AF190" i="22"/>
  <c r="AG190" i="22"/>
  <c r="AH190" i="22"/>
  <c r="AI190" i="22"/>
  <c r="AJ190" i="22"/>
  <c r="AK190" i="22"/>
  <c r="AL190" i="22"/>
  <c r="AM190" i="22"/>
  <c r="AN190" i="22"/>
  <c r="AO190" i="22"/>
  <c r="AP190" i="22"/>
  <c r="AQ190" i="22"/>
  <c r="AR190" i="22"/>
  <c r="AS190" i="22"/>
  <c r="AT190" i="22"/>
  <c r="AU190" i="22"/>
  <c r="AV190" i="22"/>
  <c r="E64" i="23"/>
  <c r="E67" i="23" s="1"/>
  <c r="E13" i="23"/>
  <c r="E62" i="23"/>
  <c r="E65" i="23"/>
  <c r="G43" i="35"/>
  <c r="E6" i="23"/>
  <c r="F22" i="23" s="1"/>
  <c r="E17" i="23"/>
  <c r="E18" i="23"/>
  <c r="E57" i="23"/>
  <c r="E58" i="23"/>
  <c r="E56" i="23"/>
  <c r="E99" i="23"/>
  <c r="E22" i="23" s="1"/>
  <c r="R18" i="25"/>
  <c r="AS22" i="25" s="1"/>
  <c r="E14" i="23" s="1"/>
  <c r="B84" i="37"/>
  <c r="G8" i="35"/>
  <c r="G31" i="35"/>
  <c r="B85" i="37"/>
  <c r="C56" i="37"/>
  <c r="G24" i="24"/>
  <c r="B56" i="37"/>
  <c r="G5" i="35"/>
  <c r="G52" i="35"/>
  <c r="G42" i="35"/>
  <c r="G20" i="35"/>
  <c r="G15" i="35"/>
  <c r="G46" i="35"/>
  <c r="G24" i="35"/>
  <c r="G10" i="35"/>
  <c r="G44" i="35"/>
  <c r="G23" i="35"/>
  <c r="G59" i="35"/>
  <c r="G38" i="35"/>
  <c r="G16" i="35"/>
  <c r="G53" i="35"/>
  <c r="G37" i="35"/>
  <c r="G21" i="35"/>
  <c r="G47" i="35"/>
  <c r="G26" i="35"/>
  <c r="C2" i="35"/>
  <c r="G75" i="35"/>
  <c r="H75" i="35"/>
  <c r="G40" i="35"/>
  <c r="G19" i="35"/>
  <c r="G4" i="35"/>
  <c r="G39" i="35"/>
  <c r="G18" i="35"/>
  <c r="G54" i="35"/>
  <c r="G32" i="35"/>
  <c r="G11" i="35"/>
  <c r="G49" i="35"/>
  <c r="G33" i="35"/>
  <c r="G17" i="35"/>
  <c r="G58" i="35"/>
  <c r="G56" i="35"/>
  <c r="G35" i="35"/>
  <c r="G14" i="35"/>
  <c r="G55" i="35"/>
  <c r="G34" i="35"/>
  <c r="G12" i="35"/>
  <c r="G48" i="35"/>
  <c r="G27" i="35"/>
  <c r="G6" i="35"/>
  <c r="G45" i="35"/>
  <c r="G29" i="35"/>
  <c r="G13" i="35"/>
  <c r="G41" i="35"/>
  <c r="G7" i="35"/>
  <c r="G57" i="35"/>
  <c r="G28" i="35"/>
  <c r="G51" i="35"/>
  <c r="G30" i="35"/>
  <c r="G9" i="35"/>
  <c r="G22" i="35"/>
  <c r="G50" i="35"/>
  <c r="G36" i="35"/>
  <c r="G67" i="35"/>
  <c r="H67" i="35"/>
  <c r="G82" i="35"/>
  <c r="H82" i="35"/>
  <c r="G98" i="35"/>
  <c r="H98" i="35"/>
  <c r="G117" i="35"/>
  <c r="H117" i="35"/>
  <c r="G132" i="35"/>
  <c r="H132" i="35"/>
  <c r="G147" i="35"/>
  <c r="H147" i="35"/>
  <c r="G162" i="35"/>
  <c r="H162" i="35"/>
  <c r="G181" i="35"/>
  <c r="H181" i="35"/>
  <c r="G197" i="35"/>
  <c r="H197" i="35"/>
  <c r="G212" i="35"/>
  <c r="H212" i="35"/>
  <c r="G70" i="35"/>
  <c r="H70" i="35"/>
  <c r="G105" i="35"/>
  <c r="H105" i="35"/>
  <c r="G139" i="35"/>
  <c r="H139" i="35"/>
  <c r="G169" i="35"/>
  <c r="H169" i="35"/>
  <c r="G200" i="35"/>
  <c r="H200" i="35"/>
  <c r="H64" i="35"/>
  <c r="G80" i="35"/>
  <c r="H80" i="35"/>
  <c r="G95" i="35"/>
  <c r="H95" i="35"/>
  <c r="G111" i="35"/>
  <c r="H111" i="35"/>
  <c r="G126" i="35"/>
  <c r="H126" i="35"/>
  <c r="G141" i="35"/>
  <c r="H141" i="35"/>
  <c r="G156" i="35"/>
  <c r="H156" i="35"/>
  <c r="G175" i="35"/>
  <c r="H175" i="35"/>
  <c r="G190" i="35"/>
  <c r="H190" i="35"/>
  <c r="G206" i="35"/>
  <c r="H206" i="35"/>
  <c r="G225" i="35"/>
  <c r="H225" i="35"/>
  <c r="G73" i="35"/>
  <c r="H73" i="35"/>
  <c r="G88" i="35"/>
  <c r="H88" i="35"/>
  <c r="G104" i="35"/>
  <c r="H104" i="35"/>
  <c r="G71" i="35"/>
  <c r="H71" i="35"/>
  <c r="G86" i="35"/>
  <c r="H86" i="35"/>
  <c r="G102" i="35"/>
  <c r="H102" i="35"/>
  <c r="G121" i="35"/>
  <c r="H121" i="35"/>
  <c r="G136" i="35"/>
  <c r="H136" i="35"/>
  <c r="G151" i="35"/>
  <c r="H151" i="35"/>
  <c r="G166" i="35"/>
  <c r="H166" i="35"/>
  <c r="G185" i="35"/>
  <c r="H185" i="35"/>
  <c r="G201" i="35"/>
  <c r="H201" i="35"/>
  <c r="G216" i="35"/>
  <c r="H216" i="35"/>
  <c r="G78" i="35"/>
  <c r="H78" i="35"/>
  <c r="G113" i="35"/>
  <c r="H113" i="35"/>
  <c r="G146" i="35"/>
  <c r="H146" i="35"/>
  <c r="G177" i="35"/>
  <c r="H177" i="35"/>
  <c r="G208" i="35"/>
  <c r="H208" i="35"/>
  <c r="G68" i="35"/>
  <c r="H68" i="35"/>
  <c r="G83" i="35"/>
  <c r="H83" i="35"/>
  <c r="G99" i="35"/>
  <c r="H99" i="35"/>
  <c r="G127" i="35"/>
  <c r="H127" i="35"/>
  <c r="G160" i="35"/>
  <c r="H160" i="35"/>
  <c r="G191" i="35"/>
  <c r="H191" i="35"/>
  <c r="G157" i="35"/>
  <c r="H157" i="35"/>
  <c r="G207" i="35"/>
  <c r="H207" i="35"/>
  <c r="G129" i="35"/>
  <c r="H129" i="35"/>
  <c r="G163" i="35"/>
  <c r="H163" i="35"/>
  <c r="G194" i="35"/>
  <c r="H194" i="35"/>
  <c r="G74" i="35"/>
  <c r="H74" i="35"/>
  <c r="G92" i="35"/>
  <c r="H92" i="35"/>
  <c r="G119" i="35"/>
  <c r="H119" i="35"/>
  <c r="G153" i="35"/>
  <c r="H153" i="35"/>
  <c r="G183" i="35"/>
  <c r="H183" i="35"/>
  <c r="G214" i="35"/>
  <c r="H214" i="35"/>
  <c r="G66" i="35"/>
  <c r="H66" i="35"/>
  <c r="G109" i="35"/>
  <c r="H109" i="35"/>
  <c r="G143" i="35"/>
  <c r="H143" i="35"/>
  <c r="G173" i="35"/>
  <c r="H173" i="35"/>
  <c r="G204" i="35"/>
  <c r="H204" i="35"/>
  <c r="G123" i="35"/>
  <c r="H123" i="35"/>
  <c r="G187" i="35"/>
  <c r="H187" i="35"/>
  <c r="G171" i="35"/>
  <c r="H171" i="35"/>
  <c r="G69" i="35"/>
  <c r="H69" i="35"/>
  <c r="G134" i="35"/>
  <c r="H134" i="35"/>
  <c r="G122" i="35"/>
  <c r="H122" i="35"/>
  <c r="G186" i="35"/>
  <c r="H186" i="35"/>
  <c r="G84" i="35"/>
  <c r="H84" i="35"/>
  <c r="G149" i="35"/>
  <c r="H149" i="35"/>
  <c r="G218" i="35"/>
  <c r="H218" i="35"/>
  <c r="G180" i="35"/>
  <c r="H180" i="35"/>
  <c r="G165" i="35"/>
  <c r="H165" i="35"/>
  <c r="G135" i="35"/>
  <c r="H135" i="35"/>
  <c r="G199" i="35"/>
  <c r="H199" i="35"/>
  <c r="G150" i="35"/>
  <c r="H150" i="35"/>
  <c r="G101" i="35"/>
  <c r="H101" i="35"/>
  <c r="I134" i="23"/>
  <c r="E102" i="23"/>
  <c r="I143" i="23" s="1"/>
  <c r="E117" i="23" s="1"/>
  <c r="E12" i="23"/>
  <c r="E124" i="23"/>
  <c r="E105" i="23"/>
  <c r="I132" i="23"/>
  <c r="E133" i="23"/>
  <c r="E149" i="23" s="1"/>
  <c r="K143" i="23" s="1"/>
  <c r="I133" i="23"/>
  <c r="E101" i="23" s="1"/>
  <c r="K133" i="23"/>
  <c r="E148" i="23"/>
  <c r="K142" i="23" s="1"/>
  <c r="G227" i="35"/>
  <c r="H227" i="35"/>
  <c r="G211" i="35"/>
  <c r="H211" i="35"/>
  <c r="G89" i="35"/>
  <c r="H89" i="35"/>
  <c r="G196" i="35"/>
  <c r="H196" i="35"/>
  <c r="G226" i="35"/>
  <c r="H226" i="35"/>
  <c r="G210" i="35"/>
  <c r="H210" i="35"/>
  <c r="G116" i="35"/>
  <c r="H116" i="35"/>
  <c r="G168" i="35"/>
  <c r="H168" i="35"/>
  <c r="G115" i="35"/>
  <c r="H115" i="35"/>
  <c r="G221" i="35"/>
  <c r="H221" i="35"/>
  <c r="G152" i="35"/>
  <c r="H152" i="35"/>
  <c r="G179" i="35"/>
  <c r="H179" i="35"/>
  <c r="G100" i="35"/>
  <c r="H100" i="35"/>
  <c r="G202" i="35"/>
  <c r="H202" i="35"/>
  <c r="G137" i="35"/>
  <c r="H137" i="35"/>
  <c r="G142" i="35"/>
  <c r="H142" i="35"/>
  <c r="G219" i="35"/>
  <c r="H219" i="35"/>
  <c r="G188" i="35"/>
  <c r="H188" i="35"/>
  <c r="G158" i="35"/>
  <c r="H158" i="35"/>
  <c r="G124" i="35"/>
  <c r="H124" i="35"/>
  <c r="G93" i="35"/>
  <c r="H93" i="35"/>
  <c r="G222" i="35"/>
  <c r="H222" i="35"/>
  <c r="G195" i="35"/>
  <c r="H195" i="35"/>
  <c r="G164" i="35"/>
  <c r="H164" i="35"/>
  <c r="G130" i="35"/>
  <c r="H130" i="35"/>
  <c r="G108" i="35"/>
  <c r="H108" i="35"/>
  <c r="G77" i="35"/>
  <c r="H77" i="35"/>
  <c r="G213" i="35"/>
  <c r="H213" i="35"/>
  <c r="G178" i="35"/>
  <c r="H178" i="35"/>
  <c r="G145" i="35"/>
  <c r="H145" i="35"/>
  <c r="G114" i="35"/>
  <c r="H114" i="35"/>
  <c r="G176" i="35"/>
  <c r="H176" i="35"/>
  <c r="G203" i="35"/>
  <c r="H203" i="35"/>
  <c r="G172" i="35"/>
  <c r="H172" i="35"/>
  <c r="G138" i="35"/>
  <c r="H138" i="35"/>
  <c r="G107" i="35"/>
  <c r="H107" i="35"/>
  <c r="G91" i="35"/>
  <c r="H91" i="35"/>
  <c r="G76" i="35"/>
  <c r="H76" i="35"/>
  <c r="G223" i="35"/>
  <c r="H223" i="35"/>
  <c r="G192" i="35"/>
  <c r="H192" i="35"/>
  <c r="G161" i="35"/>
  <c r="H161" i="35"/>
  <c r="G131" i="35"/>
  <c r="H131" i="35"/>
  <c r="G97" i="35"/>
  <c r="H97" i="35"/>
  <c r="G224" i="35"/>
  <c r="H224" i="35"/>
  <c r="G209" i="35"/>
  <c r="H209" i="35"/>
  <c r="G193" i="35"/>
  <c r="H193" i="35"/>
  <c r="G174" i="35"/>
  <c r="H174" i="35"/>
  <c r="G159" i="35"/>
  <c r="H159" i="35"/>
  <c r="G144" i="35"/>
  <c r="H144" i="35"/>
  <c r="G128" i="35"/>
  <c r="H128" i="35"/>
  <c r="G110" i="35"/>
  <c r="H110" i="35"/>
  <c r="G94" i="35"/>
  <c r="H94" i="35"/>
  <c r="G79" i="35"/>
  <c r="H79" i="35"/>
  <c r="G112" i="35"/>
  <c r="H112" i="35"/>
  <c r="G96" i="35"/>
  <c r="H96" i="35"/>
  <c r="G81" i="35"/>
  <c r="H81" i="35"/>
  <c r="G65" i="35"/>
  <c r="H65" i="35"/>
  <c r="G217" i="35"/>
  <c r="H217" i="35"/>
  <c r="G198" i="35"/>
  <c r="H198" i="35"/>
  <c r="G182" i="35"/>
  <c r="H182" i="35"/>
  <c r="G167" i="35"/>
  <c r="H167" i="35"/>
  <c r="G148" i="35"/>
  <c r="H148" i="35"/>
  <c r="G133" i="35"/>
  <c r="H133" i="35"/>
  <c r="G118" i="35"/>
  <c r="H118" i="35"/>
  <c r="G103" i="35"/>
  <c r="H103" i="35"/>
  <c r="G87" i="35"/>
  <c r="H87" i="35"/>
  <c r="G72" i="35"/>
  <c r="H72" i="35"/>
  <c r="G215" i="35"/>
  <c r="H215" i="35"/>
  <c r="G184" i="35"/>
  <c r="H184" i="35"/>
  <c r="G154" i="35"/>
  <c r="H154" i="35"/>
  <c r="G120" i="35"/>
  <c r="H120" i="35"/>
  <c r="G85" i="35"/>
  <c r="H85" i="35"/>
  <c r="G220" i="35"/>
  <c r="H220" i="35"/>
  <c r="G205" i="35"/>
  <c r="H205" i="35"/>
  <c r="G189" i="35"/>
  <c r="H189" i="35"/>
  <c r="G170" i="35"/>
  <c r="H170" i="35"/>
  <c r="G155" i="35"/>
  <c r="H155" i="35"/>
  <c r="G140" i="35"/>
  <c r="H140" i="35"/>
  <c r="G125" i="35"/>
  <c r="H125" i="35"/>
  <c r="G106" i="35"/>
  <c r="H106" i="35"/>
  <c r="G90" i="35"/>
  <c r="H90" i="35"/>
  <c r="E143" i="23"/>
  <c r="K130" i="23" s="1"/>
  <c r="AT165" i="22"/>
  <c r="AR166" i="22"/>
  <c r="AK161" i="22"/>
  <c r="AB140" i="22"/>
  <c r="AC138" i="22"/>
  <c r="AI160" i="22"/>
  <c r="AC146" i="22"/>
  <c r="AV142" i="22"/>
  <c r="AL125" i="22"/>
  <c r="AM105" i="22"/>
  <c r="Y164" i="22"/>
  <c r="AP148" i="22"/>
  <c r="AU123" i="22"/>
  <c r="AH117" i="22"/>
  <c r="W163" i="22"/>
  <c r="AA151" i="22"/>
  <c r="Z149" i="22"/>
  <c r="Q159" i="22"/>
  <c r="P153" i="22"/>
  <c r="V145" i="22"/>
  <c r="Q144" i="22"/>
  <c r="Q157" i="22"/>
  <c r="AE154" i="22"/>
  <c r="W150" i="22"/>
  <c r="AJ147" i="22"/>
  <c r="AD139" i="22"/>
  <c r="AN136" i="22"/>
  <c r="AE135" i="22"/>
  <c r="AF127" i="22"/>
  <c r="AG126" i="22"/>
  <c r="AC158" i="22"/>
  <c r="AT156" i="22"/>
  <c r="AO155" i="22"/>
  <c r="V152" i="22"/>
  <c r="AR141" i="22"/>
  <c r="Y130" i="22"/>
  <c r="AL120" i="22"/>
  <c r="AE119" i="22"/>
  <c r="E97" i="23"/>
  <c r="F128" i="23"/>
  <c r="I124" i="23"/>
  <c r="E128" i="23" s="1"/>
  <c r="F134" i="23" s="1"/>
  <c r="K124" i="23"/>
  <c r="F4" i="24"/>
  <c r="F10" i="24"/>
  <c r="F32" i="24"/>
  <c r="E125" i="23"/>
  <c r="E63" i="23"/>
  <c r="E66" i="23" s="1"/>
  <c r="K132" i="23"/>
  <c r="E147" i="23"/>
  <c r="K141" i="23" s="1"/>
  <c r="K134" i="23"/>
  <c r="AP155" i="22"/>
  <c r="E104" i="23"/>
  <c r="I129" i="23" s="1"/>
  <c r="AF119" i="22"/>
  <c r="Z130" i="22"/>
  <c r="R159" i="22"/>
  <c r="AB151" i="22"/>
  <c r="AI117" i="22"/>
  <c r="AQ148" i="22"/>
  <c r="AL161" i="22"/>
  <c r="AU165" i="22"/>
  <c r="E142" i="23"/>
  <c r="K114" i="23" s="1"/>
  <c r="E139" i="23" s="1"/>
  <c r="W152" i="22"/>
  <c r="AU156" i="22"/>
  <c r="AH126" i="22"/>
  <c r="AF135" i="22"/>
  <c r="AE139" i="22"/>
  <c r="X150" i="22"/>
  <c r="R157" i="22"/>
  <c r="R144" i="22"/>
  <c r="Q153" i="22"/>
  <c r="AA149" i="22"/>
  <c r="AN105" i="22"/>
  <c r="AJ160" i="22"/>
  <c r="AC140" i="22"/>
  <c r="AM120" i="22"/>
  <c r="AS141" i="22"/>
  <c r="X163" i="22"/>
  <c r="AS166" i="22"/>
  <c r="K115" i="23"/>
  <c r="E140" i="23" s="1"/>
  <c r="AD158" i="22"/>
  <c r="AG127" i="22"/>
  <c r="AO136" i="22"/>
  <c r="AK147" i="22"/>
  <c r="AF154" i="22"/>
  <c r="W145" i="22"/>
  <c r="Z164" i="22"/>
  <c r="AM125" i="22"/>
  <c r="AD146" i="22"/>
  <c r="AD138" i="22"/>
  <c r="AH127" i="22"/>
  <c r="AB149" i="22"/>
  <c r="S144" i="22"/>
  <c r="Y150" i="22"/>
  <c r="AG135" i="22"/>
  <c r="AV156" i="22"/>
  <c r="AR148" i="22"/>
  <c r="AC151" i="22"/>
  <c r="AA130" i="22"/>
  <c r="X145" i="22"/>
  <c r="AL147" i="22"/>
  <c r="AT141" i="22"/>
  <c r="AD140" i="22"/>
  <c r="Y163" i="22"/>
  <c r="AN120" i="22"/>
  <c r="AE146" i="22"/>
  <c r="AA164" i="22"/>
  <c r="AG154" i="22"/>
  <c r="AP136" i="22"/>
  <c r="AE158" i="22"/>
  <c r="AT166" i="22"/>
  <c r="AO105" i="22"/>
  <c r="R153" i="22"/>
  <c r="S157" i="22"/>
  <c r="AF139" i="22"/>
  <c r="AI126" i="22"/>
  <c r="X152" i="22"/>
  <c r="K129" i="23"/>
  <c r="AM161" i="22"/>
  <c r="AJ117" i="22"/>
  <c r="S159" i="22"/>
  <c r="AG119" i="22"/>
  <c r="AQ155" i="22"/>
  <c r="AE138" i="22"/>
  <c r="AN125" i="22"/>
  <c r="AK160" i="22"/>
  <c r="AN161" i="22"/>
  <c r="AE140" i="22"/>
  <c r="AD151" i="22"/>
  <c r="Z150" i="22"/>
  <c r="AC149" i="22"/>
  <c r="T159" i="22"/>
  <c r="AQ136" i="22"/>
  <c r="AB164" i="22"/>
  <c r="AO120" i="22"/>
  <c r="Y145" i="22"/>
  <c r="AS148" i="22"/>
  <c r="AO125" i="22"/>
  <c r="AG139" i="22"/>
  <c r="AP105" i="22"/>
  <c r="AU166" i="22"/>
  <c r="AU141" i="22"/>
  <c r="AB130" i="22"/>
  <c r="AH135" i="22"/>
  <c r="T144" i="22"/>
  <c r="AR155" i="22"/>
  <c r="Y152" i="22"/>
  <c r="S153" i="22"/>
  <c r="T157" i="22"/>
  <c r="AL160" i="22"/>
  <c r="AF138" i="22"/>
  <c r="AH119" i="22"/>
  <c r="AK117" i="22"/>
  <c r="AJ126" i="22"/>
  <c r="AF158" i="22"/>
  <c r="AH154" i="22"/>
  <c r="AF146" i="22"/>
  <c r="Z163" i="22"/>
  <c r="AM147" i="22"/>
  <c r="AI127" i="22"/>
  <c r="U144" i="22"/>
  <c r="AC130" i="22"/>
  <c r="AV141" i="22"/>
  <c r="AF140" i="22"/>
  <c r="T153" i="22"/>
  <c r="U159" i="22"/>
  <c r="AA150" i="22"/>
  <c r="AI119" i="22"/>
  <c r="AM160" i="22"/>
  <c r="AH139" i="22"/>
  <c r="AP120" i="22"/>
  <c r="AI154" i="22"/>
  <c r="AN147" i="22"/>
  <c r="AA163" i="22"/>
  <c r="AL117" i="22"/>
  <c r="AG138" i="22"/>
  <c r="AS155" i="22"/>
  <c r="AI135" i="22"/>
  <c r="AV166" i="22"/>
  <c r="AP125" i="22"/>
  <c r="Z145" i="22"/>
  <c r="AC164" i="22"/>
  <c r="AE151" i="22"/>
  <c r="AJ127" i="22"/>
  <c r="AG146" i="22"/>
  <c r="AG158" i="22"/>
  <c r="AK126" i="22"/>
  <c r="AT148" i="22"/>
  <c r="AR136" i="22"/>
  <c r="U157" i="22"/>
  <c r="Z152" i="22"/>
  <c r="AQ105" i="22"/>
  <c r="AD149" i="22"/>
  <c r="AO161" i="22"/>
  <c r="AT155" i="22"/>
  <c r="AO147" i="22"/>
  <c r="AQ120" i="22"/>
  <c r="AN160" i="22"/>
  <c r="AB150" i="22"/>
  <c r="U153" i="22"/>
  <c r="V144" i="22"/>
  <c r="AP161" i="22"/>
  <c r="AR105" i="22"/>
  <c r="V157" i="22"/>
  <c r="AH158" i="22"/>
  <c r="AK127" i="22"/>
  <c r="AD164" i="22"/>
  <c r="AQ125" i="22"/>
  <c r="AM117" i="22"/>
  <c r="AS136" i="22"/>
  <c r="AL126" i="22"/>
  <c r="AH146" i="22"/>
  <c r="AF151" i="22"/>
  <c r="AA145" i="22"/>
  <c r="AJ135" i="22"/>
  <c r="AH138" i="22"/>
  <c r="AB163" i="22"/>
  <c r="AJ154" i="22"/>
  <c r="AI139" i="22"/>
  <c r="AJ119" i="22"/>
  <c r="V159" i="22"/>
  <c r="AG140" i="22"/>
  <c r="AD130" i="22"/>
  <c r="AU148" i="22"/>
  <c r="AE149" i="22"/>
  <c r="AA152" i="22"/>
  <c r="AS105" i="22"/>
  <c r="W144" i="22"/>
  <c r="AC150" i="22"/>
  <c r="AR120" i="22"/>
  <c r="AU155" i="22"/>
  <c r="AB152" i="22"/>
  <c r="AV148" i="22"/>
  <c r="AE130" i="22"/>
  <c r="W159" i="22"/>
  <c r="AJ139" i="22"/>
  <c r="AC163" i="22"/>
  <c r="AK135" i="22"/>
  <c r="AG151" i="22"/>
  <c r="AM126" i="22"/>
  <c r="AR125" i="22"/>
  <c r="AL127" i="22"/>
  <c r="AE164" i="22"/>
  <c r="W157" i="22"/>
  <c r="AQ161" i="22"/>
  <c r="V153" i="22"/>
  <c r="AO160" i="22"/>
  <c r="AP147" i="22"/>
  <c r="AF149" i="22"/>
  <c r="AH140" i="22"/>
  <c r="AK119" i="22"/>
  <c r="AK154" i="22"/>
  <c r="AI138" i="22"/>
  <c r="AB145" i="22"/>
  <c r="AI146" i="22"/>
  <c r="AT136" i="22"/>
  <c r="AN117" i="22"/>
  <c r="AI158" i="22"/>
  <c r="AJ158" i="22"/>
  <c r="AS125" i="22"/>
  <c r="AH151" i="22"/>
  <c r="AD163" i="22"/>
  <c r="X159" i="22"/>
  <c r="AD150" i="22"/>
  <c r="AT105" i="22"/>
  <c r="AU136" i="22"/>
  <c r="AC145" i="22"/>
  <c r="AL154" i="22"/>
  <c r="AI140" i="22"/>
  <c r="AQ147" i="22"/>
  <c r="W153" i="22"/>
  <c r="X157" i="22"/>
  <c r="AL135" i="22"/>
  <c r="AM127" i="22"/>
  <c r="AN126" i="22"/>
  <c r="AK139" i="22"/>
  <c r="AF130" i="22"/>
  <c r="AC152" i="22"/>
  <c r="AS120" i="22"/>
  <c r="X144" i="22"/>
  <c r="AO117" i="22"/>
  <c r="AJ146" i="22"/>
  <c r="AJ138" i="22"/>
  <c r="AL119" i="22"/>
  <c r="AG149" i="22"/>
  <c r="AP160" i="22"/>
  <c r="AR161" i="22"/>
  <c r="AF164" i="22"/>
  <c r="AV155" i="22"/>
  <c r="AG164" i="22"/>
  <c r="AQ160" i="22"/>
  <c r="AM119" i="22"/>
  <c r="AK146" i="22"/>
  <c r="Y144" i="22"/>
  <c r="AL139" i="22"/>
  <c r="AN127" i="22"/>
  <c r="Y157" i="22"/>
  <c r="AR147" i="22"/>
  <c r="AV136" i="22"/>
  <c r="AE150" i="22"/>
  <c r="AE163" i="22"/>
  <c r="AT125" i="22"/>
  <c r="AS161" i="22"/>
  <c r="AH149" i="22"/>
  <c r="AK138" i="22"/>
  <c r="AP117" i="22"/>
  <c r="AT120" i="22"/>
  <c r="AG130" i="22"/>
  <c r="AO126" i="22"/>
  <c r="AM135" i="22"/>
  <c r="X153" i="22"/>
  <c r="AJ140" i="22"/>
  <c r="AD145" i="22"/>
  <c r="AU105" i="22"/>
  <c r="Y159" i="22"/>
  <c r="AI151" i="22"/>
  <c r="AD152" i="22"/>
  <c r="AM154" i="22"/>
  <c r="AK158" i="22"/>
  <c r="Z159" i="22"/>
  <c r="AP126" i="22"/>
  <c r="AL138" i="22"/>
  <c r="Z157" i="22"/>
  <c r="AM139" i="22"/>
  <c r="AL146" i="22"/>
  <c r="AR160" i="22"/>
  <c r="AE152" i="22"/>
  <c r="Y153" i="22"/>
  <c r="AF163" i="22"/>
  <c r="AL158" i="22"/>
  <c r="AE145" i="22"/>
  <c r="AU120" i="22"/>
  <c r="AT161" i="22"/>
  <c r="AN154" i="22"/>
  <c r="AJ151" i="22"/>
  <c r="AV105" i="22"/>
  <c r="AK140" i="22"/>
  <c r="AN135" i="22"/>
  <c r="AH130" i="22"/>
  <c r="AQ117" i="22"/>
  <c r="AI149" i="22"/>
  <c r="AU125" i="22"/>
  <c r="AF150" i="22"/>
  <c r="AS147" i="22"/>
  <c r="AO127" i="22"/>
  <c r="Z144" i="22"/>
  <c r="AN119" i="22"/>
  <c r="AH164" i="22"/>
  <c r="AI164" i="22"/>
  <c r="AV125" i="22"/>
  <c r="AO135" i="22"/>
  <c r="AF145" i="22"/>
  <c r="AG163" i="22"/>
  <c r="AA144" i="22"/>
  <c r="AR117" i="22"/>
  <c r="AO119" i="22"/>
  <c r="AP127" i="22"/>
  <c r="AG150" i="22"/>
  <c r="AJ149" i="22"/>
  <c r="AI130" i="22"/>
  <c r="AL140" i="22"/>
  <c r="AK151" i="22"/>
  <c r="AU161" i="22"/>
  <c r="AF152" i="22"/>
  <c r="AM146" i="22"/>
  <c r="AA157" i="22"/>
  <c r="AQ126" i="22"/>
  <c r="AT147" i="22"/>
  <c r="AO154" i="22"/>
  <c r="AV120" i="22"/>
  <c r="AM158" i="22"/>
  <c r="Z153" i="22"/>
  <c r="AS160" i="22"/>
  <c r="AN139" i="22"/>
  <c r="AM138" i="22"/>
  <c r="AA159" i="22"/>
  <c r="AA153" i="22"/>
  <c r="AH150" i="22"/>
  <c r="AB159" i="22"/>
  <c r="AU147" i="22"/>
  <c r="AL151" i="22"/>
  <c r="AJ130" i="22"/>
  <c r="AP119" i="22"/>
  <c r="AG145" i="22"/>
  <c r="AO139" i="22"/>
  <c r="AB157" i="22"/>
  <c r="AG152" i="22"/>
  <c r="AB144" i="22"/>
  <c r="AN138" i="22"/>
  <c r="AT160" i="22"/>
  <c r="AN158" i="22"/>
  <c r="AP154" i="22"/>
  <c r="AR126" i="22"/>
  <c r="AN146" i="22"/>
  <c r="AV161" i="22"/>
  <c r="AM140" i="22"/>
  <c r="AK149" i="22"/>
  <c r="AQ127" i="22"/>
  <c r="AS117" i="22"/>
  <c r="AH163" i="22"/>
  <c r="AP135" i="22"/>
  <c r="AJ164" i="22"/>
  <c r="AS126" i="22"/>
  <c r="AO158" i="22"/>
  <c r="AO138" i="22"/>
  <c r="AP139" i="22"/>
  <c r="AQ119" i="22"/>
  <c r="AM151" i="22"/>
  <c r="AC159" i="22"/>
  <c r="AO146" i="22"/>
  <c r="AK164" i="22"/>
  <c r="AQ154" i="22"/>
  <c r="AI150" i="22"/>
  <c r="AQ135" i="22"/>
  <c r="AT117" i="22"/>
  <c r="AI163" i="22"/>
  <c r="AR127" i="22"/>
  <c r="AN140" i="22"/>
  <c r="AU160" i="22"/>
  <c r="AC144" i="22"/>
  <c r="AC157" i="22"/>
  <c r="AH145" i="22"/>
  <c r="AK130" i="22"/>
  <c r="AV147" i="22"/>
  <c r="AH152" i="22"/>
  <c r="AB153" i="22"/>
  <c r="AL149" i="22"/>
  <c r="AC153" i="22"/>
  <c r="AM149" i="22"/>
  <c r="AL130" i="22"/>
  <c r="AD157" i="22"/>
  <c r="AV160" i="22"/>
  <c r="AS127" i="22"/>
  <c r="AU117" i="22"/>
  <c r="AJ150" i="22"/>
  <c r="AL164" i="22"/>
  <c r="AR119" i="22"/>
  <c r="AP138" i="22"/>
  <c r="AT126" i="22"/>
  <c r="AI145" i="22"/>
  <c r="AQ139" i="22"/>
  <c r="AD144" i="22"/>
  <c r="AO140" i="22"/>
  <c r="AJ163" i="22"/>
  <c r="AR135" i="22"/>
  <c r="AR154" i="22"/>
  <c r="AP146" i="22"/>
  <c r="AN151" i="22"/>
  <c r="AP158" i="22"/>
  <c r="AI152" i="22"/>
  <c r="AD159" i="22"/>
  <c r="AK163" i="22"/>
  <c r="AS154" i="22"/>
  <c r="AJ145" i="22"/>
  <c r="AE159" i="22"/>
  <c r="AQ158" i="22"/>
  <c r="AQ146" i="22"/>
  <c r="AS135" i="22"/>
  <c r="AP140" i="22"/>
  <c r="AR139" i="22"/>
  <c r="AU126" i="22"/>
  <c r="AS119" i="22"/>
  <c r="AK150" i="22"/>
  <c r="AT127" i="22"/>
  <c r="AE157" i="22"/>
  <c r="AN149" i="22"/>
  <c r="AO151" i="22"/>
  <c r="AJ152" i="22"/>
  <c r="AE144" i="22"/>
  <c r="AQ138" i="22"/>
  <c r="AM164" i="22"/>
  <c r="AV117" i="22"/>
  <c r="AM130" i="22"/>
  <c r="AD153" i="22"/>
  <c r="AN130" i="22"/>
  <c r="AF144" i="22"/>
  <c r="AE153" i="22"/>
  <c r="AR138" i="22"/>
  <c r="AK152" i="22"/>
  <c r="AU127" i="22"/>
  <c r="AS139" i="22"/>
  <c r="AP151" i="22"/>
  <c r="AF157" i="22"/>
  <c r="AQ140" i="22"/>
  <c r="AN164" i="22"/>
  <c r="AR146" i="22"/>
  <c r="AF159" i="22"/>
  <c r="AT154" i="22"/>
  <c r="AL150" i="22"/>
  <c r="AV126" i="22"/>
  <c r="AR158" i="22"/>
  <c r="AO149" i="22"/>
  <c r="AT119" i="22"/>
  <c r="AT135" i="22"/>
  <c r="AK145" i="22"/>
  <c r="AL163" i="22"/>
  <c r="AU135" i="22"/>
  <c r="AS158" i="22"/>
  <c r="AM150" i="22"/>
  <c r="AO164" i="22"/>
  <c r="AG157" i="22"/>
  <c r="AU154" i="22"/>
  <c r="AG144" i="22"/>
  <c r="AS146" i="22"/>
  <c r="AQ151" i="22"/>
  <c r="AV127" i="22"/>
  <c r="AS138" i="22"/>
  <c r="AM163" i="22"/>
  <c r="AP149" i="22"/>
  <c r="AR140" i="22"/>
  <c r="AL145" i="22"/>
  <c r="AU119" i="22"/>
  <c r="AG159" i="22"/>
  <c r="AT139" i="22"/>
  <c r="AL152" i="22"/>
  <c r="AF153" i="22"/>
  <c r="AO130" i="22"/>
  <c r="AU139" i="22"/>
  <c r="AS140" i="22"/>
  <c r="AT146" i="22"/>
  <c r="AV154" i="22"/>
  <c r="AP164" i="22"/>
  <c r="AT158" i="22"/>
  <c r="AG153" i="22"/>
  <c r="AN163" i="22"/>
  <c r="AV119" i="22"/>
  <c r="AP130" i="22"/>
  <c r="AM152" i="22"/>
  <c r="AH159" i="22"/>
  <c r="AM145" i="22"/>
  <c r="AQ149" i="22"/>
  <c r="AT138" i="22"/>
  <c r="AR151" i="22"/>
  <c r="AH144" i="22"/>
  <c r="AH157" i="22"/>
  <c r="AN150" i="22"/>
  <c r="AV135" i="22"/>
  <c r="AI157" i="22"/>
  <c r="AR149" i="22"/>
  <c r="AO150" i="22"/>
  <c r="AI144" i="22"/>
  <c r="AU138" i="22"/>
  <c r="AN145" i="22"/>
  <c r="AN152" i="22"/>
  <c r="AT140" i="22"/>
  <c r="AS151" i="22"/>
  <c r="AI159" i="22"/>
  <c r="AQ130" i="22"/>
  <c r="AO163" i="22"/>
  <c r="AU158" i="22"/>
  <c r="AH153" i="22"/>
  <c r="AQ164" i="22"/>
  <c r="AU146" i="22"/>
  <c r="AV139" i="22"/>
  <c r="AV146" i="22"/>
  <c r="AI153" i="22"/>
  <c r="AP163" i="22"/>
  <c r="AJ159" i="22"/>
  <c r="AU140" i="22"/>
  <c r="AO145" i="22"/>
  <c r="AJ144" i="22"/>
  <c r="AS149" i="22"/>
  <c r="AT151" i="22"/>
  <c r="AJ157" i="22"/>
  <c r="AR164" i="22"/>
  <c r="AR130" i="22"/>
  <c r="AO152" i="22"/>
  <c r="AV138" i="22"/>
  <c r="AP150" i="22"/>
  <c r="AU151" i="22"/>
  <c r="AK144" i="22"/>
  <c r="AV140" i="22"/>
  <c r="AJ153" i="22"/>
  <c r="AK157" i="22"/>
  <c r="AS130" i="22"/>
  <c r="AT149" i="22"/>
  <c r="AP145" i="22"/>
  <c r="AK159" i="22"/>
  <c r="AQ150" i="22"/>
  <c r="AP152" i="22"/>
  <c r="AS164" i="22"/>
  <c r="AQ163" i="22"/>
  <c r="AR163" i="22"/>
  <c r="AV151" i="22"/>
  <c r="AL144" i="22"/>
  <c r="AT130" i="22"/>
  <c r="AQ152" i="22"/>
  <c r="AU149" i="22"/>
  <c r="AT164" i="22"/>
  <c r="AR150" i="22"/>
  <c r="AQ145" i="22"/>
  <c r="AK153" i="22"/>
  <c r="AL159" i="22"/>
  <c r="AL157" i="22"/>
  <c r="AL153" i="22"/>
  <c r="AV149" i="22"/>
  <c r="AU130" i="22"/>
  <c r="AM159" i="22"/>
  <c r="AR145" i="22"/>
  <c r="AR152" i="22"/>
  <c r="AM144" i="22"/>
  <c r="AS163" i="22"/>
  <c r="AS150" i="22"/>
  <c r="AM157" i="22"/>
  <c r="AU164" i="22"/>
  <c r="AT150" i="22"/>
  <c r="AN144" i="22"/>
  <c r="AV130" i="22"/>
  <c r="AM153" i="22"/>
  <c r="AT163" i="22"/>
  <c r="AS152" i="22"/>
  <c r="AN159" i="22"/>
  <c r="AN157" i="22"/>
  <c r="AS145" i="22"/>
  <c r="AO159" i="22"/>
  <c r="AU163" i="22"/>
  <c r="AT152" i="22"/>
  <c r="AT145" i="22"/>
  <c r="AO157" i="22"/>
  <c r="AN153" i="22"/>
  <c r="AO144" i="22"/>
  <c r="AU150" i="22"/>
  <c r="AO153" i="22"/>
  <c r="AU145" i="22"/>
  <c r="AV163" i="22"/>
  <c r="AP144" i="22"/>
  <c r="AP157" i="22"/>
  <c r="AU152" i="22"/>
  <c r="AP159" i="22"/>
  <c r="AV152" i="22"/>
  <c r="AQ159" i="22"/>
  <c r="AQ157" i="22"/>
  <c r="AP153" i="22"/>
  <c r="AV145" i="22"/>
  <c r="AQ144" i="22"/>
  <c r="AR157" i="22"/>
  <c r="AR144" i="22"/>
  <c r="AQ153" i="22"/>
  <c r="AR159" i="22"/>
  <c r="AS144" i="22"/>
  <c r="AS159" i="22"/>
  <c r="AR153" i="22"/>
  <c r="AS157" i="22"/>
  <c r="AT159" i="22"/>
  <c r="AT157" i="22"/>
  <c r="AS153" i="22"/>
  <c r="AT144" i="22"/>
  <c r="AU144" i="22"/>
  <c r="AU157" i="22"/>
  <c r="AT153" i="22"/>
  <c r="AU159" i="22"/>
  <c r="AV159" i="22"/>
  <c r="AU153" i="22"/>
  <c r="AV144" i="22"/>
  <c r="AV157" i="22"/>
  <c r="AV153" i="22"/>
  <c r="E25" i="37"/>
  <c r="B55" i="37"/>
  <c r="G25" i="21"/>
  <c r="C29" i="21"/>
  <c r="G67" i="37"/>
  <c r="F36" i="18"/>
  <c r="F95" i="18"/>
  <c r="F41" i="18"/>
  <c r="F96" i="18"/>
  <c r="C34" i="21"/>
  <c r="F87" i="18"/>
  <c r="F30" i="18"/>
  <c r="G8" i="21"/>
  <c r="F60" i="18"/>
  <c r="C16" i="21"/>
  <c r="G69" i="37"/>
  <c r="C42" i="21"/>
  <c r="G73" i="37"/>
  <c r="G34" i="21"/>
  <c r="C37" i="21"/>
  <c r="G16" i="21"/>
  <c r="F99" i="18"/>
  <c r="F47" i="18"/>
  <c r="F85" i="18"/>
  <c r="E28" i="37"/>
  <c r="K34" i="21"/>
  <c r="G40" i="21"/>
  <c r="G74" i="37"/>
  <c r="F42" i="18"/>
  <c r="G72" i="37"/>
  <c r="F69" i="18"/>
  <c r="F38" i="18"/>
  <c r="K42" i="21"/>
  <c r="G12" i="21"/>
  <c r="C10" i="21"/>
  <c r="C24" i="21"/>
  <c r="F98" i="18"/>
  <c r="C38" i="21"/>
  <c r="F78" i="18"/>
  <c r="F80" i="18"/>
  <c r="F44" i="18"/>
  <c r="G15" i="21"/>
  <c r="K38" i="21"/>
  <c r="F33" i="18"/>
  <c r="F11" i="18"/>
  <c r="G24" i="21"/>
  <c r="F90" i="18"/>
  <c r="F37" i="18"/>
  <c r="F22" i="18"/>
  <c r="F32" i="18"/>
  <c r="C26" i="21"/>
  <c r="F53" i="18"/>
  <c r="F24" i="18"/>
  <c r="F20" i="18"/>
  <c r="F106" i="18"/>
  <c r="C12" i="21"/>
  <c r="G10" i="21"/>
  <c r="G70" i="37"/>
  <c r="E55" i="37"/>
  <c r="F63" i="18"/>
  <c r="G66" i="37"/>
  <c r="G22" i="21"/>
  <c r="K40" i="21"/>
  <c r="F81" i="18"/>
  <c r="F68" i="18"/>
  <c r="F46" i="18"/>
  <c r="F52" i="18"/>
  <c r="K41" i="21"/>
  <c r="G62" i="37"/>
  <c r="F104" i="18"/>
  <c r="G65" i="37"/>
  <c r="F16" i="18"/>
  <c r="F64" i="18"/>
  <c r="F26" i="18"/>
  <c r="F73" i="18"/>
  <c r="G28" i="21"/>
  <c r="F15" i="18"/>
  <c r="G26" i="21"/>
  <c r="C85" i="37"/>
  <c r="F34" i="18"/>
  <c r="G41" i="21"/>
  <c r="F18" i="18"/>
  <c r="F54" i="18"/>
  <c r="F12" i="18"/>
  <c r="G61" i="37"/>
  <c r="C28" i="21"/>
  <c r="F48" i="18"/>
  <c r="D97" i="37"/>
  <c r="F91" i="18"/>
  <c r="F86" i="18"/>
  <c r="C41" i="21"/>
  <c r="F67" i="18"/>
  <c r="G29" i="21"/>
  <c r="F55" i="37"/>
  <c r="C84" i="37"/>
  <c r="F39" i="18"/>
  <c r="F107" i="18"/>
  <c r="C11" i="21"/>
  <c r="F79" i="18"/>
  <c r="F45" i="18"/>
  <c r="F31" i="18"/>
  <c r="F21" i="18"/>
  <c r="C22" i="21"/>
  <c r="F57" i="18"/>
  <c r="F75" i="18"/>
  <c r="D94" i="37"/>
  <c r="D99" i="37"/>
  <c r="G38" i="21"/>
  <c r="F62" i="18"/>
  <c r="G37" i="21"/>
  <c r="G75" i="37"/>
  <c r="F51" i="18"/>
  <c r="F71" i="18"/>
  <c r="C15" i="21"/>
  <c r="F59" i="18"/>
  <c r="G68" i="37"/>
  <c r="G23" i="21"/>
  <c r="G14" i="21"/>
  <c r="F65" i="18"/>
  <c r="F55" i="18"/>
  <c r="F77" i="18"/>
  <c r="F72" i="18"/>
  <c r="F112" i="18"/>
  <c r="F56" i="18"/>
  <c r="G71" i="37"/>
  <c r="E27" i="37"/>
  <c r="C23" i="21"/>
  <c r="F94" i="18"/>
  <c r="C14" i="21"/>
  <c r="F10" i="18"/>
  <c r="F29" i="18"/>
  <c r="C89" i="37"/>
  <c r="D98" i="37"/>
  <c r="F100" i="18"/>
  <c r="F28" i="18"/>
  <c r="G64" i="37"/>
  <c r="F14" i="18"/>
  <c r="F111" i="18"/>
  <c r="C40" i="21"/>
  <c r="F61" i="18"/>
  <c r="F40" i="18"/>
  <c r="C8" i="21"/>
  <c r="F9" i="18"/>
  <c r="G36" i="21"/>
  <c r="G63" i="37"/>
  <c r="F76" i="18"/>
  <c r="J17" i="37"/>
  <c r="L41" i="37"/>
  <c r="C65" i="37"/>
  <c r="L43" i="37"/>
  <c r="B74" i="37"/>
  <c r="C28" i="37"/>
  <c r="L36" i="37"/>
  <c r="F70" i="18"/>
  <c r="C36" i="21"/>
  <c r="C55" i="37"/>
  <c r="K37" i="21"/>
  <c r="K36" i="21"/>
  <c r="L25" i="37"/>
  <c r="F61" i="37"/>
  <c r="L39" i="37"/>
  <c r="F19" i="18"/>
  <c r="F97" i="18"/>
  <c r="C20" i="37"/>
  <c r="E31" i="37"/>
  <c r="G42" i="21"/>
  <c r="F23" i="18"/>
  <c r="F103" i="18"/>
  <c r="B20" i="37"/>
  <c r="D92" i="37"/>
  <c r="G11" i="21"/>
  <c r="B69" i="37"/>
  <c r="C26" i="37"/>
  <c r="C69" i="37"/>
  <c r="F63" i="37"/>
  <c r="E68" i="37"/>
  <c r="L22" i="37"/>
  <c r="F70" i="37"/>
  <c r="C25" i="21"/>
  <c r="F25" i="18"/>
  <c r="E69" i="37"/>
  <c r="L45" i="37"/>
  <c r="F74" i="37"/>
  <c r="D25" i="37"/>
  <c r="B65" i="37"/>
  <c r="C73" i="37"/>
  <c r="D31" i="37"/>
  <c r="B67" i="37"/>
  <c r="D27" i="37"/>
  <c r="B72" i="37"/>
  <c r="F69" i="37"/>
  <c r="B25" i="37"/>
  <c r="E70" i="37"/>
  <c r="L46" i="37"/>
  <c r="C75" i="37"/>
  <c r="E67" i="37"/>
  <c r="L40" i="37"/>
  <c r="L35" i="37"/>
  <c r="B73" i="37"/>
  <c r="L32" i="37"/>
  <c r="F72" i="37"/>
  <c r="B29" i="37"/>
  <c r="L30" i="37"/>
  <c r="B70" i="37"/>
  <c r="B63" i="37"/>
  <c r="B61" i="37"/>
  <c r="E65" i="37"/>
  <c r="D26" i="37"/>
  <c r="F73" i="37"/>
  <c r="E63" i="37"/>
  <c r="F64" i="37"/>
  <c r="B75" i="37"/>
  <c r="F66" i="37"/>
  <c r="B68" i="37"/>
  <c r="E72" i="37"/>
  <c r="L44" i="37"/>
  <c r="E64" i="37"/>
  <c r="B26" i="37"/>
  <c r="C67" i="37"/>
  <c r="L38" i="37"/>
  <c r="B66" i="37"/>
  <c r="L26" i="37"/>
  <c r="L48" i="37"/>
  <c r="C71" i="37"/>
  <c r="E74" i="37"/>
  <c r="L27" i="37"/>
  <c r="L28" i="37"/>
  <c r="E73" i="37"/>
  <c r="E62" i="37"/>
  <c r="C61" i="37"/>
  <c r="F62" i="37"/>
  <c r="L47" i="37"/>
  <c r="C66" i="37"/>
  <c r="E75" i="37"/>
  <c r="C68" i="37"/>
  <c r="C74" i="37"/>
  <c r="D29" i="37"/>
  <c r="B71" i="37"/>
  <c r="L33" i="37"/>
  <c r="F71" i="37"/>
  <c r="F75" i="37"/>
  <c r="E66" i="37"/>
  <c r="C72" i="37"/>
  <c r="B62" i="37"/>
  <c r="C70" i="37"/>
  <c r="E61" i="37"/>
  <c r="L34" i="37"/>
  <c r="L37" i="37"/>
  <c r="L31" i="37"/>
  <c r="C64" i="37"/>
  <c r="B64" i="37"/>
  <c r="B28" i="37"/>
  <c r="C62" i="37"/>
  <c r="C25" i="37"/>
  <c r="C27" i="37" s="1"/>
  <c r="E71" i="37"/>
  <c r="C29" i="37"/>
  <c r="L24" i="37"/>
  <c r="F67" i="37"/>
  <c r="L29" i="37"/>
  <c r="D30" i="37"/>
  <c r="C63" i="37"/>
  <c r="F65" i="37"/>
  <c r="F68" i="37"/>
  <c r="L21" i="37"/>
  <c r="L23" i="37"/>
  <c r="B27" i="37"/>
  <c r="F20" i="23" l="1"/>
  <c r="F18" i="23"/>
  <c r="F4" i="23"/>
  <c r="E20" i="23"/>
  <c r="I138" i="23"/>
  <c r="E100" i="23"/>
  <c r="N6" i="35"/>
  <c r="R20" i="25" s="1"/>
  <c r="C4" i="39" s="1"/>
  <c r="C6" i="39" s="1"/>
  <c r="C7" i="39" s="1"/>
  <c r="I137" i="23"/>
  <c r="I142" i="23"/>
  <c r="E116" i="23" s="1"/>
  <c r="F98" i="23" s="1"/>
  <c r="F152" i="23" s="1"/>
  <c r="F164" i="23" s="1"/>
  <c r="D8" i="32" s="1"/>
  <c r="I114" i="23"/>
  <c r="E122" i="23" s="1"/>
  <c r="E23" i="23" s="1"/>
  <c r="G22" i="23" s="1"/>
  <c r="E16" i="23"/>
  <c r="E15" i="23"/>
  <c r="E48" i="23"/>
  <c r="E19" i="23"/>
  <c r="F16" i="23"/>
  <c r="I125" i="23"/>
  <c r="E129" i="23" s="1"/>
  <c r="F136" i="23" s="1"/>
  <c r="D54" i="43"/>
  <c r="F24" i="43"/>
  <c r="D49" i="43"/>
  <c r="K6" i="43"/>
  <c r="D48" i="43"/>
  <c r="E48" i="43" s="1"/>
  <c r="F25" i="43"/>
  <c r="D55" i="43"/>
  <c r="E55" i="43" s="1"/>
  <c r="F27" i="43"/>
  <c r="D50" i="43"/>
  <c r="E50" i="43" s="1"/>
  <c r="F19" i="43"/>
  <c r="D53" i="43"/>
  <c r="F26" i="43"/>
  <c r="F18" i="43"/>
  <c r="D52" i="43"/>
  <c r="D51" i="43"/>
  <c r="E51" i="43" s="1"/>
  <c r="E53" i="43"/>
  <c r="F24" i="24"/>
  <c r="H2" i="43"/>
  <c r="E96" i="23"/>
  <c r="F126" i="23" s="1"/>
  <c r="I123" i="23" s="1"/>
  <c r="E127" i="23" s="1"/>
  <c r="F132" i="23" s="1"/>
  <c r="E54" i="43"/>
  <c r="E49" i="43"/>
  <c r="AA8" i="34"/>
  <c r="AA12" i="34"/>
  <c r="AA9" i="34"/>
  <c r="AA13" i="34"/>
  <c r="AA6" i="34"/>
  <c r="AA10" i="34"/>
  <c r="AA14" i="34"/>
  <c r="AA7" i="34"/>
  <c r="AA11" i="34"/>
  <c r="W22" i="34"/>
  <c r="R26" i="34" s="1"/>
  <c r="R27" i="34"/>
  <c r="E11" i="23"/>
  <c r="F32" i="23" s="1"/>
  <c r="E103" i="23"/>
  <c r="E141" i="23"/>
  <c r="H3" i="43"/>
  <c r="E52" i="43"/>
  <c r="H4" i="43"/>
  <c r="N48" i="37"/>
  <c r="B88" i="37"/>
  <c r="U18" i="25"/>
  <c r="D33" i="37"/>
  <c r="B89" i="37"/>
  <c r="D35" i="37"/>
  <c r="D34" i="37"/>
  <c r="C43" i="21"/>
  <c r="C17" i="21"/>
  <c r="G17" i="21"/>
  <c r="G27" i="21"/>
  <c r="K43" i="21"/>
  <c r="C27" i="21"/>
  <c r="D49" i="18"/>
  <c r="G43" i="21"/>
  <c r="F116" i="23"/>
  <c r="F118" i="23"/>
  <c r="G134" i="23"/>
  <c r="F104" i="23"/>
  <c r="F110" i="23"/>
  <c r="F106" i="23"/>
  <c r="I141" i="23"/>
  <c r="E115" i="23" s="1"/>
  <c r="I136" i="23"/>
  <c r="E21" i="23"/>
  <c r="I130" i="23"/>
  <c r="I115" i="23"/>
  <c r="E123" i="23" s="1"/>
  <c r="G98" i="23"/>
  <c r="F100" i="23"/>
  <c r="F154" i="23" s="1"/>
  <c r="F166" i="23" s="1"/>
  <c r="F112" i="23"/>
  <c r="I128" i="23"/>
  <c r="B99" i="37"/>
  <c r="B97" i="37"/>
  <c r="B98" i="37"/>
  <c r="B92" i="37"/>
  <c r="B96" i="37"/>
  <c r="B93" i="37"/>
  <c r="B95" i="37"/>
  <c r="B94" i="37"/>
  <c r="C96" i="37"/>
  <c r="C99" i="37"/>
  <c r="C98" i="37"/>
  <c r="C97" i="37"/>
  <c r="C92" i="37"/>
  <c r="C95" i="37"/>
  <c r="C93" i="37"/>
  <c r="C94" i="37"/>
  <c r="F49" i="18"/>
  <c r="F36" i="23" l="1"/>
  <c r="AC6" i="34"/>
  <c r="AC7" i="34" s="1"/>
  <c r="H3" i="44" s="1"/>
  <c r="X21" i="25"/>
  <c r="E42" i="23"/>
  <c r="F54" i="23" s="1"/>
  <c r="F72" i="23" s="1"/>
  <c r="G62" i="23"/>
  <c r="F62" i="23"/>
  <c r="G136" i="23"/>
  <c r="I148" i="23"/>
  <c r="I147" i="23"/>
  <c r="F52" i="23"/>
  <c r="I146" i="23"/>
  <c r="F48" i="23"/>
  <c r="G58" i="23"/>
  <c r="F60" i="23"/>
  <c r="E70" i="23"/>
  <c r="G60" i="23"/>
  <c r="G56" i="23"/>
  <c r="E69" i="23"/>
  <c r="E14" i="32" s="1"/>
  <c r="F66" i="23"/>
  <c r="F64" i="23"/>
  <c r="F17" i="43"/>
  <c r="K5" i="43" s="1"/>
  <c r="E4" i="44"/>
  <c r="F50" i="23"/>
  <c r="I32" i="25"/>
  <c r="K8" i="43"/>
  <c r="I42" i="25" s="1"/>
  <c r="L51" i="24" s="1"/>
  <c r="K51" i="24" s="1"/>
  <c r="E26" i="23"/>
  <c r="E29" i="23" s="1"/>
  <c r="X24" i="25" s="1"/>
  <c r="R28" i="34"/>
  <c r="I118" i="23"/>
  <c r="I113" i="23"/>
  <c r="E121" i="23" s="1"/>
  <c r="E10" i="23"/>
  <c r="I120" i="23"/>
  <c r="K7" i="43"/>
  <c r="P29" i="25" s="1"/>
  <c r="AU41" i="25" s="1"/>
  <c r="E9" i="24" s="1"/>
  <c r="K113" i="23"/>
  <c r="E138" i="23" s="1"/>
  <c r="K128" i="23"/>
  <c r="AD21" i="25"/>
  <c r="D9" i="32"/>
  <c r="G100" i="23"/>
  <c r="E24" i="23"/>
  <c r="F108" i="23"/>
  <c r="F102" i="23"/>
  <c r="F114" i="23"/>
  <c r="I119" i="23"/>
  <c r="F96" i="23"/>
  <c r="F150" i="23" s="1"/>
  <c r="F162" i="23" s="1"/>
  <c r="E8" i="32"/>
  <c r="E20" i="32"/>
  <c r="AB26" i="25" l="1"/>
  <c r="H4" i="44"/>
  <c r="F58" i="23"/>
  <c r="E68" i="23"/>
  <c r="F56" i="23"/>
  <c r="G46" i="23"/>
  <c r="F44" i="23"/>
  <c r="F76" i="23" s="1"/>
  <c r="G44" i="23"/>
  <c r="F46" i="23"/>
  <c r="F78" i="23" s="1"/>
  <c r="F42" i="23"/>
  <c r="F74" i="23" s="1"/>
  <c r="F144" i="23" s="1"/>
  <c r="G42" i="23"/>
  <c r="F70" i="23"/>
  <c r="F68" i="23"/>
  <c r="H43" i="25"/>
  <c r="AV41" i="25" s="1"/>
  <c r="E3" i="44"/>
  <c r="L52" i="24"/>
  <c r="K52" i="24" s="1"/>
  <c r="E6" i="24"/>
  <c r="F6" i="24" s="1"/>
  <c r="L50" i="24"/>
  <c r="K50" i="24" s="1"/>
  <c r="L53" i="24"/>
  <c r="K53" i="24" s="1"/>
  <c r="G132" i="23"/>
  <c r="F28" i="23"/>
  <c r="E5" i="23"/>
  <c r="F30" i="23"/>
  <c r="E7" i="23"/>
  <c r="G96" i="23"/>
  <c r="R21" i="25"/>
  <c r="D7" i="32"/>
  <c r="V4" i="33"/>
  <c r="AC4" i="33" s="1"/>
  <c r="G24" i="23"/>
  <c r="F38" i="23" s="1"/>
  <c r="E27" i="23"/>
  <c r="E30" i="23" s="1"/>
  <c r="AD24" i="25" s="1"/>
  <c r="E22" i="32"/>
  <c r="E16" i="32"/>
  <c r="E10" i="32"/>
  <c r="AI8" i="33" l="1"/>
  <c r="B5" i="44"/>
  <c r="F138" i="23"/>
  <c r="F142" i="23"/>
  <c r="F148" i="23"/>
  <c r="F140" i="23"/>
  <c r="F146" i="23"/>
  <c r="F8" i="24"/>
  <c r="F18" i="24" s="1"/>
  <c r="F38" i="24" s="1"/>
  <c r="F44" i="24" s="1"/>
  <c r="F24" i="23"/>
  <c r="E25" i="23"/>
  <c r="E28" i="23" s="1"/>
  <c r="F20" i="24"/>
  <c r="F16" i="24"/>
  <c r="G12" i="24"/>
  <c r="G16" i="24"/>
  <c r="G22" i="24"/>
  <c r="F22" i="24"/>
  <c r="G28" i="24" s="1"/>
  <c r="G40" i="24" s="1"/>
  <c r="F12" i="24"/>
  <c r="G20" i="24"/>
  <c r="E6" i="32"/>
  <c r="E18" i="32"/>
  <c r="Y4" i="33" s="1"/>
  <c r="E12" i="32"/>
  <c r="G18" i="24" l="1"/>
  <c r="G38" i="24" s="1"/>
  <c r="G44" i="24" s="1"/>
  <c r="AR68" i="22" s="1"/>
  <c r="G14" i="24"/>
  <c r="G34" i="24"/>
  <c r="F34" i="24"/>
  <c r="AJ11" i="33"/>
  <c r="B6" i="44" s="1"/>
  <c r="AI11" i="33"/>
  <c r="AK11" i="33" s="1"/>
  <c r="B7" i="44" s="1"/>
  <c r="F14" i="24"/>
  <c r="G30" i="24"/>
  <c r="R24" i="25"/>
  <c r="W4" i="33"/>
  <c r="F28" i="24"/>
  <c r="F40" i="24" s="1"/>
  <c r="D4" i="32"/>
  <c r="E4" i="32" s="1"/>
  <c r="F34" i="23"/>
  <c r="F26" i="23" s="1"/>
  <c r="M26" i="25" s="1"/>
  <c r="F30" i="24"/>
  <c r="AC48" i="22"/>
  <c r="W65" i="22"/>
  <c r="AL27" i="22"/>
  <c r="AA51" i="22"/>
  <c r="AV58" i="22"/>
  <c r="Z32" i="22"/>
  <c r="W47" i="22"/>
  <c r="AC42" i="22"/>
  <c r="AD41" i="22"/>
  <c r="AH19" i="22"/>
  <c r="X65" i="22"/>
  <c r="AD48" i="22"/>
  <c r="AF56" i="22"/>
  <c r="AD60" i="22"/>
  <c r="AB29" i="22"/>
  <c r="S38" i="22"/>
  <c r="V39" i="22"/>
  <c r="AH23" i="22"/>
  <c r="V38" i="22"/>
  <c r="AA43" i="22"/>
  <c r="O36" i="22"/>
  <c r="AX52" i="22"/>
  <c r="AY52" i="22" s="1"/>
  <c r="AZ52" i="22" s="1"/>
  <c r="AW69" i="25" s="1"/>
  <c r="AY69" i="25" s="1"/>
  <c r="AD57" i="22"/>
  <c r="Z62" i="22"/>
  <c r="N65" i="22"/>
  <c r="BB65" i="22" s="1"/>
  <c r="AN39" i="22"/>
  <c r="W57" i="22"/>
  <c r="AI24" i="22"/>
  <c r="AU30" i="22"/>
  <c r="AH36" i="22"/>
  <c r="AV45" i="22"/>
  <c r="N33" i="22"/>
  <c r="BB33" i="22" s="1"/>
  <c r="R49" i="22"/>
  <c r="W50" i="22"/>
  <c r="AL57" i="22"/>
  <c r="P63" i="22"/>
  <c r="T66" i="22"/>
  <c r="U56" i="22"/>
  <c r="S60" i="22"/>
  <c r="S64" i="22"/>
  <c r="X41" i="22"/>
  <c r="N56" i="22"/>
  <c r="BB56" i="22" s="1"/>
  <c r="N59" i="22"/>
  <c r="BB59" i="22" s="1"/>
  <c r="R20" i="22"/>
  <c r="R31" i="22"/>
  <c r="AX49" i="22"/>
  <c r="AB26" i="22"/>
  <c r="P42" i="22"/>
  <c r="AJ17" i="22"/>
  <c r="AI15" i="22"/>
  <c r="AL15" i="22"/>
  <c r="V43" i="22"/>
  <c r="AI36" i="22"/>
  <c r="AD50" i="22"/>
  <c r="Z57" i="22"/>
  <c r="AD29" i="22"/>
  <c r="S52" i="22"/>
  <c r="W60" i="22"/>
  <c r="AU64" i="22"/>
  <c r="AO57" i="22"/>
  <c r="AR43" i="22"/>
  <c r="V47" i="22"/>
  <c r="AE56" i="22"/>
  <c r="AU25" i="22"/>
  <c r="AG29" i="22"/>
  <c r="AU58" i="22"/>
  <c r="AM7" i="22"/>
  <c r="AG28" i="22"/>
  <c r="Q61" i="22"/>
  <c r="T20" i="22"/>
  <c r="X24" i="22"/>
  <c r="AF50" i="22"/>
  <c r="Z43" i="22"/>
  <c r="AJ30" i="22"/>
  <c r="AR39" i="22"/>
  <c r="AC44" i="22"/>
  <c r="N39" i="22"/>
  <c r="P54" i="22"/>
  <c r="AB58" i="22"/>
  <c r="X63" i="22"/>
  <c r="AN30" i="22"/>
  <c r="Z45" i="22"/>
  <c r="U8" i="22"/>
  <c r="R28" i="22"/>
  <c r="U39" i="22"/>
  <c r="Z38" i="22"/>
  <c r="S48" i="22"/>
  <c r="N36" i="22"/>
  <c r="BB36" i="22" s="1"/>
  <c r="R50" i="22"/>
  <c r="P56" i="22"/>
  <c r="T58" i="22"/>
  <c r="AF63" i="22"/>
  <c r="T36" i="22"/>
  <c r="O57" i="22"/>
  <c r="AX61" i="22"/>
  <c r="AI64" i="22"/>
  <c r="P43" i="22"/>
  <c r="X57" i="22"/>
  <c r="P62" i="22"/>
  <c r="AI33" i="22"/>
  <c r="AH43" i="22"/>
  <c r="AM10" i="22"/>
  <c r="AV36" i="22"/>
  <c r="T44" i="22"/>
  <c r="AT33" i="22"/>
  <c r="S27" i="22"/>
  <c r="X50" i="22"/>
  <c r="T45" i="22"/>
  <c r="W39" i="22"/>
  <c r="P32" i="22"/>
  <c r="X58" i="22"/>
  <c r="AP36" i="22"/>
  <c r="Y56" i="22"/>
  <c r="O62" i="22"/>
  <c r="AN44" i="22"/>
  <c r="AT20" i="22"/>
  <c r="AH57" i="22"/>
  <c r="AL64" i="22"/>
  <c r="AI57" i="22"/>
  <c r="Q63" i="22"/>
  <c r="AV26" i="22"/>
  <c r="S49" i="22"/>
  <c r="Z58" i="22"/>
  <c r="AH63" i="22"/>
  <c r="X67" i="22"/>
  <c r="P37" i="22"/>
  <c r="AI67" i="22"/>
  <c r="O58" i="22"/>
  <c r="Y68" i="22"/>
  <c r="AX57" i="22"/>
  <c r="Y66" i="22"/>
  <c r="AJ49" i="22"/>
  <c r="AB42" i="22"/>
  <c r="AV44" i="22"/>
  <c r="AU67" i="22"/>
  <c r="AB53" i="22"/>
  <c r="P55" i="22"/>
  <c r="AE21" i="22"/>
  <c r="AS68" i="22"/>
  <c r="Y35" i="22"/>
  <c r="AF44" i="22"/>
  <c r="W41" i="22"/>
  <c r="Z44" i="22"/>
  <c r="T56" i="22"/>
  <c r="R64" i="22"/>
  <c r="O49" i="22"/>
  <c r="AX34" i="22"/>
  <c r="P44" i="22"/>
  <c r="AX44" i="22"/>
  <c r="AB56" i="22"/>
  <c r="Z64" i="22"/>
  <c r="AE57" i="22"/>
  <c r="O65" i="22"/>
  <c r="R58" i="22"/>
  <c r="AE30" i="22"/>
  <c r="Y20" i="22"/>
  <c r="W48" i="22"/>
  <c r="AX25" i="22"/>
  <c r="AY25" i="22" s="1"/>
  <c r="AZ25" i="22" s="1"/>
  <c r="AW42" i="25" s="1"/>
  <c r="AY42" i="25" s="1"/>
  <c r="X28" i="22"/>
  <c r="Q42" i="22"/>
  <c r="N60" i="22"/>
  <c r="BB60" i="22" s="1"/>
  <c r="S57" i="22"/>
  <c r="U52" i="22"/>
  <c r="T54" i="22"/>
  <c r="AB63" i="22"/>
  <c r="Y58" i="22"/>
  <c r="AM64" i="22"/>
  <c r="N45" i="22"/>
  <c r="T60" i="22"/>
  <c r="AJ64" i="22"/>
  <c r="AD68" i="22"/>
  <c r="X68" i="22"/>
  <c r="AX64" i="22"/>
  <c r="AA56" i="22"/>
  <c r="V67" i="22"/>
  <c r="AM69" i="22"/>
  <c r="AG71" i="22"/>
  <c r="Y73" i="22"/>
  <c r="AM58" i="22"/>
  <c r="W67" i="22"/>
  <c r="AV69" i="22"/>
  <c r="AX36" i="22"/>
  <c r="V49" i="22"/>
  <c r="S53" i="22"/>
  <c r="P66" i="22"/>
  <c r="AE49" i="22"/>
  <c r="O60" i="22"/>
  <c r="AQ64" i="22"/>
  <c r="AD45" i="22"/>
  <c r="AB57" i="22"/>
  <c r="R63" i="22"/>
  <c r="N66" i="22"/>
  <c r="BB66" i="22" s="1"/>
  <c r="AD39" i="22"/>
  <c r="AA58" i="22"/>
  <c r="N42" i="22"/>
  <c r="BB42" i="22" s="1"/>
  <c r="AE68" i="22"/>
  <c r="S58" i="22"/>
  <c r="AX67" i="22"/>
  <c r="AQ69" i="22"/>
  <c r="AK71" i="22"/>
  <c r="AA40" i="22"/>
  <c r="AB38" i="22"/>
  <c r="N64" i="22"/>
  <c r="BB64" i="22" s="1"/>
  <c r="AP45" i="22"/>
  <c r="Q58" i="22"/>
  <c r="W64" i="22"/>
  <c r="R38" i="22"/>
  <c r="Z56" i="22"/>
  <c r="AL58" i="22"/>
  <c r="AB64" i="22"/>
  <c r="AF67" i="22"/>
  <c r="R45" i="22"/>
  <c r="AC64" i="22"/>
  <c r="O54" i="22"/>
  <c r="O67" i="22"/>
  <c r="N69" i="22"/>
  <c r="BB69" i="22" s="1"/>
  <c r="U60" i="22"/>
  <c r="AG67" i="22"/>
  <c r="AE69" i="22"/>
  <c r="Y71" i="22"/>
  <c r="Q73" i="22"/>
  <c r="AJ43" i="22"/>
  <c r="AP35" i="22"/>
  <c r="T40" i="22"/>
  <c r="AF58" i="22"/>
  <c r="Z35" i="22"/>
  <c r="Q56" i="22"/>
  <c r="S62" i="22"/>
  <c r="X39" i="22"/>
  <c r="R54" i="22"/>
  <c r="AV64" i="22"/>
  <c r="AG64" i="22"/>
  <c r="AO68" i="22"/>
  <c r="X74" i="22"/>
  <c r="AM67" i="22"/>
  <c r="AD70" i="22"/>
  <c r="Z72" i="22"/>
  <c r="P72" i="22"/>
  <c r="AH74" i="22"/>
  <c r="AA76" i="22"/>
  <c r="S78" i="22"/>
  <c r="AX79" i="22"/>
  <c r="AO81" i="22"/>
  <c r="AG83" i="22"/>
  <c r="Y85" i="22"/>
  <c r="Q87" i="22"/>
  <c r="AQ88" i="22"/>
  <c r="AP69" i="22"/>
  <c r="T73" i="22"/>
  <c r="V75" i="22"/>
  <c r="X71" i="22"/>
  <c r="Q74" i="22"/>
  <c r="AU75" i="22"/>
  <c r="AM77" i="22"/>
  <c r="AE79" i="22"/>
  <c r="W81" i="22"/>
  <c r="O83" i="22"/>
  <c r="AS84" i="22"/>
  <c r="AK86" i="22"/>
  <c r="AC88" i="22"/>
  <c r="U90" i="22"/>
  <c r="AA71" i="22"/>
  <c r="W74" i="22"/>
  <c r="N76" i="22"/>
  <c r="BB76" i="22" s="1"/>
  <c r="O66" i="22"/>
  <c r="S69" i="22"/>
  <c r="AE36" i="22"/>
  <c r="R67" i="22"/>
  <c r="N70" i="22"/>
  <c r="BB70" i="22" s="1"/>
  <c r="N72" i="22"/>
  <c r="AB71" i="22"/>
  <c r="S74" i="22"/>
  <c r="O76" i="22"/>
  <c r="AS77" i="22"/>
  <c r="AK79" i="22"/>
  <c r="AC81" i="22"/>
  <c r="U83" i="22"/>
  <c r="AU84" i="22"/>
  <c r="AM86" i="22"/>
  <c r="AE88" i="22"/>
  <c r="Q69" i="22"/>
  <c r="AN72" i="22"/>
  <c r="AU74" i="22"/>
  <c r="AJ70" i="22"/>
  <c r="AL73" i="22"/>
  <c r="AI75" i="22"/>
  <c r="AA77" i="22"/>
  <c r="S79" i="22"/>
  <c r="AX80" i="22"/>
  <c r="AO82" i="22"/>
  <c r="AG84" i="22"/>
  <c r="Y86" i="22"/>
  <c r="Q88" i="22"/>
  <c r="AQ89" i="22"/>
  <c r="AI71" i="22"/>
  <c r="AC74" i="22"/>
  <c r="R76" i="22"/>
  <c r="AF29" i="22"/>
  <c r="AQ50" i="22"/>
  <c r="Q59" i="22"/>
  <c r="AO38" i="22"/>
  <c r="AX14" i="22"/>
  <c r="AY14" i="22" s="1"/>
  <c r="P28" i="22"/>
  <c r="AJ45" i="22"/>
  <c r="U42" i="22"/>
  <c r="AA49" i="22"/>
  <c r="N57" i="22"/>
  <c r="BB57" i="22" s="1"/>
  <c r="AH64" i="22"/>
  <c r="AC56" i="22"/>
  <c r="AR33" i="22"/>
  <c r="P45" i="22"/>
  <c r="P48" i="22"/>
  <c r="V57" i="22"/>
  <c r="AP64" i="22"/>
  <c r="AC58" i="22"/>
  <c r="Z36" i="22"/>
  <c r="AH58" i="22"/>
  <c r="AB30" i="22"/>
  <c r="AC15" i="22"/>
  <c r="AG50" i="22"/>
  <c r="AM36" i="22"/>
  <c r="Y44" i="22"/>
  <c r="AD64" i="22"/>
  <c r="AG58" i="22"/>
  <c r="T37" i="22"/>
  <c r="X56" i="22"/>
  <c r="AV66" i="22"/>
  <c r="AX59" i="22"/>
  <c r="Q66" i="22"/>
  <c r="P53" i="22"/>
  <c r="AB62" i="22"/>
  <c r="P65" i="22"/>
  <c r="AX55" i="22"/>
  <c r="AB41" i="22"/>
  <c r="AP67" i="22"/>
  <c r="O63" i="22"/>
  <c r="AQ67" i="22"/>
  <c r="U70" i="22"/>
  <c r="AX71" i="22"/>
  <c r="AO73" i="22"/>
  <c r="Y60" i="22"/>
  <c r="AG68" i="22"/>
  <c r="Z70" i="22"/>
  <c r="R36" i="22"/>
  <c r="N52" i="22"/>
  <c r="BB52" i="22" s="1"/>
  <c r="BC52" i="22" s="1"/>
  <c r="BD52" i="22" s="1"/>
  <c r="BE52" i="22" s="1"/>
  <c r="AX69" i="25" s="1"/>
  <c r="V60" i="22"/>
  <c r="AP31" i="22"/>
  <c r="O53" i="22"/>
  <c r="AE62" i="22"/>
  <c r="U66" i="22"/>
  <c r="O50" i="22"/>
  <c r="AD58" i="22"/>
  <c r="X64" i="22"/>
  <c r="AB67" i="22"/>
  <c r="U48" i="22"/>
  <c r="S67" i="22"/>
  <c r="AE58" i="22"/>
  <c r="W38" i="22"/>
  <c r="AK64" i="22"/>
  <c r="AF68" i="22"/>
  <c r="Y70" i="22"/>
  <c r="Q72" i="22"/>
  <c r="AL39" i="22"/>
  <c r="AP44" i="22"/>
  <c r="R65" i="22"/>
  <c r="AA50" i="22"/>
  <c r="AO58" i="22"/>
  <c r="S65" i="22"/>
  <c r="AT45" i="22"/>
  <c r="P57" i="22"/>
  <c r="N61" i="22"/>
  <c r="BB61" i="22" s="1"/>
  <c r="AR64" i="22"/>
  <c r="AV67" i="22"/>
  <c r="W49" i="22"/>
  <c r="Y67" i="22"/>
  <c r="AC57" i="22"/>
  <c r="AE67" i="22"/>
  <c r="V44" i="22"/>
  <c r="AC62" i="22"/>
  <c r="P68" i="22"/>
  <c r="AU69" i="22"/>
  <c r="AO71" i="22"/>
  <c r="AG73" i="22"/>
  <c r="AI50" i="22"/>
  <c r="AA41" i="22"/>
  <c r="S47" i="22"/>
  <c r="N62" i="22"/>
  <c r="BB62" i="22" s="1"/>
  <c r="V42" i="22"/>
  <c r="AA57" i="22"/>
  <c r="AE64" i="22"/>
  <c r="Z42" i="22"/>
  <c r="AJ57" i="22"/>
  <c r="Z68" i="22"/>
  <c r="T68" i="22"/>
  <c r="AG70" i="22"/>
  <c r="O47" i="22"/>
  <c r="AL68" i="22"/>
  <c r="N71" i="22"/>
  <c r="AG69" i="22"/>
  <c r="AR72" i="22"/>
  <c r="Q75" i="22"/>
  <c r="AQ76" i="22"/>
  <c r="AI78" i="22"/>
  <c r="AA80" i="22"/>
  <c r="S82" i="22"/>
  <c r="AX83" i="22"/>
  <c r="AO85" i="22"/>
  <c r="AG87" i="22"/>
  <c r="Y89" i="22"/>
  <c r="AQ70" i="22"/>
  <c r="AP73" i="22"/>
  <c r="AL75" i="22"/>
  <c r="T72" i="22"/>
  <c r="AJ74" i="22"/>
  <c r="AC76" i="22"/>
  <c r="U78" i="22"/>
  <c r="AU79" i="22"/>
  <c r="AM81" i="22"/>
  <c r="AE83" i="22"/>
  <c r="W85" i="22"/>
  <c r="O87" i="22"/>
  <c r="AS88" i="22"/>
  <c r="V69" i="22"/>
  <c r="W72" i="22"/>
  <c r="AO74" i="22"/>
  <c r="AD63" i="22"/>
  <c r="AN68" i="22"/>
  <c r="AX70" i="22"/>
  <c r="AK57" i="22"/>
  <c r="Q68" i="22"/>
  <c r="AH70" i="22"/>
  <c r="AD72" i="22"/>
  <c r="X72" i="22"/>
  <c r="AL74" i="22"/>
  <c r="AE76" i="22"/>
  <c r="W78" i="22"/>
  <c r="O80" i="22"/>
  <c r="AS81" i="22"/>
  <c r="AK83" i="22"/>
  <c r="AC85" i="22"/>
  <c r="U87" i="22"/>
  <c r="AU88" i="22"/>
  <c r="S70" i="22"/>
  <c r="Z73" i="22"/>
  <c r="Z75" i="22"/>
  <c r="AF71" i="22"/>
  <c r="V74" i="22"/>
  <c r="Q76" i="22"/>
  <c r="AQ77" i="22"/>
  <c r="AI79" i="22"/>
  <c r="AA81" i="22"/>
  <c r="S83" i="22"/>
  <c r="AX84" i="22"/>
  <c r="AO86" i="22"/>
  <c r="AG88" i="22"/>
  <c r="Y90" i="22"/>
  <c r="AC40" i="22"/>
  <c r="Z66" i="22"/>
  <c r="AV34" i="22"/>
  <c r="AL50" i="22"/>
  <c r="R60" i="22"/>
  <c r="AS24" i="22"/>
  <c r="AC50" i="22"/>
  <c r="R62" i="22"/>
  <c r="Y63" i="22"/>
  <c r="X20" i="22"/>
  <c r="P34" i="22"/>
  <c r="Z29" i="22"/>
  <c r="S51" i="22"/>
  <c r="AA64" i="22"/>
  <c r="V62" i="22"/>
  <c r="AX63" i="22"/>
  <c r="T57" i="22"/>
  <c r="R68" i="22"/>
  <c r="AA63" i="22"/>
  <c r="AX65" i="22"/>
  <c r="Q71" i="22"/>
  <c r="Q53" i="22"/>
  <c r="AF69" i="22"/>
  <c r="AI43" i="22"/>
  <c r="AT64" i="22"/>
  <c r="AK58" i="22"/>
  <c r="AF43" i="22"/>
  <c r="AV60" i="22"/>
  <c r="AH68" i="22"/>
  <c r="AC68" i="22"/>
  <c r="AV52" i="22"/>
  <c r="AA69" i="22"/>
  <c r="AI20" i="22"/>
  <c r="P58" i="22"/>
  <c r="AX56" i="22"/>
  <c r="AN34" i="22"/>
  <c r="N58" i="22"/>
  <c r="BB58" i="22" s="1"/>
  <c r="P67" i="22"/>
  <c r="U62" i="22"/>
  <c r="Q64" i="22"/>
  <c r="AI58" i="22"/>
  <c r="O69" i="22"/>
  <c r="AK72" i="22"/>
  <c r="U51" i="22"/>
  <c r="R57" i="22"/>
  <c r="AX54" i="22"/>
  <c r="AJ35" i="22"/>
  <c r="AP58" i="22"/>
  <c r="O59" i="22"/>
  <c r="Y64" i="22"/>
  <c r="AT71" i="22"/>
  <c r="N74" i="22"/>
  <c r="AO77" i="22"/>
  <c r="Y81" i="22"/>
  <c r="AQ84" i="22"/>
  <c r="AA88" i="22"/>
  <c r="AI72" i="22"/>
  <c r="AB70" i="22"/>
  <c r="AE75" i="22"/>
  <c r="O79" i="22"/>
  <c r="AK82" i="22"/>
  <c r="U86" i="22"/>
  <c r="AM89" i="22"/>
  <c r="AH73" i="22"/>
  <c r="S68" i="22"/>
  <c r="AK73" i="22"/>
  <c r="AB69" i="22"/>
  <c r="AF70" i="22"/>
  <c r="AK75" i="22"/>
  <c r="U79" i="22"/>
  <c r="AM82" i="22"/>
  <c r="W86" i="22"/>
  <c r="AS89" i="22"/>
  <c r="AE74" i="22"/>
  <c r="P73" i="22"/>
  <c r="AX76" i="22"/>
  <c r="AG80" i="22"/>
  <c r="Q84" i="22"/>
  <c r="AI87" i="22"/>
  <c r="AM70" i="22"/>
  <c r="AS74" i="22"/>
  <c r="T76" i="22"/>
  <c r="AH86" i="22"/>
  <c r="T79" i="22"/>
  <c r="T83" i="22"/>
  <c r="AJ67" i="22"/>
  <c r="AX60" i="22"/>
  <c r="AI69" i="22"/>
  <c r="O56" i="22"/>
  <c r="AC67" i="22"/>
  <c r="AL70" i="22"/>
  <c r="AH72" i="22"/>
  <c r="AF72" i="22"/>
  <c r="AP74" i="22"/>
  <c r="AI76" i="22"/>
  <c r="AA78" i="22"/>
  <c r="S80" i="22"/>
  <c r="AX81" i="22"/>
  <c r="AO83" i="22"/>
  <c r="AG85" i="22"/>
  <c r="Y87" i="22"/>
  <c r="Q89" i="22"/>
  <c r="AA70" i="22"/>
  <c r="AE73" i="22"/>
  <c r="AD75" i="22"/>
  <c r="AN71" i="22"/>
  <c r="AA74" i="22"/>
  <c r="U76" i="22"/>
  <c r="AU77" i="22"/>
  <c r="AM79" i="22"/>
  <c r="AE81" i="22"/>
  <c r="W83" i="22"/>
  <c r="O85" i="22"/>
  <c r="AS86" i="22"/>
  <c r="AK88" i="22"/>
  <c r="AC90" i="22"/>
  <c r="AL72" i="22"/>
  <c r="AX74" i="22"/>
  <c r="AL76" i="22"/>
  <c r="AP82" i="22"/>
  <c r="AB78" i="22"/>
  <c r="AB82" i="22"/>
  <c r="AB86" i="22"/>
  <c r="Z90" i="22"/>
  <c r="T92" i="22"/>
  <c r="V66" i="22"/>
  <c r="AK67" i="22"/>
  <c r="AS71" i="22"/>
  <c r="S63" i="22"/>
  <c r="T69" i="22"/>
  <c r="Z71" i="22"/>
  <c r="P70" i="22"/>
  <c r="X73" i="22"/>
  <c r="AC75" i="22"/>
  <c r="U77" i="22"/>
  <c r="AU78" i="22"/>
  <c r="AM80" i="22"/>
  <c r="AE82" i="22"/>
  <c r="W84" i="22"/>
  <c r="O86" i="22"/>
  <c r="AS87" i="22"/>
  <c r="AK89" i="22"/>
  <c r="AE71" i="22"/>
  <c r="U74" i="22"/>
  <c r="U69" i="22"/>
  <c r="AP72" i="22"/>
  <c r="AV74" i="22"/>
  <c r="AO76" i="22"/>
  <c r="AG78" i="22"/>
  <c r="Y80" i="22"/>
  <c r="Q82" i="22"/>
  <c r="AQ83" i="22"/>
  <c r="AI85" i="22"/>
  <c r="AA87" i="22"/>
  <c r="S89" i="22"/>
  <c r="AL69" i="22"/>
  <c r="AQ72" i="22"/>
  <c r="P75" i="22"/>
  <c r="AP76" i="22"/>
  <c r="R86" i="22"/>
  <c r="AJ78" i="22"/>
  <c r="AJ82" i="22"/>
  <c r="AJ86" i="22"/>
  <c r="AE90" i="22"/>
  <c r="X92" i="22"/>
  <c r="N94" i="22"/>
  <c r="AP95" i="22"/>
  <c r="R87" i="22"/>
  <c r="N79" i="22"/>
  <c r="BB79" i="22" s="1"/>
  <c r="N82" i="22"/>
  <c r="BB82" i="22" s="1"/>
  <c r="V85" i="22"/>
  <c r="V88" i="22"/>
  <c r="AR83" i="22"/>
  <c r="AD91" i="22"/>
  <c r="R94" i="22"/>
  <c r="AG96" i="22"/>
  <c r="V77" i="22"/>
  <c r="AD81" i="22"/>
  <c r="AL85" i="22"/>
  <c r="AD89" i="22"/>
  <c r="AE91" i="22"/>
  <c r="S93" i="22"/>
  <c r="AU94" i="22"/>
  <c r="AL96" i="22"/>
  <c r="AD92" i="22"/>
  <c r="AI90" i="22"/>
  <c r="AA92" i="22"/>
  <c r="U94" i="22"/>
  <c r="AX95" i="22"/>
  <c r="AF77" i="22"/>
  <c r="AV81" i="22"/>
  <c r="AV84" i="22"/>
  <c r="P88" i="22"/>
  <c r="T93" i="22"/>
  <c r="AV94" i="22"/>
  <c r="AM96" i="22"/>
  <c r="Z8" i="22"/>
  <c r="P11" i="22"/>
  <c r="AK15" i="22"/>
  <c r="T21" i="22"/>
  <c r="AS8" i="22"/>
  <c r="AO13" i="22"/>
  <c r="AG17" i="22"/>
  <c r="AC19" i="22"/>
  <c r="AU26" i="22"/>
  <c r="AB9" i="22"/>
  <c r="Y17" i="22"/>
  <c r="AM17" i="22"/>
  <c r="AG16" i="22"/>
  <c r="AE18" i="22"/>
  <c r="AP23" i="22"/>
  <c r="P10" i="22"/>
  <c r="AT34" i="22"/>
  <c r="AI34" i="22"/>
  <c r="W8" i="22"/>
  <c r="AX17" i="22"/>
  <c r="AB18" i="22"/>
  <c r="AO26" i="22"/>
  <c r="O35" i="22"/>
  <c r="AP25" i="22"/>
  <c r="AG39" i="22"/>
  <c r="S45" i="22"/>
  <c r="AV15" i="22"/>
  <c r="AT18" i="22"/>
  <c r="AE28" i="22"/>
  <c r="O19" i="22"/>
  <c r="AG30" i="22"/>
  <c r="V26" i="22"/>
  <c r="AK39" i="22"/>
  <c r="S42" i="22"/>
  <c r="P51" i="22"/>
  <c r="Z78" i="22"/>
  <c r="T87" i="22"/>
  <c r="AF92" i="22"/>
  <c r="AP94" i="22"/>
  <c r="AH80" i="22"/>
  <c r="AL78" i="22"/>
  <c r="AL82" i="22"/>
  <c r="N87" i="22"/>
  <c r="BB87" i="22" s="1"/>
  <c r="AA90" i="22"/>
  <c r="AC92" i="22"/>
  <c r="S94" i="22"/>
  <c r="AU95" i="22"/>
  <c r="AN91" i="22"/>
  <c r="R85" i="22"/>
  <c r="AK91" i="22"/>
  <c r="AC93" i="22"/>
  <c r="U95" i="22"/>
  <c r="AV96" i="22"/>
  <c r="P79" i="22"/>
  <c r="P82" i="22"/>
  <c r="P85" i="22"/>
  <c r="X88" i="22"/>
  <c r="AP90" i="22"/>
  <c r="AJ94" i="22"/>
  <c r="AA96" i="22"/>
  <c r="Z88" i="22"/>
  <c r="AL12" i="22"/>
  <c r="AA13" i="22"/>
  <c r="Q17" i="22"/>
  <c r="Z18" i="22"/>
  <c r="AL9" i="22"/>
  <c r="AG14" i="22"/>
  <c r="AC18" i="22"/>
  <c r="AX19" i="22"/>
  <c r="AY19" i="22" s="1"/>
  <c r="AZ19" i="22" s="1"/>
  <c r="AW36" i="25" s="1"/>
  <c r="AY36" i="25" s="1"/>
  <c r="AI23" i="22"/>
  <c r="AF17" i="22"/>
  <c r="AS14" i="22"/>
  <c r="X22" i="22"/>
  <c r="AQ18" i="22"/>
  <c r="V21" i="22"/>
  <c r="U25" i="22"/>
  <c r="S31" i="22"/>
  <c r="P27" i="22"/>
  <c r="AB35" i="22"/>
  <c r="Q35" i="22"/>
  <c r="AL10" i="22"/>
  <c r="X19" i="22"/>
  <c r="V24" i="22"/>
  <c r="Y27" i="22"/>
  <c r="AJ26" i="22"/>
  <c r="AM30" i="22"/>
  <c r="AI45" i="22"/>
  <c r="AR11" i="22"/>
  <c r="R15" i="22"/>
  <c r="AR18" i="22"/>
  <c r="AE24" i="22"/>
  <c r="AE33" i="22"/>
  <c r="X35" i="22"/>
  <c r="AK35" i="22"/>
  <c r="AD38" i="22"/>
  <c r="T38" i="22"/>
  <c r="AU14" i="22"/>
  <c r="AQ10" i="22"/>
  <c r="Z9" i="22"/>
  <c r="AB12" i="22"/>
  <c r="O15" i="22"/>
  <c r="AL11" i="22"/>
  <c r="AJ14" i="22"/>
  <c r="AM13" i="22"/>
  <c r="Z12" i="22"/>
  <c r="N26" i="22"/>
  <c r="BB26" i="22" s="1"/>
  <c r="BC26" i="22" s="1"/>
  <c r="BD26" i="22" s="1"/>
  <c r="BE26" i="22" s="1"/>
  <c r="AX43" i="25" s="1"/>
  <c r="O41" i="22"/>
  <c r="N18" i="22"/>
  <c r="AR81" i="22"/>
  <c r="N91" i="22"/>
  <c r="BB91" i="22" s="1"/>
  <c r="AP93" i="22"/>
  <c r="U96" i="22"/>
  <c r="AR76" i="22"/>
  <c r="AT80" i="22"/>
  <c r="N85" i="22"/>
  <c r="BB85" i="22" s="1"/>
  <c r="AT89" i="22"/>
  <c r="AM91" i="22"/>
  <c r="AQ93" i="22"/>
  <c r="AI95" i="22"/>
  <c r="AB91" i="22"/>
  <c r="Z81" i="22"/>
  <c r="Y91" i="22"/>
  <c r="Q93" i="22"/>
  <c r="AS94" i="22"/>
  <c r="AJ96" i="22"/>
  <c r="X79" i="22"/>
  <c r="AV82" i="22"/>
  <c r="P86" i="22"/>
  <c r="AV89" i="22"/>
  <c r="AR93" i="22"/>
  <c r="AJ95" i="22"/>
  <c r="AP79" i="22"/>
  <c r="AL13" i="22"/>
  <c r="AR9" i="22"/>
  <c r="T13" i="22"/>
  <c r="P22" i="22"/>
  <c r="AK20" i="22"/>
  <c r="V54" i="22"/>
  <c r="AM22" i="22"/>
  <c r="S17" i="22"/>
  <c r="AH35" i="22"/>
  <c r="X34" i="22"/>
  <c r="AQ36" i="22"/>
  <c r="X30" i="22"/>
  <c r="AH38" i="22"/>
  <c r="AH44" i="22"/>
  <c r="AR45" i="22"/>
  <c r="P38" i="22"/>
  <c r="AG49" i="22"/>
  <c r="T41" i="22"/>
  <c r="AO45" i="22"/>
  <c r="AB43" i="22"/>
  <c r="AU36" i="22"/>
  <c r="N63" i="22"/>
  <c r="BB63" i="22" s="1"/>
  <c r="W63" i="22"/>
  <c r="AR35" i="22"/>
  <c r="AA68" i="22"/>
  <c r="AC72" i="22"/>
  <c r="Q62" i="22"/>
  <c r="AP70" i="22"/>
  <c r="AJ36" i="22"/>
  <c r="S39" i="22"/>
  <c r="AC63" i="22"/>
  <c r="U53" i="22"/>
  <c r="AN64" i="22"/>
  <c r="W53" i="22"/>
  <c r="Q60" i="22"/>
  <c r="S66" i="22"/>
  <c r="AO70" i="22"/>
  <c r="N40" i="22"/>
  <c r="BB40" i="22" s="1"/>
  <c r="R33" i="22"/>
  <c r="AA60" i="22"/>
  <c r="AE50" i="22"/>
  <c r="T62" i="22"/>
  <c r="V68" i="22"/>
  <c r="AI68" i="22"/>
  <c r="O68" i="22"/>
  <c r="AE63" i="22"/>
  <c r="AC70" i="22"/>
  <c r="AX73" i="22"/>
  <c r="U45" i="22"/>
  <c r="T63" i="22"/>
  <c r="U58" i="22"/>
  <c r="R44" i="22"/>
  <c r="O61" i="22"/>
  <c r="Y72" i="22"/>
  <c r="X69" i="22"/>
  <c r="X70" i="22"/>
  <c r="AG75" i="22"/>
  <c r="Q79" i="22"/>
  <c r="AI82" i="22"/>
  <c r="S86" i="22"/>
  <c r="AO89" i="22"/>
  <c r="Z74" i="22"/>
  <c r="AU72" i="22"/>
  <c r="AS76" i="22"/>
  <c r="AC80" i="22"/>
  <c r="AU83" i="22"/>
  <c r="AE87" i="22"/>
  <c r="AT69" i="22"/>
  <c r="T75" i="22"/>
  <c r="AX53" i="22"/>
  <c r="AG62" i="22"/>
  <c r="R71" i="22"/>
  <c r="N73" i="22"/>
  <c r="AU76" i="22"/>
  <c r="AE80" i="22"/>
  <c r="O84" i="22"/>
  <c r="AK87" i="22"/>
  <c r="O71" i="22"/>
  <c r="AP75" i="22"/>
  <c r="AN74" i="22"/>
  <c r="Y78" i="22"/>
  <c r="AQ81" i="22"/>
  <c r="AA85" i="22"/>
  <c r="AX88" i="22"/>
  <c r="AE72" i="22"/>
  <c r="X75" i="22"/>
  <c r="AH77" i="22"/>
  <c r="AH89" i="22"/>
  <c r="T80" i="22"/>
  <c r="T84" i="22"/>
  <c r="Y57" i="22"/>
  <c r="U67" i="22"/>
  <c r="AC71" i="22"/>
  <c r="W58" i="22"/>
  <c r="W68" i="22"/>
  <c r="V71" i="22"/>
  <c r="AX69" i="22"/>
  <c r="S73" i="22"/>
  <c r="Y75" i="22"/>
  <c r="Q77" i="22"/>
  <c r="AQ78" i="22"/>
  <c r="AN38" i="22"/>
  <c r="R46" i="22"/>
  <c r="AK49" i="22"/>
  <c r="AT36" i="22"/>
  <c r="AA37" i="22"/>
  <c r="AL45" i="22"/>
  <c r="Q48" i="22"/>
  <c r="O43" i="22"/>
  <c r="AT44" i="22"/>
  <c r="Q54" i="22"/>
  <c r="T64" i="22"/>
  <c r="S54" i="22"/>
  <c r="AS72" i="22"/>
  <c r="S21" i="22"/>
  <c r="N44" i="22"/>
  <c r="BB44" i="22" s="1"/>
  <c r="V56" i="22"/>
  <c r="S56" i="22"/>
  <c r="AA67" i="22"/>
  <c r="AG44" i="22"/>
  <c r="AG63" i="22"/>
  <c r="V63" i="22"/>
  <c r="AH45" i="22"/>
  <c r="Q65" i="22"/>
  <c r="AB74" i="22"/>
  <c r="V64" i="22"/>
  <c r="AX48" i="22"/>
  <c r="AC73" i="22"/>
  <c r="T71" i="22"/>
  <c r="AG79" i="22"/>
  <c r="AI86" i="22"/>
  <c r="AQ74" i="22"/>
  <c r="W77" i="22"/>
  <c r="AC84" i="22"/>
  <c r="AE70" i="22"/>
  <c r="Q67" i="22"/>
  <c r="AH71" i="22"/>
  <c r="AC77" i="22"/>
  <c r="AE84" i="22"/>
  <c r="AU71" i="22"/>
  <c r="S75" i="22"/>
  <c r="Y82" i="22"/>
  <c r="AA89" i="22"/>
  <c r="AN75" i="22"/>
  <c r="T77" i="22"/>
  <c r="T85" i="22"/>
  <c r="R69" i="22"/>
  <c r="AX62" i="22"/>
  <c r="AL71" i="22"/>
  <c r="AN73" i="22"/>
  <c r="AG77" i="22"/>
  <c r="AI80" i="22"/>
  <c r="AQ82" i="22"/>
  <c r="Q85" i="22"/>
  <c r="AO87" i="22"/>
  <c r="AX89" i="22"/>
  <c r="AT72" i="22"/>
  <c r="AT75" i="22"/>
  <c r="V73" i="22"/>
  <c r="AM75" i="22"/>
  <c r="AC78" i="22"/>
  <c r="AK80" i="22"/>
  <c r="AS82" i="22"/>
  <c r="AE85" i="22"/>
  <c r="AM87" i="22"/>
  <c r="AU89" i="22"/>
  <c r="W73" i="22"/>
  <c r="AR75" i="22"/>
  <c r="AP78" i="22"/>
  <c r="AB79" i="22"/>
  <c r="AB84" i="22"/>
  <c r="AB89" i="22"/>
  <c r="P60" i="22"/>
  <c r="O51" i="22"/>
  <c r="Q70" i="22"/>
  <c r="W66" i="22"/>
  <c r="V70" i="22"/>
  <c r="Y69" i="22"/>
  <c r="AT73" i="22"/>
  <c r="W76" i="22"/>
  <c r="AE78" i="22"/>
  <c r="U81" i="22"/>
  <c r="AC83" i="22"/>
  <c r="AK85" i="22"/>
  <c r="W88" i="22"/>
  <c r="AH69" i="22"/>
  <c r="AJ73" i="22"/>
  <c r="T70" i="22"/>
  <c r="AV73" i="22"/>
  <c r="Y76" i="22"/>
  <c r="AX78" i="22"/>
  <c r="S81" i="22"/>
  <c r="AA83" i="22"/>
  <c r="Q86" i="22"/>
  <c r="Y88" i="22"/>
  <c r="AG90" i="22"/>
  <c r="AB73" i="22"/>
  <c r="AV75" i="22"/>
  <c r="R82" i="22"/>
  <c r="AJ79" i="22"/>
  <c r="AJ84" i="22"/>
  <c r="AJ89" i="22"/>
  <c r="AN92" i="22"/>
  <c r="AT94" i="22"/>
  <c r="Z80" i="22"/>
  <c r="AL79" i="22"/>
  <c r="AL83" i="22"/>
  <c r="AD87" i="22"/>
  <c r="AR86" i="22"/>
  <c r="AV92" i="22"/>
  <c r="AT95" i="22"/>
  <c r="AD78" i="22"/>
  <c r="AD83" i="22"/>
  <c r="AL88" i="22"/>
  <c r="AU91" i="22"/>
  <c r="O94" i="22"/>
  <c r="V96" i="22"/>
  <c r="AT92" i="22"/>
  <c r="AG91" i="22"/>
  <c r="AO93" i="22"/>
  <c r="AB96" i="22"/>
  <c r="AN79" i="22"/>
  <c r="P84" i="22"/>
  <c r="AV88" i="22"/>
  <c r="P94" i="22"/>
  <c r="W96" i="22"/>
  <c r="AB7" i="22"/>
  <c r="AR15" i="22"/>
  <c r="AS18" i="22"/>
  <c r="O8" i="22"/>
  <c r="Y15" i="22"/>
  <c r="AV16" i="22"/>
  <c r="AO16" i="22"/>
  <c r="S7" i="22"/>
  <c r="AG22" i="22"/>
  <c r="Z20" i="22"/>
  <c r="AG26" i="22"/>
  <c r="Y34" i="22"/>
  <c r="AN24" i="22"/>
  <c r="Q38" i="22"/>
  <c r="V8" i="22"/>
  <c r="V23" i="22"/>
  <c r="AX30" i="22"/>
  <c r="AY30" i="22" s="1"/>
  <c r="AH34" i="22"/>
  <c r="R37" i="22"/>
  <c r="AU8" i="22"/>
  <c r="X23" i="22"/>
  <c r="X17" i="22"/>
  <c r="Y26" i="22"/>
  <c r="AL34" i="22"/>
  <c r="X26" i="22"/>
  <c r="AM45" i="22"/>
  <c r="AV39" i="22"/>
  <c r="T89" i="22"/>
  <c r="AL93" i="22"/>
  <c r="AK96" i="22"/>
  <c r="AD79" i="22"/>
  <c r="AT84" i="22"/>
  <c r="AL89" i="22"/>
  <c r="AC60" i="22"/>
  <c r="AK63" i="22"/>
  <c r="AC45" i="22"/>
  <c r="N14" i="22"/>
  <c r="BB14" i="22" s="1"/>
  <c r="BC14" i="22" s="1"/>
  <c r="AJ58" i="22"/>
  <c r="Z63" i="22"/>
  <c r="U63" i="22"/>
  <c r="W62" i="22"/>
  <c r="AN67" i="22"/>
  <c r="U64" i="22"/>
  <c r="T74" i="22"/>
  <c r="AR24" i="22"/>
  <c r="AM57" i="22"/>
  <c r="X60" i="22"/>
  <c r="AO67" i="22"/>
  <c r="AX68" i="22"/>
  <c r="O52" i="22"/>
  <c r="AX66" i="22"/>
  <c r="R66" i="22"/>
  <c r="Y62" i="22"/>
  <c r="AK68" i="22"/>
  <c r="Z19" i="22"/>
  <c r="W51" i="22"/>
  <c r="V58" i="22"/>
  <c r="U57" i="22"/>
  <c r="AD73" i="22"/>
  <c r="AQ80" i="22"/>
  <c r="AX87" i="22"/>
  <c r="AC69" i="22"/>
  <c r="AK78" i="22"/>
  <c r="AM85" i="22"/>
  <c r="AV72" i="22"/>
  <c r="AO72" i="22"/>
  <c r="AO69" i="22"/>
  <c r="AM78" i="22"/>
  <c r="AS85" i="22"/>
  <c r="AU73" i="22"/>
  <c r="AG76" i="22"/>
  <c r="AI83" i="22"/>
  <c r="O70" i="22"/>
  <c r="AH76" i="22"/>
  <c r="T78" i="22"/>
  <c r="P64" i="22"/>
  <c r="AL67" i="22"/>
  <c r="U65" i="22"/>
  <c r="R72" i="22"/>
  <c r="Y74" i="22"/>
  <c r="AX77" i="22"/>
  <c r="Q81" i="22"/>
  <c r="Y83" i="22"/>
  <c r="AX85" i="22"/>
  <c r="S88" i="22"/>
  <c r="Z69" i="22"/>
  <c r="O74" i="22"/>
  <c r="AS69" i="22"/>
  <c r="AQ73" i="22"/>
  <c r="AK76" i="22"/>
  <c r="AS78" i="22"/>
  <c r="O81" i="22"/>
  <c r="AM83" i="22"/>
  <c r="AU85" i="22"/>
  <c r="U88" i="22"/>
  <c r="AD69" i="22"/>
  <c r="AR73" i="22"/>
  <c r="V76" i="22"/>
  <c r="AP86" i="22"/>
  <c r="AB80" i="22"/>
  <c r="AB85" i="22"/>
  <c r="AR90" i="22"/>
  <c r="X62" i="22"/>
  <c r="O40" i="22"/>
  <c r="U73" i="22"/>
  <c r="AH67" i="22"/>
  <c r="AT70" i="22"/>
  <c r="AV70" i="22"/>
  <c r="AD74" i="22"/>
  <c r="AM76" i="22"/>
  <c r="AC79" i="22"/>
  <c r="AK81" i="22"/>
  <c r="AS83" i="22"/>
  <c r="AE86" i="22"/>
  <c r="AM88" i="22"/>
  <c r="AI70" i="22"/>
  <c r="AM74" i="22"/>
  <c r="P71" i="22"/>
  <c r="AF74" i="22"/>
  <c r="S77" i="22"/>
  <c r="AA79" i="22"/>
  <c r="AI81" i="22"/>
  <c r="Y84" i="22"/>
  <c r="AG86" i="22"/>
  <c r="AO88" i="22"/>
  <c r="W70" i="22"/>
  <c r="R74" i="22"/>
  <c r="Z76" i="22"/>
  <c r="R89" i="22"/>
  <c r="AJ80" i="22"/>
  <c r="AJ85" i="22"/>
  <c r="AV90" i="22"/>
  <c r="R93" i="22"/>
  <c r="Z95" i="22"/>
  <c r="AB76" i="22"/>
  <c r="AD80" i="22"/>
  <c r="AD84" i="22"/>
  <c r="Z77" i="22"/>
  <c r="AR88" i="22"/>
  <c r="AD93" i="22"/>
  <c r="R80" i="22"/>
  <c r="V79" i="22"/>
  <c r="AL84" i="22"/>
  <c r="V90" i="22"/>
  <c r="Y92" i="22"/>
  <c r="AE94" i="22"/>
  <c r="T91" i="22"/>
  <c r="AP81" i="22"/>
  <c r="AX91" i="22"/>
  <c r="AK94" i="22"/>
  <c r="AR96" i="22"/>
  <c r="AF80" i="22"/>
  <c r="AN85" i="22"/>
  <c r="AF89" i="22"/>
  <c r="AF94" i="22"/>
  <c r="Z79" i="22"/>
  <c r="AQ11" i="22"/>
  <c r="Q8" i="22"/>
  <c r="R16" i="22"/>
  <c r="Y7" i="22"/>
  <c r="AP13" i="22"/>
  <c r="AN14" i="22"/>
  <c r="Q11" i="22"/>
  <c r="AX9" i="22"/>
  <c r="AE22" i="22"/>
  <c r="AT23" i="22"/>
  <c r="Y28" i="22"/>
  <c r="R26" i="22"/>
  <c r="R29" i="22"/>
  <c r="AE15" i="22"/>
  <c r="AH18" i="22"/>
  <c r="P26" i="22"/>
  <c r="O30" i="22"/>
  <c r="AE39" i="22"/>
  <c r="S10" i="22"/>
  <c r="Q23" i="22"/>
  <c r="Z22" i="22"/>
  <c r="AP26" i="22"/>
  <c r="W30" i="22"/>
  <c r="N35" i="22"/>
  <c r="BB35" i="22" s="1"/>
  <c r="X49" i="22"/>
  <c r="AN76" i="22"/>
  <c r="AN90" i="22"/>
  <c r="V94" i="22"/>
  <c r="AH84" i="22"/>
  <c r="AL80" i="22"/>
  <c r="AT85" i="22"/>
  <c r="AS90" i="22"/>
  <c r="W93" i="22"/>
  <c r="AE95" i="22"/>
  <c r="R92" i="22"/>
  <c r="AM90" i="22"/>
  <c r="AU92" i="22"/>
  <c r="AK95" i="22"/>
  <c r="AN77" i="22"/>
  <c r="X81" i="22"/>
  <c r="AV85" i="22"/>
  <c r="AN89" i="22"/>
  <c r="T94" i="22"/>
  <c r="AQ96" i="22"/>
  <c r="AL22" i="22"/>
  <c r="T52" i="22"/>
  <c r="U49" i="22"/>
  <c r="T47" i="22"/>
  <c r="AN58" i="22"/>
  <c r="W56" i="22"/>
  <c r="P69" i="22"/>
  <c r="AH33" i="22"/>
  <c r="T43" i="22"/>
  <c r="Y53" i="22"/>
  <c r="AQ58" i="22"/>
  <c r="U72" i="22"/>
  <c r="AF18" i="22"/>
  <c r="AD71" i="22"/>
  <c r="AA84" i="22"/>
  <c r="O75" i="22"/>
  <c r="W89" i="22"/>
  <c r="AP68" i="22"/>
  <c r="W82" i="22"/>
  <c r="AB72" i="22"/>
  <c r="S87" i="22"/>
  <c r="AH82" i="22"/>
  <c r="AM68" i="22"/>
  <c r="R70" i="22"/>
  <c r="S76" i="22"/>
  <c r="AA82" i="22"/>
  <c r="AQ86" i="22"/>
  <c r="S72" i="22"/>
  <c r="AJ72" i="22"/>
  <c r="AE77" i="22"/>
  <c r="AC82" i="22"/>
  <c r="W87" i="22"/>
  <c r="AQ71" i="22"/>
  <c r="AP77" i="22"/>
  <c r="AB83" i="22"/>
  <c r="AL91" i="22"/>
  <c r="U68" i="22"/>
  <c r="AN69" i="22"/>
  <c r="AM72" i="22"/>
  <c r="O78" i="22"/>
  <c r="AU82" i="22"/>
  <c r="AC87" i="22"/>
  <c r="O73" i="22"/>
  <c r="AA73" i="22"/>
  <c r="Q78" i="22"/>
  <c r="AX82" i="22"/>
  <c r="AQ87" i="22"/>
  <c r="O72" i="22"/>
  <c r="R78" i="22"/>
  <c r="AJ83" i="22"/>
  <c r="AP91" i="22"/>
  <c r="AO96" i="22"/>
  <c r="AT82" i="22"/>
  <c r="AR79" i="22"/>
  <c r="V95" i="22"/>
  <c r="AD82" i="22"/>
  <c r="S91" i="22"/>
  <c r="AQ95" i="22"/>
  <c r="Q91" i="22"/>
  <c r="AG95" i="22"/>
  <c r="X83" i="22"/>
  <c r="AJ93" i="22"/>
  <c r="AT14" i="22"/>
  <c r="AA16" i="22"/>
  <c r="AH11" i="22"/>
  <c r="S25" i="22"/>
  <c r="U19" i="22"/>
  <c r="AM24" i="22"/>
  <c r="T33" i="22"/>
  <c r="AF15" i="22"/>
  <c r="Q29" i="22"/>
  <c r="U37" i="22"/>
  <c r="Q18" i="22"/>
  <c r="AU23" i="22"/>
  <c r="AC37" i="22"/>
  <c r="AF34" i="22"/>
  <c r="N93" i="22"/>
  <c r="AL77" i="22"/>
  <c r="AT88" i="22"/>
  <c r="AM93" i="22"/>
  <c r="AP96" i="22"/>
  <c r="R90" i="22"/>
  <c r="AS93" i="22"/>
  <c r="AF96" i="22"/>
  <c r="AN80" i="22"/>
  <c r="AN86" i="22"/>
  <c r="X93" i="22"/>
  <c r="AV95" i="22"/>
  <c r="AX10" i="22"/>
  <c r="AY10" i="22" s="1"/>
  <c r="AZ10" i="22" s="1"/>
  <c r="AW27" i="25" s="1"/>
  <c r="AY27" i="25" s="1"/>
  <c r="AE8" i="22"/>
  <c r="N7" i="22"/>
  <c r="BB7" i="22" s="1"/>
  <c r="AB23" i="22"/>
  <c r="AA9" i="22"/>
  <c r="Q10" i="22"/>
  <c r="AH17" i="22"/>
  <c r="Y22" i="22"/>
  <c r="AA27" i="22"/>
  <c r="W10" i="22"/>
  <c r="AR16" i="22"/>
  <c r="W26" i="22"/>
  <c r="W19" i="22"/>
  <c r="AO34" i="22"/>
  <c r="AJ33" i="22"/>
  <c r="AS36" i="22"/>
  <c r="Y10" i="22"/>
  <c r="O29" i="22"/>
  <c r="R21" i="22"/>
  <c r="T35" i="22"/>
  <c r="AX39" i="22"/>
  <c r="AY39" i="22" s="1"/>
  <c r="T49" i="22"/>
  <c r="AC11" i="22"/>
  <c r="AA29" i="22"/>
  <c r="AS26" i="22"/>
  <c r="AR26" i="22"/>
  <c r="U33" i="22"/>
  <c r="T29" i="22"/>
  <c r="AK10" i="22"/>
  <c r="AI12" i="22"/>
  <c r="AH9" i="22"/>
  <c r="AV20" i="22"/>
  <c r="O14" i="22"/>
  <c r="R8" i="22"/>
  <c r="Q7" i="22"/>
  <c r="Q15" i="22"/>
  <c r="S44" i="22"/>
  <c r="AR77" i="22"/>
  <c r="AT91" i="22"/>
  <c r="N95" i="22"/>
  <c r="AP84" i="22"/>
  <c r="AT81" i="22"/>
  <c r="N88" i="22"/>
  <c r="BB88" i="22" s="1"/>
  <c r="W91" i="22"/>
  <c r="W94" i="22"/>
  <c r="AD96" i="22"/>
  <c r="AL92" i="22"/>
  <c r="AO91" i="22"/>
  <c r="AX93" i="22"/>
  <c r="T96" i="22"/>
  <c r="P80" i="22"/>
  <c r="AF84" i="22"/>
  <c r="AF88" i="22"/>
  <c r="X94" i="22"/>
  <c r="AE96" i="22"/>
  <c r="AM14" i="22"/>
  <c r="W12" i="22"/>
  <c r="AP15" i="22"/>
  <c r="AP18" i="22"/>
  <c r="S11" i="22"/>
  <c r="AO8" i="22"/>
  <c r="W15" i="22"/>
  <c r="W17" i="22"/>
  <c r="AO15" i="22"/>
  <c r="AN15" i="22"/>
  <c r="P23" i="22"/>
  <c r="W20" i="22"/>
  <c r="AJ18" i="22"/>
  <c r="S20" i="22"/>
  <c r="AC16" i="22"/>
  <c r="S35" i="22"/>
  <c r="N34" i="22"/>
  <c r="BB34" i="22" s="1"/>
  <c r="AX31" i="22"/>
  <c r="AX38" i="22"/>
  <c r="AY38" i="22" s="1"/>
  <c r="AZ38" i="22" s="1"/>
  <c r="AW55" i="25" s="1"/>
  <c r="AY55" i="25" s="1"/>
  <c r="T16" i="22"/>
  <c r="AT16" i="22"/>
  <c r="AP20" i="22"/>
  <c r="AG25" i="22"/>
  <c r="AU33" i="22"/>
  <c r="AS16" i="22"/>
  <c r="Q36" i="22"/>
  <c r="W44" i="22"/>
  <c r="U13" i="22"/>
  <c r="AN16" i="22"/>
  <c r="O27" i="22"/>
  <c r="AP16" i="22"/>
  <c r="N29" i="22"/>
  <c r="BB29" i="22" s="1"/>
  <c r="BC29" i="22" s="1"/>
  <c r="T28" i="22"/>
  <c r="AC31" i="22"/>
  <c r="AD31" i="22"/>
  <c r="Q43" i="22"/>
  <c r="AV30" i="22"/>
  <c r="Z86" i="22"/>
  <c r="T88" i="22"/>
  <c r="AR92" i="22"/>
  <c r="R95" i="22"/>
  <c r="R84" i="22"/>
  <c r="N80" i="22"/>
  <c r="BB80" i="22" s="1"/>
  <c r="V84" i="22"/>
  <c r="AD88" i="22"/>
  <c r="O91" i="22"/>
  <c r="AK92" i="22"/>
  <c r="AA94" i="22"/>
  <c r="R96" i="22"/>
  <c r="AV91" i="22"/>
  <c r="AH85" i="22"/>
  <c r="AS91" i="22"/>
  <c r="AK93" i="22"/>
  <c r="AC95" i="22"/>
  <c r="AF76" i="22"/>
  <c r="AF79" i="22"/>
  <c r="X82" i="22"/>
  <c r="AF85" i="22"/>
  <c r="AN88" i="22"/>
  <c r="P93" i="22"/>
  <c r="AR94" i="22"/>
  <c r="AI96" i="22"/>
  <c r="AP88" i="22"/>
  <c r="P8" i="22"/>
  <c r="AD8" i="22"/>
  <c r="U18" i="22"/>
  <c r="AD17" i="22"/>
  <c r="AE14" i="22"/>
  <c r="W14" i="22"/>
  <c r="AJ22" i="22"/>
  <c r="AG23" i="22"/>
  <c r="W28" i="22"/>
  <c r="AB8" i="22"/>
  <c r="V16" i="22"/>
  <c r="AL16" i="22"/>
  <c r="AD19" i="22"/>
  <c r="O21" i="22"/>
  <c r="AD27" i="22"/>
  <c r="AI35" i="22"/>
  <c r="V28" i="22"/>
  <c r="AC39" i="22"/>
  <c r="AR12" i="22"/>
  <c r="AC24" i="22"/>
  <c r="AU18" i="22"/>
  <c r="AC30" i="22"/>
  <c r="P29" i="22"/>
  <c r="AC29" i="22"/>
  <c r="N31" i="22"/>
  <c r="BB31" i="22" s="1"/>
  <c r="V48" i="22"/>
  <c r="AC14" i="22"/>
  <c r="AP17" i="22"/>
  <c r="N21" i="22"/>
  <c r="BB21" i="22" s="1"/>
  <c r="BC21" i="22" s="1"/>
  <c r="BD21" i="22" s="1"/>
  <c r="BE21" i="22" s="1"/>
  <c r="AX38" i="25" s="1"/>
  <c r="AO25" i="22"/>
  <c r="V22" i="22"/>
  <c r="Z23" i="22"/>
  <c r="Q39" i="22"/>
  <c r="AJ39" i="22"/>
  <c r="AJ50" i="22"/>
  <c r="O7" i="22"/>
  <c r="T8" i="22"/>
  <c r="T15" i="22"/>
  <c r="AJ10" i="22"/>
  <c r="P20" i="22"/>
  <c r="AC10" i="22"/>
  <c r="AH10" i="22"/>
  <c r="AT9" i="22"/>
  <c r="Z10" i="22"/>
  <c r="X13" i="22"/>
  <c r="AX13" i="22"/>
  <c r="AY13" i="22" s="1"/>
  <c r="AZ13" i="22" s="1"/>
  <c r="AW30" i="25" s="1"/>
  <c r="AY30" i="25" s="1"/>
  <c r="U15" i="22"/>
  <c r="AI14" i="22"/>
  <c r="S8" i="22"/>
  <c r="X25" i="22"/>
  <c r="U22" i="22"/>
  <c r="X33" i="22"/>
  <c r="Y43" i="22"/>
  <c r="AA31" i="22"/>
  <c r="AV35" i="22"/>
  <c r="Y50" i="22"/>
  <c r="R51" i="22"/>
  <c r="AX50" i="22"/>
  <c r="N28" i="22"/>
  <c r="BB28" i="22" s="1"/>
  <c r="BC28" i="22" s="1"/>
  <c r="BD28" i="22" s="1"/>
  <c r="BE28" i="22" s="1"/>
  <c r="AX45" i="25" s="1"/>
  <c r="AS13" i="22"/>
  <c r="AH20" i="22"/>
  <c r="AU31" i="22"/>
  <c r="T9" i="22"/>
  <c r="V19" i="22"/>
  <c r="P33" i="22"/>
  <c r="Y40" i="22"/>
  <c r="R48" i="22"/>
  <c r="W40" i="22"/>
  <c r="Z37" i="22"/>
  <c r="N49" i="22"/>
  <c r="BB49" i="22" s="1"/>
  <c r="X11" i="22"/>
  <c r="AF10" i="22"/>
  <c r="W7" i="22"/>
  <c r="AG10" i="22"/>
  <c r="AL30" i="22"/>
  <c r="AU17" i="22"/>
  <c r="AV18" i="22"/>
  <c r="Z39" i="22"/>
  <c r="AH24" i="22"/>
  <c r="AB24" i="22"/>
  <c r="O46" i="22"/>
  <c r="Y42" i="22"/>
  <c r="N51" i="22"/>
  <c r="BB51" i="22" s="1"/>
  <c r="BC51" i="22" s="1"/>
  <c r="BD51" i="22" s="1"/>
  <c r="BE51" i="22" s="1"/>
  <c r="AX68" i="25" s="1"/>
  <c r="AP43" i="22"/>
  <c r="AL33" i="22"/>
  <c r="V10" i="22"/>
  <c r="AE17" i="22"/>
  <c r="S33" i="22"/>
  <c r="AK38" i="22"/>
  <c r="AQ25" i="22"/>
  <c r="X27" i="22"/>
  <c r="AX41" i="22"/>
  <c r="Q41" i="22"/>
  <c r="U50" i="22"/>
  <c r="X40" i="22"/>
  <c r="V51" i="22"/>
  <c r="AP8" i="22"/>
  <c r="N13" i="22"/>
  <c r="BB13" i="22" s="1"/>
  <c r="BC13" i="22" s="1"/>
  <c r="BD13" i="22" s="1"/>
  <c r="BE13" i="22" s="1"/>
  <c r="AX30" i="25" s="1"/>
  <c r="O16" i="22"/>
  <c r="AD15" i="22"/>
  <c r="AU9" i="22"/>
  <c r="AQ31" i="22"/>
  <c r="AP11" i="22"/>
  <c r="U30" i="22"/>
  <c r="AQ45" i="22"/>
  <c r="AQ20" i="22"/>
  <c r="O38" i="22"/>
  <c r="O37" i="22"/>
  <c r="N50" i="22"/>
  <c r="BB50" i="22" s="1"/>
  <c r="AD36" i="22"/>
  <c r="AU45" i="22"/>
  <c r="O24" i="22"/>
  <c r="X12" i="22"/>
  <c r="AL24" i="22"/>
  <c r="AN33" i="22"/>
  <c r="AM15" i="22"/>
  <c r="AM33" i="22"/>
  <c r="R19" i="22"/>
  <c r="X45" i="22"/>
  <c r="AF38" i="22"/>
  <c r="AD11" i="22"/>
  <c r="AO14" i="22"/>
  <c r="AD14" i="22"/>
  <c r="AS10" i="22"/>
  <c r="AS43" i="22"/>
  <c r="AD44" i="22"/>
  <c r="Y29" i="22"/>
  <c r="AT39" i="22"/>
  <c r="W69" i="22"/>
  <c r="AN43" i="22"/>
  <c r="T65" i="22"/>
  <c r="U71" i="22"/>
  <c r="N54" i="22"/>
  <c r="BB54" i="22" s="1"/>
  <c r="AJ68" i="22"/>
  <c r="V53" i="22"/>
  <c r="AD67" i="22"/>
  <c r="AX75" i="22"/>
  <c r="S90" i="22"/>
  <c r="AS80" i="22"/>
  <c r="AJ75" i="22"/>
  <c r="AI73" i="22"/>
  <c r="O88" i="22"/>
  <c r="AO78" i="22"/>
  <c r="R73" i="22"/>
  <c r="T81" i="22"/>
  <c r="AX72" i="22"/>
  <c r="AN70" i="22"/>
  <c r="Y79" i="22"/>
  <c r="S84" i="22"/>
  <c r="AI88" i="22"/>
  <c r="AI74" i="22"/>
  <c r="AR74" i="22"/>
  <c r="W79" i="22"/>
  <c r="U84" i="22"/>
  <c r="O89" i="22"/>
  <c r="AG74" i="22"/>
  <c r="AP89" i="22"/>
  <c r="AB87" i="22"/>
  <c r="AF64" i="22"/>
  <c r="P74" i="22"/>
  <c r="AP71" i="22"/>
  <c r="AT74" i="22"/>
  <c r="AS79" i="22"/>
  <c r="AM84" i="22"/>
  <c r="U89" i="22"/>
  <c r="R75" i="22"/>
  <c r="AA75" i="22"/>
  <c r="AQ79" i="22"/>
  <c r="AO84" i="22"/>
  <c r="AI89" i="22"/>
  <c r="AK74" i="22"/>
  <c r="X76" i="22"/>
  <c r="AJ87" i="22"/>
  <c r="AH93" i="22"/>
  <c r="AD77" i="22"/>
  <c r="N86" i="22"/>
  <c r="BB86" i="22" s="1"/>
  <c r="AJ90" i="22"/>
  <c r="Z84" i="22"/>
  <c r="AL86" i="22"/>
  <c r="AO92" i="22"/>
  <c r="AJ91" i="22"/>
  <c r="AQ92" i="22"/>
  <c r="AV76" i="22"/>
  <c r="AF86" i="22"/>
  <c r="AB95" i="22"/>
  <c r="AN8" i="22"/>
  <c r="AT17" i="22"/>
  <c r="AN20" i="22"/>
  <c r="N10" i="22"/>
  <c r="BB10" i="22" s="1"/>
  <c r="BC10" i="22" s="1"/>
  <c r="BD10" i="22" s="1"/>
  <c r="BE10" i="22" s="1"/>
  <c r="AX27" i="25" s="1"/>
  <c r="AM25" i="22"/>
  <c r="Z28" i="22"/>
  <c r="Q31" i="22"/>
  <c r="W25" i="22"/>
  <c r="AJ24" i="22"/>
  <c r="AC43" i="22"/>
  <c r="AE20" i="22"/>
  <c r="W35" i="22"/>
  <c r="V40" i="22"/>
  <c r="AR80" i="22"/>
  <c r="AD95" i="22"/>
  <c r="AL81" i="22"/>
  <c r="AI91" i="22"/>
  <c r="AI94" i="22"/>
  <c r="X91" i="22"/>
  <c r="U91" i="22"/>
  <c r="Y94" i="22"/>
  <c r="P77" i="22"/>
  <c r="AN82" i="22"/>
  <c r="AF87" i="22"/>
  <c r="AN93" i="22"/>
  <c r="AH79" i="22"/>
  <c r="X9" i="22"/>
  <c r="AL8" i="22"/>
  <c r="AJ16" i="22"/>
  <c r="X8" i="22"/>
  <c r="P14" i="22"/>
  <c r="AD16" i="22"/>
  <c r="S29" i="22"/>
  <c r="AG9" i="22"/>
  <c r="Q20" i="22"/>
  <c r="AN17" i="22"/>
  <c r="AX26" i="22"/>
  <c r="AY26" i="22" s="1"/>
  <c r="AZ26" i="22" s="1"/>
  <c r="AW43" i="25" s="1"/>
  <c r="AY43" i="25" s="1"/>
  <c r="R25" i="22"/>
  <c r="P18" i="22"/>
  <c r="AD26" i="22"/>
  <c r="AG38" i="22"/>
  <c r="P13" i="22"/>
  <c r="Z16" i="22"/>
  <c r="W33" i="22"/>
  <c r="R27" i="22"/>
  <c r="AR34" i="22"/>
  <c r="AB10" i="22"/>
  <c r="AV12" i="22"/>
  <c r="AD23" i="22"/>
  <c r="AR17" i="22"/>
  <c r="AH30" i="22"/>
  <c r="AX37" i="22"/>
  <c r="AY37" i="22" s="1"/>
  <c r="AZ37" i="22" s="1"/>
  <c r="AW54" i="25" s="1"/>
  <c r="AY54" i="25" s="1"/>
  <c r="Q40" i="22"/>
  <c r="AN35" i="22"/>
  <c r="AD10" i="22"/>
  <c r="Y14" i="22"/>
  <c r="R7" i="22"/>
  <c r="AO9" i="22"/>
  <c r="AM9" i="22"/>
  <c r="Z11" i="22"/>
  <c r="U17" i="22"/>
  <c r="P35" i="22"/>
  <c r="AT8" i="22"/>
  <c r="AR85" i="22"/>
  <c r="AJ92" i="22"/>
  <c r="AH95" i="22"/>
  <c r="AT77" i="22"/>
  <c r="N83" i="22"/>
  <c r="BB83" i="22" s="1"/>
  <c r="N89" i="22"/>
  <c r="BB89" i="22" s="1"/>
  <c r="AG92" i="22"/>
  <c r="AM94" i="22"/>
  <c r="AT96" i="22"/>
  <c r="Z85" i="22"/>
  <c r="S92" i="22"/>
  <c r="AC94" i="22"/>
  <c r="P76" i="22"/>
  <c r="AV80" i="22"/>
  <c r="X85" i="22"/>
  <c r="AB90" i="22"/>
  <c r="AN94" i="22"/>
  <c r="AU96" i="22"/>
  <c r="AC12" i="22"/>
  <c r="AK14" i="22"/>
  <c r="AK17" i="22"/>
  <c r="AC22" i="22"/>
  <c r="AV8" i="22"/>
  <c r="Z7" i="22"/>
  <c r="R18" i="22"/>
  <c r="AU20" i="22"/>
  <c r="W13" i="22"/>
  <c r="V14" i="22"/>
  <c r="AL17" i="22"/>
  <c r="AG24" i="22"/>
  <c r="R22" i="22"/>
  <c r="AM23" i="22"/>
  <c r="AH26" i="22"/>
  <c r="Z21" i="22"/>
  <c r="AB17" i="22"/>
  <c r="AO33" i="22"/>
  <c r="AP12" i="22"/>
  <c r="AR20" i="22"/>
  <c r="S23" i="22"/>
  <c r="AP24" i="22"/>
  <c r="AX27" i="22"/>
  <c r="AY27" i="22" s="1"/>
  <c r="AZ27" i="22" s="1"/>
  <c r="AW44" i="25" s="1"/>
  <c r="AY44" i="25" s="1"/>
  <c r="AK16" i="22"/>
  <c r="AD28" i="22"/>
  <c r="Y38" i="22"/>
  <c r="N46" i="22"/>
  <c r="BB46" i="22" s="1"/>
  <c r="AV10" i="22"/>
  <c r="AX20" i="22"/>
  <c r="AY20" i="22" s="1"/>
  <c r="AZ20" i="22" s="1"/>
  <c r="AW37" i="25" s="1"/>
  <c r="AY37" i="25" s="1"/>
  <c r="AX15" i="22"/>
  <c r="AY15" i="22" s="1"/>
  <c r="Q25" i="22"/>
  <c r="AM31" i="22"/>
  <c r="T31" i="22"/>
  <c r="AS33" i="22"/>
  <c r="AL36" i="22"/>
  <c r="AQ44" i="22"/>
  <c r="AB36" i="22"/>
  <c r="AR78" i="22"/>
  <c r="T90" i="22"/>
  <c r="Z93" i="22"/>
  <c r="AL95" i="22"/>
  <c r="Z87" i="22"/>
  <c r="N81" i="22"/>
  <c r="BB81" i="22" s="1"/>
  <c r="AD85" i="22"/>
  <c r="V89" i="22"/>
  <c r="AA91" i="22"/>
  <c r="O93" i="22"/>
  <c r="AQ94" i="22"/>
  <c r="AH96" i="22"/>
  <c r="Z92" i="22"/>
  <c r="AD90" i="22"/>
  <c r="W92" i="22"/>
  <c r="Q94" i="22"/>
  <c r="AS95" i="22"/>
  <c r="X77" i="22"/>
  <c r="X80" i="22"/>
  <c r="P83" i="22"/>
  <c r="X86" i="22"/>
  <c r="X89" i="22"/>
  <c r="AF93" i="22"/>
  <c r="X95" i="22"/>
  <c r="R79" i="22"/>
  <c r="AU15" i="22"/>
  <c r="AE10" i="22"/>
  <c r="U9" i="22"/>
  <c r="AJ20" i="22"/>
  <c r="Y19" i="22"/>
  <c r="V12" i="22"/>
  <c r="AK9" i="22"/>
  <c r="AB16" i="22"/>
  <c r="S18" i="22"/>
  <c r="AA15" i="22"/>
  <c r="AE12" i="22"/>
  <c r="AB20" i="22"/>
  <c r="AA21" i="22"/>
  <c r="N23" i="22"/>
  <c r="BB23" i="22" s="1"/>
  <c r="BC23" i="22" s="1"/>
  <c r="W24" i="22"/>
  <c r="Y30" i="22"/>
  <c r="T24" i="22"/>
  <c r="AI30" i="22"/>
  <c r="O13" i="22"/>
  <c r="AI16" i="22"/>
  <c r="AI27" i="22"/>
  <c r="AE23" i="22"/>
  <c r="U32" i="22"/>
  <c r="AJ31" i="22"/>
  <c r="AS31" i="22"/>
  <c r="AF36" i="22"/>
  <c r="P50" i="22"/>
  <c r="AT15" i="22"/>
  <c r="Q22" i="22"/>
  <c r="P25" i="22"/>
  <c r="Q28" i="22"/>
  <c r="V29" i="22"/>
  <c r="O32" i="22"/>
  <c r="AX40" i="22"/>
  <c r="AG43" i="22"/>
  <c r="N37" i="22"/>
  <c r="BB37" i="22" s="1"/>
  <c r="BC37" i="22" s="1"/>
  <c r="BD37" i="22" s="1"/>
  <c r="BE37" i="22" s="1"/>
  <c r="AX54" i="25" s="1"/>
  <c r="AO12" i="22"/>
  <c r="AV9" i="22"/>
  <c r="AX12" i="22"/>
  <c r="AY12" i="22" s="1"/>
  <c r="AZ12" i="22" s="1"/>
  <c r="AW29" i="25" s="1"/>
  <c r="AY29" i="25" s="1"/>
  <c r="N15" i="22"/>
  <c r="AP14" i="22"/>
  <c r="AS12" i="22"/>
  <c r="Y11" i="22"/>
  <c r="AK12" i="22"/>
  <c r="R12" i="22"/>
  <c r="AU13" i="22"/>
  <c r="AJ15" i="22"/>
  <c r="AO18" i="22"/>
  <c r="R10" i="22"/>
  <c r="AM11" i="22"/>
  <c r="AF27" i="22"/>
  <c r="AM18" i="22"/>
  <c r="S32" i="22"/>
  <c r="N48" i="22"/>
  <c r="BB48" i="22" s="1"/>
  <c r="X29" i="22"/>
  <c r="R40" i="22"/>
  <c r="AJ34" i="22"/>
  <c r="AK45" i="22"/>
  <c r="AJ44" i="22"/>
  <c r="W31" i="22"/>
  <c r="AF23" i="22"/>
  <c r="AA17" i="22"/>
  <c r="X31" i="22"/>
  <c r="AL14" i="22"/>
  <c r="Q27" i="22"/>
  <c r="AX29" i="22"/>
  <c r="AY29" i="22" s="1"/>
  <c r="AA36" i="22"/>
  <c r="X51" i="22"/>
  <c r="AB44" i="22"/>
  <c r="AM39" i="22"/>
  <c r="V37" i="22"/>
  <c r="Z15" i="22"/>
  <c r="N11" i="22"/>
  <c r="BB11" i="22" s="1"/>
  <c r="BC11" i="22" s="1"/>
  <c r="BD11" i="22" s="1"/>
  <c r="BE11" i="22" s="1"/>
  <c r="AX28" i="25" s="1"/>
  <c r="S13" i="22"/>
  <c r="AE25" i="22"/>
  <c r="AO31" i="22"/>
  <c r="N19" i="22"/>
  <c r="BB19" i="22" s="1"/>
  <c r="BC19" i="22" s="1"/>
  <c r="BD19" i="22" s="1"/>
  <c r="BE19" i="22" s="1"/>
  <c r="AX36" i="25" s="1"/>
  <c r="AH14" i="22"/>
  <c r="AE44" i="22"/>
  <c r="AU35" i="22"/>
  <c r="AR36" i="22"/>
  <c r="AD25" i="22"/>
  <c r="AO44" i="22"/>
  <c r="AS44" i="22"/>
  <c r="AQ39" i="22"/>
  <c r="N32" i="22"/>
  <c r="BB32" i="22" s="1"/>
  <c r="AQ13" i="22"/>
  <c r="S28" i="22"/>
  <c r="AL25" i="22"/>
  <c r="AA12" i="22"/>
  <c r="AH22" i="22"/>
  <c r="Z34" i="22"/>
  <c r="AE45" i="22"/>
  <c r="N43" i="22"/>
  <c r="BB43" i="22" s="1"/>
  <c r="AX51" i="22"/>
  <c r="AY51" i="22" s="1"/>
  <c r="AZ51" i="22" s="1"/>
  <c r="AW68" i="25" s="1"/>
  <c r="AY68" i="25" s="1"/>
  <c r="U44" i="22"/>
  <c r="N53" i="22"/>
  <c r="BB53" i="22" s="1"/>
  <c r="AI9" i="22"/>
  <c r="AD13" i="22"/>
  <c r="Y9" i="22"/>
  <c r="AX11" i="22"/>
  <c r="AY11" i="22" s="1"/>
  <c r="AZ11" i="22" s="1"/>
  <c r="AW28" i="25" s="1"/>
  <c r="AY28" i="25" s="1"/>
  <c r="AG7" i="22"/>
  <c r="AO35" i="22"/>
  <c r="AX18" i="22"/>
  <c r="AT26" i="22"/>
  <c r="N12" i="22"/>
  <c r="BB12" i="22" s="1"/>
  <c r="BC12" i="22" s="1"/>
  <c r="BD12" i="22" s="1"/>
  <c r="BE12" i="22" s="1"/>
  <c r="AX29" i="25" s="1"/>
  <c r="V30" i="22"/>
  <c r="X44" i="22"/>
  <c r="S40" i="22"/>
  <c r="R53" i="22"/>
  <c r="AC49" i="22"/>
  <c r="AO39" i="22"/>
  <c r="AJ23" i="22"/>
  <c r="AK18" i="22"/>
  <c r="S22" i="22"/>
  <c r="AM34" i="22"/>
  <c r="T25" i="22"/>
  <c r="AL20" i="22"/>
  <c r="R35" i="22"/>
  <c r="Q47" i="22"/>
  <c r="AK44" i="22"/>
  <c r="AA11" i="22"/>
  <c r="AK8" i="22"/>
  <c r="AE13" i="22"/>
  <c r="X7" i="22"/>
  <c r="O45" i="22"/>
  <c r="AQ85" i="22"/>
  <c r="AA72" i="22"/>
  <c r="AF82" i="22"/>
  <c r="AT87" i="22"/>
  <c r="AI11" i="22"/>
  <c r="T11" i="22"/>
  <c r="AP9" i="22"/>
  <c r="P9" i="22"/>
  <c r="AT79" i="22"/>
  <c r="AX8" i="22"/>
  <c r="AH16" i="22"/>
  <c r="AE31" i="22"/>
  <c r="AC38" i="22"/>
  <c r="U92" i="22"/>
  <c r="AV87" i="22"/>
  <c r="AJ7" i="22"/>
  <c r="Z26" i="22"/>
  <c r="W37" i="22"/>
  <c r="U24" i="22"/>
  <c r="AB39" i="22"/>
  <c r="AF20" i="22"/>
  <c r="Y25" i="22"/>
  <c r="Q13" i="22"/>
  <c r="T34" i="22"/>
  <c r="AQ24" i="22"/>
  <c r="Y48" i="22"/>
  <c r="AA62" i="22"/>
  <c r="R56" i="22"/>
  <c r="AD62" i="22"/>
  <c r="AG72" i="22"/>
  <c r="Q57" i="22"/>
  <c r="S50" i="22"/>
  <c r="AM71" i="22"/>
  <c r="T67" i="22"/>
  <c r="AC89" i="22"/>
  <c r="AM73" i="22"/>
  <c r="AS73" i="22"/>
  <c r="AO79" i="22"/>
  <c r="AG89" i="22"/>
  <c r="W75" i="22"/>
  <c r="AK84" i="22"/>
  <c r="AB75" i="22"/>
  <c r="AB88" i="22"/>
  <c r="AL44" i="22"/>
  <c r="AS75" i="22"/>
  <c r="U85" i="22"/>
  <c r="AH75" i="22"/>
  <c r="AO80" i="22"/>
  <c r="Q90" i="22"/>
  <c r="AJ77" i="22"/>
  <c r="AD94" i="22"/>
  <c r="AT86" i="22"/>
  <c r="AH87" i="22"/>
  <c r="AI93" i="22"/>
  <c r="Y93" i="22"/>
  <c r="X87" i="22"/>
  <c r="AC13" i="22"/>
  <c r="T23" i="22"/>
  <c r="O28" i="22"/>
  <c r="AC36" i="22"/>
  <c r="R32" i="22"/>
  <c r="AA25" i="22"/>
  <c r="AX43" i="22"/>
  <c r="Q96" i="22"/>
  <c r="Q92" i="22"/>
  <c r="AH92" i="22"/>
  <c r="AO94" i="22"/>
  <c r="AF83" i="22"/>
  <c r="P95" i="22"/>
  <c r="R13" i="22"/>
  <c r="AB21" i="22"/>
  <c r="O20" i="22"/>
  <c r="AR14" i="22"/>
  <c r="AD24" i="22"/>
  <c r="U29" i="22"/>
  <c r="AG31" i="22"/>
  <c r="N24" i="22"/>
  <c r="BB24" i="22" s="1"/>
  <c r="BC24" i="22" s="1"/>
  <c r="AM35" i="22"/>
  <c r="P40" i="22"/>
  <c r="O22" i="22"/>
  <c r="O31" i="22"/>
  <c r="AF14" i="22"/>
  <c r="P16" i="22"/>
  <c r="V13" i="22"/>
  <c r="AE9" i="22"/>
  <c r="AX33" i="22"/>
  <c r="AR87" i="22"/>
  <c r="AS96" i="22"/>
  <c r="N84" i="22"/>
  <c r="BB84" i="22" s="1"/>
  <c r="AX92" i="22"/>
  <c r="AR91" i="22"/>
  <c r="AI92" i="22"/>
  <c r="AV77" i="22"/>
  <c r="AV86" i="22"/>
  <c r="T95" i="22"/>
  <c r="AQ9" i="22"/>
  <c r="AR23" i="22"/>
  <c r="O12" i="22"/>
  <c r="AG20" i="22"/>
  <c r="Y24" i="22"/>
  <c r="V7" i="22"/>
  <c r="AQ26" i="22"/>
  <c r="AK25" i="22"/>
  <c r="AD30" i="22"/>
  <c r="AG35" i="22"/>
  <c r="AM12" i="22"/>
  <c r="AM26" i="22"/>
  <c r="P31" i="22"/>
  <c r="AT35" i="22"/>
  <c r="Q9" i="22"/>
  <c r="O17" i="22"/>
  <c r="AG27" i="22"/>
  <c r="AF33" i="22"/>
  <c r="O39" i="22"/>
  <c r="V41" i="22"/>
  <c r="R91" i="22"/>
  <c r="AC96" i="22"/>
  <c r="V82" i="22"/>
  <c r="N90" i="22"/>
  <c r="BB90" i="22" s="1"/>
  <c r="AE93" i="22"/>
  <c r="P91" i="22"/>
  <c r="AU90" i="22"/>
  <c r="AG94" i="22"/>
  <c r="P78" i="22"/>
  <c r="AV83" i="22"/>
  <c r="P90" i="22"/>
  <c r="AN95" i="22"/>
  <c r="S14" i="22"/>
  <c r="Y8" i="22"/>
  <c r="Q21" i="22"/>
  <c r="U11" i="22"/>
  <c r="AO24" i="22"/>
  <c r="Q12" i="22"/>
  <c r="O25" i="22"/>
  <c r="Q26" i="22"/>
  <c r="AT30" i="22"/>
  <c r="AF8" i="22"/>
  <c r="P17" i="22"/>
  <c r="AG34" i="22"/>
  <c r="W34" i="22"/>
  <c r="AI13" i="22"/>
  <c r="AI18" i="22"/>
  <c r="AV24" i="22"/>
  <c r="AA34" i="22"/>
  <c r="W45" i="22"/>
  <c r="AM8" i="22"/>
  <c r="AE16" i="22"/>
  <c r="P7" i="22"/>
  <c r="AQ14" i="22"/>
  <c r="AD12" i="22"/>
  <c r="R11" i="22"/>
  <c r="X10" i="22"/>
  <c r="AS39" i="22"/>
  <c r="U40" i="22"/>
  <c r="AD35" i="22"/>
  <c r="AL38" i="22"/>
  <c r="AF35" i="22"/>
  <c r="AC23" i="22"/>
  <c r="W32" i="22"/>
  <c r="AK30" i="22"/>
  <c r="P41" i="22"/>
  <c r="AX47" i="22"/>
  <c r="V45" i="22"/>
  <c r="AF7" i="22"/>
  <c r="W18" i="22"/>
  <c r="W23" i="22"/>
  <c r="AB49" i="22"/>
  <c r="Z41" i="22"/>
  <c r="N47" i="22"/>
  <c r="BB47" i="22" s="1"/>
  <c r="AH31" i="22"/>
  <c r="R14" i="22"/>
  <c r="AL26" i="22"/>
  <c r="AE19" i="22"/>
  <c r="P49" i="22"/>
  <c r="AX45" i="22"/>
  <c r="AJ8" i="22"/>
  <c r="Y12" i="22"/>
  <c r="N9" i="22"/>
  <c r="AL35" i="22"/>
  <c r="AG36" i="22"/>
  <c r="AB50" i="22"/>
  <c r="AX42" i="22"/>
  <c r="AE38" i="22"/>
  <c r="T7" i="22"/>
  <c r="AC34" i="22"/>
  <c r="O23" i="22"/>
  <c r="AJ38" i="22"/>
  <c r="T48" i="22"/>
  <c r="AN10" i="22"/>
  <c r="AP10" i="22"/>
  <c r="U34" i="22"/>
  <c r="AA45" i="22"/>
  <c r="AP30" i="22"/>
  <c r="Q16" i="22"/>
  <c r="AP33" i="22"/>
  <c r="AE43" i="22"/>
  <c r="AH49" i="22"/>
  <c r="AB45" i="22"/>
  <c r="R24" i="22"/>
  <c r="AH7" i="22"/>
  <c r="T18" i="22"/>
  <c r="AS30" i="22"/>
  <c r="U31" i="22"/>
  <c r="AH15" i="22"/>
  <c r="AA35" i="22"/>
  <c r="AU39" i="22"/>
  <c r="W36" i="22"/>
  <c r="Y49" i="22"/>
  <c r="AN36" i="22"/>
  <c r="Z50" i="22"/>
  <c r="AM50" i="22"/>
  <c r="Z53" i="22"/>
  <c r="X32" i="22"/>
  <c r="AK27" i="22"/>
  <c r="Z60" i="22"/>
  <c r="AI49" i="22"/>
  <c r="AN57" i="22"/>
  <c r="AG19" i="22"/>
  <c r="AA42" i="22"/>
  <c r="O55" i="22"/>
  <c r="AC41" i="22"/>
  <c r="U54" i="22"/>
  <c r="AN7" i="22"/>
  <c r="AH28" i="22"/>
  <c r="AI19" i="22"/>
  <c r="AF21" i="22"/>
  <c r="AD40" i="22"/>
  <c r="AJ62" i="22"/>
  <c r="AE37" i="22"/>
  <c r="AA53" i="22"/>
  <c r="AM63" i="22"/>
  <c r="AC53" i="22"/>
  <c r="AB51" i="22"/>
  <c r="AA66" i="22"/>
  <c r="X47" i="22"/>
  <c r="AN27" i="22"/>
  <c r="X54" i="22"/>
  <c r="Y65" i="22"/>
  <c r="AH29" i="22"/>
  <c r="T46" i="22"/>
  <c r="AV43" i="22"/>
  <c r="AE42" i="22"/>
  <c r="T61" i="22"/>
  <c r="AH21" i="22"/>
  <c r="AG41" i="22"/>
  <c r="AH56" i="22"/>
  <c r="Z65" i="22"/>
  <c r="AF40" i="22"/>
  <c r="AH37" i="22"/>
  <c r="AU68" i="22"/>
  <c r="AC66" i="22"/>
  <c r="AT57" i="22"/>
  <c r="AD32" i="22"/>
  <c r="AI41" i="22"/>
  <c r="AL28" i="22"/>
  <c r="AK29" i="22"/>
  <c r="V59" i="22"/>
  <c r="U55" i="22"/>
  <c r="AO49" i="22"/>
  <c r="AG42" i="22"/>
  <c r="AJ56" i="22"/>
  <c r="AA47" i="22"/>
  <c r="AS38" i="22"/>
  <c r="AK56" i="22"/>
  <c r="AB54" i="22"/>
  <c r="AU57" i="22"/>
  <c r="AJ42" i="22"/>
  <c r="AG32" i="22"/>
  <c r="AH51" i="22"/>
  <c r="AE52" i="22"/>
  <c r="AN29" i="22"/>
  <c r="AM21" i="22"/>
  <c r="AF52" i="22"/>
  <c r="Z55" i="22"/>
  <c r="AF54" i="22"/>
  <c r="AL42" i="22"/>
  <c r="AP29" i="22"/>
  <c r="AG65" i="22"/>
  <c r="AI66" i="22"/>
  <c r="AG54" i="22"/>
  <c r="AK51" i="22"/>
  <c r="AU62" i="22"/>
  <c r="AT19" i="22"/>
  <c r="AK66" i="22"/>
  <c r="AO40" i="22"/>
  <c r="AH47" i="22"/>
  <c r="AC46" i="22"/>
  <c r="AI65" i="22"/>
  <c r="AQ56" i="22"/>
  <c r="AM53" i="22"/>
  <c r="AH54" i="22"/>
  <c r="AP60" i="22"/>
  <c r="AL32" i="22"/>
  <c r="AU28" i="22"/>
  <c r="AN51" i="22"/>
  <c r="AS37" i="22"/>
  <c r="AK65" i="22"/>
  <c r="AR40" i="22"/>
  <c r="AO51" i="22"/>
  <c r="AK47" i="22"/>
  <c r="AF61" i="22"/>
  <c r="AK54" i="22"/>
  <c r="AN32" i="22"/>
  <c r="AT41" i="22"/>
  <c r="AS48" i="22"/>
  <c r="AU56" i="22"/>
  <c r="AS60" i="22"/>
  <c r="AM65" i="22"/>
  <c r="AU21" i="22"/>
  <c r="AL54" i="22"/>
  <c r="AL47" i="22"/>
  <c r="AS40" i="22"/>
  <c r="AG46" i="22"/>
  <c r="AM52" i="22"/>
  <c r="AU37" i="22"/>
  <c r="AQ51" i="22"/>
  <c r="AH46" i="22"/>
  <c r="AM47" i="22"/>
  <c r="AS42" i="22"/>
  <c r="AH61" i="22"/>
  <c r="AN65" i="22"/>
  <c r="AT60" i="22"/>
  <c r="AP66" i="22"/>
  <c r="AV41" i="22"/>
  <c r="AV48" i="22"/>
  <c r="AN54" i="22"/>
  <c r="AU40" i="22"/>
  <c r="AV53" i="22"/>
  <c r="AK46" i="22"/>
  <c r="AP54" i="22"/>
  <c r="AP47" i="22"/>
  <c r="AK61" i="22"/>
  <c r="AK55" i="22"/>
  <c r="AU51" i="22"/>
  <c r="AL61" i="22"/>
  <c r="AQ54" i="22"/>
  <c r="AR65" i="22"/>
  <c r="AL59" i="22"/>
  <c r="AM46" i="22"/>
  <c r="AU32" i="22"/>
  <c r="AS65" i="22"/>
  <c r="AM61" i="22"/>
  <c r="AR47" i="22"/>
  <c r="AT65" i="22"/>
  <c r="AS47" i="22"/>
  <c r="AM55" i="22"/>
  <c r="AU52" i="22"/>
  <c r="AN55" i="22"/>
  <c r="AO46" i="22"/>
  <c r="AT54" i="22"/>
  <c r="AV54" i="22"/>
  <c r="AP46" i="22"/>
  <c r="AQ59" i="22"/>
  <c r="AR46" i="22"/>
  <c r="AQ55" i="22"/>
  <c r="AS61" i="22"/>
  <c r="AR55" i="22"/>
  <c r="AT46" i="22"/>
  <c r="AS55" i="22"/>
  <c r="AV61" i="22"/>
  <c r="AU55" i="22"/>
  <c r="AR58" i="22"/>
  <c r="N41" i="22"/>
  <c r="BB41" i="22" s="1"/>
  <c r="AK70" i="22"/>
  <c r="AR67" i="22"/>
  <c r="AF57" i="22"/>
  <c r="N55" i="22"/>
  <c r="BB55" i="22" s="1"/>
  <c r="Y77" i="22"/>
  <c r="U82" i="22"/>
  <c r="U75" i="22"/>
  <c r="Q80" i="22"/>
  <c r="T82" i="22"/>
  <c r="AJ71" i="22"/>
  <c r="AI84" i="22"/>
  <c r="N75" i="22"/>
  <c r="BB75" i="22" s="1"/>
  <c r="U80" i="22"/>
  <c r="AE89" i="22"/>
  <c r="AB77" i="22"/>
  <c r="N68" i="22"/>
  <c r="BB68" i="22" s="1"/>
  <c r="V72" i="22"/>
  <c r="W80" i="22"/>
  <c r="O90" i="22"/>
  <c r="AQ75" i="22"/>
  <c r="S85" i="22"/>
  <c r="AF75" i="22"/>
  <c r="AJ88" i="22"/>
  <c r="V78" i="22"/>
  <c r="AB92" i="22"/>
  <c r="AL87" i="22"/>
  <c r="N92" i="22"/>
  <c r="BB92" i="22" s="1"/>
  <c r="AV78" i="22"/>
  <c r="AR95" i="22"/>
  <c r="Y23" i="22"/>
  <c r="AK13" i="22"/>
  <c r="AO30" i="22"/>
  <c r="AA28" i="22"/>
  <c r="S15" i="22"/>
  <c r="V25" i="22"/>
  <c r="AR84" i="22"/>
  <c r="AT83" i="22"/>
  <c r="O95" i="22"/>
  <c r="O92" i="22"/>
  <c r="X78" i="22"/>
  <c r="P89" i="22"/>
  <c r="AH83" i="22"/>
  <c r="AJ11" i="22"/>
  <c r="U20" i="22"/>
  <c r="AB11" i="22"/>
  <c r="U23" i="22"/>
  <c r="N30" i="22"/>
  <c r="BB30" i="22" s="1"/>
  <c r="BC30" i="22" s="1"/>
  <c r="AO11" i="22"/>
  <c r="W21" i="22"/>
  <c r="Q33" i="22"/>
  <c r="AE11" i="22"/>
  <c r="T26" i="22"/>
  <c r="AH27" i="22"/>
  <c r="P36" i="22"/>
  <c r="U7" i="22"/>
  <c r="AC17" i="22"/>
  <c r="AB13" i="22"/>
  <c r="U16" i="22"/>
  <c r="AD76" i="22"/>
  <c r="V93" i="22"/>
  <c r="AT78" i="22"/>
  <c r="AF90" i="22"/>
  <c r="S95" i="22"/>
  <c r="X90" i="22"/>
  <c r="Y95" i="22"/>
  <c r="AF81" i="22"/>
  <c r="AP83" i="22"/>
  <c r="AO10" i="22"/>
  <c r="X16" i="22"/>
  <c r="Y31" i="22"/>
  <c r="Q34" i="22"/>
  <c r="Z48" i="22"/>
  <c r="AT93" i="22"/>
  <c r="AD86" i="22"/>
  <c r="W95" i="22"/>
  <c r="AM92" i="22"/>
  <c r="P81" i="22"/>
  <c r="AV93" i="22"/>
  <c r="AQ12" i="22"/>
  <c r="AN9" i="22"/>
  <c r="AL18" i="22"/>
  <c r="AB25" i="22"/>
  <c r="S34" i="22"/>
  <c r="U26" i="22"/>
  <c r="AV33" i="22"/>
  <c r="AQ16" i="22"/>
  <c r="AN31" i="22"/>
  <c r="AA39" i="22"/>
  <c r="AS9" i="22"/>
  <c r="AN12" i="22"/>
  <c r="AN18" i="22"/>
  <c r="R43" i="22"/>
  <c r="W27" i="22"/>
  <c r="V18" i="22"/>
  <c r="AF30" i="22"/>
  <c r="AM43" i="22"/>
  <c r="O9" i="22"/>
  <c r="O34" i="22"/>
  <c r="X36" i="22"/>
  <c r="U28" i="22"/>
  <c r="AO17" i="22"/>
  <c r="AR44" i="22"/>
  <c r="AI39" i="22"/>
  <c r="Q49" i="22"/>
  <c r="AX23" i="22"/>
  <c r="AY23" i="22" s="1"/>
  <c r="T14" i="22"/>
  <c r="AK50" i="22"/>
  <c r="W9" i="22"/>
  <c r="AC20" i="22"/>
  <c r="U38" i="22"/>
  <c r="AN25" i="22"/>
  <c r="V36" i="22"/>
  <c r="O44" i="22"/>
  <c r="Q52" i="22"/>
  <c r="X48" i="22"/>
  <c r="X37" i="22"/>
  <c r="Y21" i="22"/>
  <c r="N16" i="22"/>
  <c r="BB16" i="22" s="1"/>
  <c r="AN50" i="22"/>
  <c r="N20" i="22"/>
  <c r="BB20" i="22" s="1"/>
  <c r="BC20" i="22" s="1"/>
  <c r="BD20" i="22" s="1"/>
  <c r="BE20" i="22" s="1"/>
  <c r="AX37" i="25" s="1"/>
  <c r="Z31" i="22"/>
  <c r="AK43" i="22"/>
  <c r="AT25" i="22"/>
  <c r="AE29" i="22"/>
  <c r="AQ43" i="22"/>
  <c r="P59" i="22"/>
  <c r="AI62" i="22"/>
  <c r="AE41" i="22"/>
  <c r="AL63" i="22"/>
  <c r="R61" i="22"/>
  <c r="AM27" i="22"/>
  <c r="AT67" i="22"/>
  <c r="AD42" i="22"/>
  <c r="Y52" i="22"/>
  <c r="S61" i="22"/>
  <c r="AP38" i="22"/>
  <c r="AR50" i="22"/>
  <c r="AF41" i="22"/>
  <c r="AO7" i="22"/>
  <c r="AE60" i="22"/>
  <c r="AE48" i="22"/>
  <c r="AK19" i="22"/>
  <c r="AU50" i="22"/>
  <c r="AB65" i="22"/>
  <c r="AQ27" i="22"/>
  <c r="AP63" i="22"/>
  <c r="AE51" i="22"/>
  <c r="AH40" i="22"/>
  <c r="AM19" i="22"/>
  <c r="AE65" i="22"/>
  <c r="AM37" i="22"/>
  <c r="AT27" i="22"/>
  <c r="Y46" i="22"/>
  <c r="AU63" i="22"/>
  <c r="AR19" i="22"/>
  <c r="AU49" i="22"/>
  <c r="AR29" i="22"/>
  <c r="AQ21" i="22"/>
  <c r="AP41" i="22"/>
  <c r="AQ37" i="22"/>
  <c r="AO60" i="22"/>
  <c r="AO42" i="22"/>
  <c r="AN53" i="22"/>
  <c r="AC55" i="22"/>
  <c r="AE46" i="22"/>
  <c r="AQ60" i="22"/>
  <c r="AL65" i="22"/>
  <c r="AS41" i="22"/>
  <c r="AF55" i="22"/>
  <c r="AG61" i="22"/>
  <c r="AQ53" i="22"/>
  <c r="AV37" i="22"/>
  <c r="AT40" i="22"/>
  <c r="AP32" i="22"/>
  <c r="AG55" i="22"/>
  <c r="AU41" i="22"/>
  <c r="AT53" i="22"/>
  <c r="AU53" i="22"/>
  <c r="AT51" i="22"/>
  <c r="AK59" i="22"/>
  <c r="AQ47" i="22"/>
  <c r="AR52" i="22"/>
  <c r="AL55" i="22"/>
  <c r="AM59" i="22"/>
  <c r="AS54" i="22"/>
  <c r="AN46" i="22"/>
  <c r="AT52" i="22"/>
  <c r="AT47" i="22"/>
  <c r="AU47" i="22"/>
  <c r="AQ46" i="22"/>
  <c r="AQ61" i="22"/>
  <c r="AR59" i="22"/>
  <c r="AS46" i="22"/>
  <c r="AT61" i="22"/>
  <c r="R42" i="22"/>
  <c r="Z67" i="22"/>
  <c r="Q83" i="22"/>
  <c r="AU87" i="22"/>
  <c r="AO75" i="22"/>
  <c r="AR70" i="22"/>
  <c r="AU70" i="22"/>
  <c r="AB81" i="22"/>
  <c r="AR71" i="22"/>
  <c r="AI77" i="22"/>
  <c r="R77" i="22"/>
  <c r="Z91" i="22"/>
  <c r="AL94" i="22"/>
  <c r="AP85" i="22"/>
  <c r="AI10" i="22"/>
  <c r="AB31" i="22"/>
  <c r="AA7" i="22"/>
  <c r="AH91" i="22"/>
  <c r="AE92" i="22"/>
  <c r="W90" i="22"/>
  <c r="Q14" i="22"/>
  <c r="N8" i="22"/>
  <c r="AQ23" i="22"/>
  <c r="AR31" i="22"/>
  <c r="AQ30" i="22"/>
  <c r="AK11" i="22"/>
  <c r="Z82" i="22"/>
  <c r="AX90" i="22"/>
  <c r="AQ90" i="22"/>
  <c r="AN83" i="22"/>
  <c r="AH88" i="22"/>
  <c r="P19" i="22"/>
  <c r="AF11" i="22"/>
  <c r="AR10" i="22"/>
  <c r="AA33" i="22"/>
  <c r="AA22" i="22"/>
  <c r="AK7" i="22"/>
  <c r="Z24" i="22"/>
  <c r="T17" i="22"/>
  <c r="T50" i="22"/>
  <c r="AH94" i="22"/>
  <c r="V87" i="22"/>
  <c r="AH81" i="22"/>
  <c r="AN96" i="22"/>
  <c r="AB94" i="22"/>
  <c r="X15" i="22"/>
  <c r="AU12" i="22"/>
  <c r="AI17" i="22"/>
  <c r="AQ33" i="22"/>
  <c r="AA18" i="22"/>
  <c r="AM44" i="22"/>
  <c r="AI22" i="22"/>
  <c r="AD7" i="22"/>
  <c r="Z14" i="22"/>
  <c r="AG8" i="22"/>
  <c r="AD9" i="22"/>
  <c r="AS34" i="22"/>
  <c r="AF45" i="22"/>
  <c r="AJ9" i="22"/>
  <c r="AE34" i="22"/>
  <c r="AG45" i="22"/>
  <c r="T12" i="22"/>
  <c r="AI38" i="22"/>
  <c r="AA19" i="22"/>
  <c r="AC21" i="22"/>
  <c r="AA48" i="22"/>
  <c r="AX46" i="22"/>
  <c r="AS25" i="22"/>
  <c r="R47" i="22"/>
  <c r="AM20" i="22"/>
  <c r="P15" i="22"/>
  <c r="AR30" i="22"/>
  <c r="Z13" i="22"/>
  <c r="AB37" i="22"/>
  <c r="W42" i="22"/>
  <c r="R41" i="22"/>
  <c r="U35" i="22"/>
  <c r="Q24" i="22"/>
  <c r="AB27" i="22"/>
  <c r="AL31" i="22"/>
  <c r="X43" i="22"/>
  <c r="AB48" i="22"/>
  <c r="AF37" i="22"/>
  <c r="O33" i="22"/>
  <c r="O48" i="22"/>
  <c r="N67" i="22"/>
  <c r="BB67" i="22" s="1"/>
  <c r="O64" i="22"/>
  <c r="Z40" i="22"/>
  <c r="AS70" i="22"/>
  <c r="AR69" i="22"/>
  <c r="AF73" i="22"/>
  <c r="AO64" i="22"/>
  <c r="AK69" i="22"/>
  <c r="AH78" i="22"/>
  <c r="AJ69" i="22"/>
  <c r="AG81" i="22"/>
  <c r="W71" i="22"/>
  <c r="O77" i="22"/>
  <c r="AC86" i="22"/>
  <c r="AJ76" i="22"/>
  <c r="V91" i="22"/>
  <c r="AB68" i="22"/>
  <c r="AK77" i="22"/>
  <c r="AU86" i="22"/>
  <c r="AV71" i="22"/>
  <c r="AG82" i="22"/>
  <c r="S71" i="22"/>
  <c r="AJ81" i="22"/>
  <c r="Y96" i="22"/>
  <c r="Z89" i="22"/>
  <c r="V80" i="22"/>
  <c r="AA95" i="22"/>
  <c r="Q95" i="22"/>
  <c r="AL90" i="22"/>
  <c r="AV13" i="22"/>
  <c r="S19" i="22"/>
  <c r="AR25" i="22"/>
  <c r="O10" i="22"/>
  <c r="AQ34" i="22"/>
  <c r="AJ25" i="22"/>
  <c r="N25" i="22"/>
  <c r="BB25" i="22" s="1"/>
  <c r="BC25" i="22" s="1"/>
  <c r="BD25" i="22" s="1"/>
  <c r="BE25" i="22" s="1"/>
  <c r="AX42" i="25" s="1"/>
  <c r="AP87" i="22"/>
  <c r="AS92" i="22"/>
  <c r="R81" i="22"/>
  <c r="P96" i="22"/>
  <c r="X84" i="22"/>
  <c r="AF95" i="22"/>
  <c r="AB19" i="22"/>
  <c r="AO23" i="22"/>
  <c r="AN23" i="22"/>
  <c r="AI25" i="22"/>
  <c r="AG18" i="22"/>
  <c r="AR13" i="22"/>
  <c r="AX32" i="22"/>
  <c r="Y33" i="22"/>
  <c r="AS23" i="22"/>
  <c r="Z30" i="22"/>
  <c r="O42" i="22"/>
  <c r="S26" i="22"/>
  <c r="AQ35" i="22"/>
  <c r="AJ12" i="22"/>
  <c r="AF13" i="22"/>
  <c r="AH8" i="22"/>
  <c r="W11" i="22"/>
  <c r="T39" i="22"/>
  <c r="AR89" i="22"/>
  <c r="AP80" i="22"/>
  <c r="V86" i="22"/>
  <c r="AA93" i="22"/>
  <c r="V92" i="22"/>
  <c r="AG93" i="22"/>
  <c r="AF78" i="22"/>
  <c r="AN87" i="22"/>
  <c r="O96" i="22"/>
  <c r="AC7" i="22"/>
  <c r="N17" i="22"/>
  <c r="AB15" i="22"/>
  <c r="AX22" i="22"/>
  <c r="AY22" i="22" s="1"/>
  <c r="AZ22" i="22" s="1"/>
  <c r="AW39" i="25" s="1"/>
  <c r="AY39" i="25" s="1"/>
  <c r="O26" i="22"/>
  <c r="AF19" i="22"/>
  <c r="W29" i="22"/>
  <c r="AC27" i="22"/>
  <c r="V32" i="22"/>
  <c r="Y37" i="22"/>
  <c r="AG11" i="22"/>
  <c r="AH13" i="22"/>
  <c r="AB33" i="22"/>
  <c r="X38" i="22"/>
  <c r="P21" i="22"/>
  <c r="AA23" i="22"/>
  <c r="N22" i="22"/>
  <c r="BB22" i="22" s="1"/>
  <c r="BC22" i="22" s="1"/>
  <c r="BD22" i="22" s="1"/>
  <c r="BE22" i="22" s="1"/>
  <c r="AX39" i="25" s="1"/>
  <c r="X18" i="22"/>
  <c r="Y41" i="22"/>
  <c r="AT76" i="22"/>
  <c r="P92" i="22"/>
  <c r="AX96" i="22"/>
  <c r="V83" i="22"/>
  <c r="AK90" i="22"/>
  <c r="AU93" i="22"/>
  <c r="AF91" i="22"/>
  <c r="AC91" i="22"/>
  <c r="AX94" i="22"/>
  <c r="AN78" i="22"/>
  <c r="AN84" i="22"/>
  <c r="AH90" i="22"/>
  <c r="S96" i="22"/>
  <c r="AT10" i="22"/>
  <c r="V15" i="22"/>
  <c r="AS11" i="22"/>
  <c r="AM16" i="22"/>
  <c r="AE26" i="22"/>
  <c r="R9" i="22"/>
  <c r="AE27" i="22"/>
  <c r="V20" i="22"/>
  <c r="AD34" i="22"/>
  <c r="U14" i="22"/>
  <c r="AF25" i="22"/>
  <c r="AD20" i="22"/>
  <c r="AK36" i="22"/>
  <c r="AR8" i="22"/>
  <c r="AK24" i="22"/>
  <c r="AK34" i="22"/>
  <c r="AO36" i="22"/>
  <c r="P47" i="22"/>
  <c r="AU11" i="22"/>
  <c r="Y18" i="22"/>
  <c r="AQ8" i="22"/>
  <c r="AI8" i="22"/>
  <c r="AA10" i="22"/>
  <c r="AV14" i="22"/>
  <c r="AT11" i="22"/>
  <c r="Y13" i="22"/>
  <c r="N38" i="22"/>
  <c r="BB38" i="22" s="1"/>
  <c r="BC38" i="22" s="1"/>
  <c r="BD38" i="22" s="1"/>
  <c r="BE38" i="22" s="1"/>
  <c r="AX55" i="25" s="1"/>
  <c r="P52" i="22"/>
  <c r="Q44" i="22"/>
  <c r="AP39" i="22"/>
  <c r="AI26" i="22"/>
  <c r="Q37" i="22"/>
  <c r="R23" i="22"/>
  <c r="AI44" i="22"/>
  <c r="AD33" i="22"/>
  <c r="AC9" i="22"/>
  <c r="O11" i="22"/>
  <c r="Q30" i="22"/>
  <c r="N27" i="22"/>
  <c r="BB27" i="22" s="1"/>
  <c r="BC27" i="22" s="1"/>
  <c r="BD27" i="22" s="1"/>
  <c r="BE27" i="22" s="1"/>
  <c r="AX44" i="25" s="1"/>
  <c r="AK23" i="22"/>
  <c r="AL43" i="22"/>
  <c r="Z49" i="22"/>
  <c r="AF49" i="22"/>
  <c r="R17" i="22"/>
  <c r="AG33" i="22"/>
  <c r="AC28" i="22"/>
  <c r="Z33" i="22"/>
  <c r="AD49" i="22"/>
  <c r="S12" i="22"/>
  <c r="AA8" i="22"/>
  <c r="AA14" i="22"/>
  <c r="U43" i="22"/>
  <c r="T32" i="22"/>
  <c r="P30" i="22"/>
  <c r="Y45" i="22"/>
  <c r="AF26" i="22"/>
  <c r="AX7" i="22"/>
  <c r="AB28" i="22"/>
  <c r="AH25" i="22"/>
  <c r="AD43" i="22"/>
  <c r="AT13" i="22"/>
  <c r="AS17" i="22"/>
  <c r="AE7" i="22"/>
  <c r="Z25" i="22"/>
  <c r="AA26" i="22"/>
  <c r="AA30" i="22"/>
  <c r="V34" i="22"/>
  <c r="P39" i="22"/>
  <c r="AS45" i="22"/>
  <c r="S43" i="22"/>
  <c r="X42" i="22"/>
  <c r="P12" i="22"/>
  <c r="X21" i="22"/>
  <c r="AV25" i="22"/>
  <c r="AE35" i="22"/>
  <c r="AS35" i="22"/>
  <c r="Y16" i="22"/>
  <c r="AF31" i="22"/>
  <c r="AO43" i="22"/>
  <c r="AF39" i="22"/>
  <c r="Q51" i="22"/>
  <c r="R39" i="22"/>
  <c r="R52" i="22"/>
  <c r="AS67" i="22"/>
  <c r="P61" i="22"/>
  <c r="X53" i="22"/>
  <c r="X66" i="22"/>
  <c r="U47" i="22"/>
  <c r="AM38" i="22"/>
  <c r="AV31" i="22"/>
  <c r="V65" i="22"/>
  <c r="AH62" i="22"/>
  <c r="P46" i="22"/>
  <c r="AD37" i="22"/>
  <c r="AD21" i="22"/>
  <c r="Z51" i="22"/>
  <c r="AT58" i="22"/>
  <c r="Y32" i="22"/>
  <c r="AT68" i="22"/>
  <c r="AA32" i="22"/>
  <c r="S46" i="22"/>
  <c r="S59" i="22"/>
  <c r="AE40" i="22"/>
  <c r="AJ19" i="22"/>
  <c r="Y47" i="22"/>
  <c r="AD53" i="22"/>
  <c r="AF48" i="22"/>
  <c r="AJ28" i="22"/>
  <c r="AQ38" i="22"/>
  <c r="Y54" i="22"/>
  <c r="AC51" i="22"/>
  <c r="AS57" i="22"/>
  <c r="AP22" i="22"/>
  <c r="AA52" i="22"/>
  <c r="U46" i="22"/>
  <c r="AQ7" i="22"/>
  <c r="AG60" i="22"/>
  <c r="AL19" i="22"/>
  <c r="AK28" i="22"/>
  <c r="AE53" i="22"/>
  <c r="AI37" i="22"/>
  <c r="AA65" i="22"/>
  <c r="AH41" i="22"/>
  <c r="U61" i="22"/>
  <c r="AC32" i="22"/>
  <c r="AD51" i="22"/>
  <c r="AR7" i="22"/>
  <c r="AB52" i="22"/>
  <c r="AV50" i="22"/>
  <c r="AR27" i="22"/>
  <c r="AC65" i="22"/>
  <c r="AC52" i="22"/>
  <c r="AT38" i="22"/>
  <c r="AP49" i="22"/>
  <c r="W59" i="22"/>
  <c r="AL29" i="22"/>
  <c r="AJ41" i="22"/>
  <c r="W46" i="22"/>
  <c r="AI48" i="22"/>
  <c r="AK21" i="22"/>
  <c r="AO62" i="22"/>
  <c r="AE66" i="22"/>
  <c r="AP62" i="22"/>
  <c r="AJ48" i="22"/>
  <c r="AK41" i="22"/>
  <c r="X59" i="22"/>
  <c r="AV38" i="22"/>
  <c r="AD52" i="22"/>
  <c r="AS27" i="22"/>
  <c r="AG51" i="22"/>
  <c r="AO19" i="22"/>
  <c r="AF32" i="22"/>
  <c r="AL37" i="22"/>
  <c r="AI42" i="22"/>
  <c r="AT7" i="22"/>
  <c r="AH53" i="22"/>
  <c r="AL56" i="22"/>
  <c r="Y61" i="22"/>
  <c r="AK40" i="22"/>
  <c r="AL41" i="22"/>
  <c r="AQ62" i="22"/>
  <c r="X55" i="22"/>
  <c r="AK60" i="22"/>
  <c r="AT22" i="22"/>
  <c r="AM56" i="22"/>
  <c r="AV7" i="22"/>
  <c r="AH66" i="22"/>
  <c r="AU27" i="22"/>
  <c r="AE47" i="22"/>
  <c r="Z46" i="22"/>
  <c r="AN21" i="22"/>
  <c r="AH32" i="22"/>
  <c r="AJ53" i="22"/>
  <c r="AE54" i="22"/>
  <c r="Z59" i="22"/>
  <c r="AS49" i="22"/>
  <c r="AV22" i="22"/>
  <c r="AL60" i="22"/>
  <c r="AR62" i="22"/>
  <c r="AL40" i="22"/>
  <c r="AA61" i="22"/>
  <c r="AK53" i="22"/>
  <c r="AO21" i="22"/>
  <c r="AN41" i="22"/>
  <c r="AM40" i="22"/>
  <c r="AM60" i="22"/>
  <c r="AQ28" i="22"/>
  <c r="AV63" i="22"/>
  <c r="AN60" i="22"/>
  <c r="AO41" i="22"/>
  <c r="AL53" i="22"/>
  <c r="AN48" i="22"/>
  <c r="AP56" i="22"/>
  <c r="AP37" i="22"/>
  <c r="AH65" i="22"/>
  <c r="AM42" i="22"/>
  <c r="AB46" i="22"/>
  <c r="AG47" i="22"/>
  <c r="AV49" i="22"/>
  <c r="AL51" i="22"/>
  <c r="AC59" i="22"/>
  <c r="AJ65" i="22"/>
  <c r="AI47" i="22"/>
  <c r="AR37" i="22"/>
  <c r="AQ41" i="22"/>
  <c r="AR21" i="22"/>
  <c r="AS29" i="22"/>
  <c r="AM51" i="22"/>
  <c r="AI54" i="22"/>
  <c r="AP40" i="22"/>
  <c r="AV19" i="22"/>
  <c r="AM32" i="22"/>
  <c r="AD55" i="22"/>
  <c r="AJ54" i="22"/>
  <c r="AR41" i="22"/>
  <c r="AE59" i="22"/>
  <c r="AM66" i="22"/>
  <c r="AE61" i="22"/>
  <c r="AK52" i="22"/>
  <c r="AJ47" i="22"/>
  <c r="AR60" i="22"/>
  <c r="AN66" i="22"/>
  <c r="AT56" i="22"/>
  <c r="AR48" i="22"/>
  <c r="AV29" i="22"/>
  <c r="AH59" i="22"/>
  <c r="AR53" i="22"/>
  <c r="AU48" i="22"/>
  <c r="AO65" i="22"/>
  <c r="AT42" i="22"/>
  <c r="AI46" i="22"/>
  <c r="AS53" i="22"/>
  <c r="AQ66" i="22"/>
  <c r="AO52" i="22"/>
  <c r="AI55" i="22"/>
  <c r="AR32" i="22"/>
  <c r="AO47" i="22"/>
  <c r="AP52" i="22"/>
  <c r="AR66" i="22"/>
  <c r="AS52" i="22"/>
  <c r="AR54" i="22"/>
  <c r="AV65" i="22"/>
  <c r="AU54" i="22"/>
  <c r="AP59" i="22"/>
  <c r="AV47" i="22"/>
  <c r="AT59" i="22"/>
  <c r="AU61" i="22"/>
  <c r="AV46" i="22"/>
  <c r="AV59" i="22"/>
  <c r="U10" i="22"/>
  <c r="AT90" i="22"/>
  <c r="AG15" i="22"/>
  <c r="AT12" i="22"/>
  <c r="AS20" i="22"/>
  <c r="AT24" i="22"/>
  <c r="AI31" i="22"/>
  <c r="Z27" i="22"/>
  <c r="AF16" i="22"/>
  <c r="AQ17" i="22"/>
  <c r="AF24" i="22"/>
  <c r="V9" i="22"/>
  <c r="U36" i="22"/>
  <c r="AR82" i="22"/>
  <c r="N77" i="22"/>
  <c r="BB77" i="22" s="1"/>
  <c r="AQ91" i="22"/>
  <c r="AP92" i="22"/>
  <c r="X96" i="22"/>
  <c r="P87" i="22"/>
  <c r="R83" i="22"/>
  <c r="AF22" i="22"/>
  <c r="AC8" i="22"/>
  <c r="AV23" i="22"/>
  <c r="Q32" i="22"/>
  <c r="Z17" i="22"/>
  <c r="U41" i="22"/>
  <c r="O18" i="22"/>
  <c r="V33" i="22"/>
  <c r="AN11" i="22"/>
  <c r="AN13" i="22"/>
  <c r="AG12" i="22"/>
  <c r="AJ13" i="22"/>
  <c r="AV11" i="22"/>
  <c r="W16" i="22"/>
  <c r="AA38" i="22"/>
  <c r="AC25" i="22"/>
  <c r="AI7" i="22"/>
  <c r="AT31" i="22"/>
  <c r="AC33" i="22"/>
  <c r="AJ27" i="22"/>
  <c r="AK26" i="22"/>
  <c r="Y36" i="22"/>
  <c r="AN26" i="22"/>
  <c r="AU16" i="22"/>
  <c r="AB22" i="22"/>
  <c r="AL23" i="22"/>
  <c r="AX24" i="22"/>
  <c r="AY24" i="22" s="1"/>
  <c r="V50" i="22"/>
  <c r="Q19" i="22"/>
  <c r="AK31" i="22"/>
  <c r="AF9" i="22"/>
  <c r="AH39" i="22"/>
  <c r="V11" i="22"/>
  <c r="S24" i="22"/>
  <c r="R30" i="22"/>
  <c r="S9" i="22"/>
  <c r="Y39" i="22"/>
  <c r="T42" i="22"/>
  <c r="W43" i="22"/>
  <c r="AJ63" i="22"/>
  <c r="AB40" i="22"/>
  <c r="AF62" i="22"/>
  <c r="AQ68" i="22"/>
  <c r="AU44" i="22"/>
  <c r="AF28" i="22"/>
  <c r="Q55" i="22"/>
  <c r="W54" i="22"/>
  <c r="AP57" i="22"/>
  <c r="Q46" i="22"/>
  <c r="AN22" i="22"/>
  <c r="R55" i="22"/>
  <c r="AL49" i="22"/>
  <c r="AB32" i="22"/>
  <c r="AU43" i="22"/>
  <c r="S55" i="22"/>
  <c r="Z52" i="22"/>
  <c r="AL62" i="22"/>
  <c r="AO22" i="22"/>
  <c r="AM49" i="22"/>
  <c r="AR57" i="22"/>
  <c r="V61" i="22"/>
  <c r="AF53" i="22"/>
  <c r="AD66" i="22"/>
  <c r="AN62" i="22"/>
  <c r="AJ21" i="22"/>
  <c r="AH48" i="22"/>
  <c r="AD47" i="22"/>
  <c r="AU7" i="22"/>
  <c r="AP19" i="22"/>
  <c r="AR49" i="22"/>
  <c r="AG66" i="22"/>
  <c r="AM48" i="22"/>
  <c r="AJ51" i="22"/>
  <c r="AO37" i="22"/>
  <c r="AA55" i="22"/>
  <c r="AI52" i="22"/>
  <c r="AS28" i="22"/>
  <c r="AN42" i="22"/>
  <c r="AO48" i="22"/>
  <c r="AC61" i="22"/>
  <c r="AD59" i="22"/>
  <c r="AU19" i="22"/>
  <c r="AS56" i="22"/>
  <c r="AS21" i="22"/>
  <c r="AU29" i="22"/>
  <c r="AQ42" i="22"/>
  <c r="AT21" i="22"/>
  <c r="AE55" i="22"/>
  <c r="AR42" i="22"/>
  <c r="AV56" i="22"/>
  <c r="AO66" i="22"/>
  <c r="AV21" i="22"/>
  <c r="AO32" i="22"/>
  <c r="AP51" i="22"/>
  <c r="AG59" i="22"/>
  <c r="AN52" i="22"/>
  <c r="AM54" i="22"/>
  <c r="AU60" i="22"/>
  <c r="AT48" i="22"/>
  <c r="AH55" i="22"/>
  <c r="AV42" i="22"/>
  <c r="AQ65" i="22"/>
  <c r="AS32" i="22"/>
  <c r="AQ52" i="22"/>
  <c r="AJ55" i="22"/>
  <c r="AV51" i="22"/>
  <c r="AT32" i="22"/>
  <c r="AL46" i="22"/>
  <c r="AU66" i="22"/>
  <c r="AV32" i="22"/>
  <c r="AN61" i="22"/>
  <c r="AN59" i="22"/>
  <c r="AO59" i="22"/>
  <c r="AO61" i="22"/>
  <c r="AR61" i="22"/>
  <c r="AS59" i="22"/>
  <c r="AV55" i="22"/>
  <c r="AI63" i="22"/>
  <c r="S16" i="22"/>
  <c r="AX58" i="22"/>
  <c r="AU80" i="22"/>
  <c r="AS64" i="22"/>
  <c r="AA86" i="22"/>
  <c r="AU81" i="22"/>
  <c r="AG57" i="22"/>
  <c r="O82" i="22"/>
  <c r="AX86" i="22"/>
  <c r="V81" i="22"/>
  <c r="AO90" i="22"/>
  <c r="Z83" i="22"/>
  <c r="AS15" i="22"/>
  <c r="AA24" i="22"/>
  <c r="AU34" i="22"/>
  <c r="Z96" i="22"/>
  <c r="AV79" i="22"/>
  <c r="AF12" i="22"/>
  <c r="AX21" i="22"/>
  <c r="AY21" i="22" s="1"/>
  <c r="AZ21" i="22" s="1"/>
  <c r="AW38" i="25" s="1"/>
  <c r="AY38" i="25" s="1"/>
  <c r="AU24" i="22"/>
  <c r="AC35" i="22"/>
  <c r="AA20" i="22"/>
  <c r="AA44" i="22"/>
  <c r="T19" i="22"/>
  <c r="AV17" i="22"/>
  <c r="Z94" i="22"/>
  <c r="N96" i="22"/>
  <c r="AO95" i="22"/>
  <c r="AB93" i="22"/>
  <c r="U12" i="22"/>
  <c r="S30" i="22"/>
  <c r="AO20" i="22"/>
  <c r="AK33" i="22"/>
  <c r="T86" i="22"/>
  <c r="N78" i="22"/>
  <c r="BB78" i="22" s="1"/>
  <c r="AM95" i="22"/>
  <c r="U93" i="22"/>
  <c r="AN81" i="22"/>
  <c r="R88" i="22"/>
  <c r="X14" i="22"/>
  <c r="U21" i="22"/>
  <c r="AD18" i="22"/>
  <c r="AX35" i="22"/>
  <c r="AD22" i="22"/>
  <c r="T22" i="22"/>
  <c r="R34" i="22"/>
  <c r="AG13" i="22"/>
  <c r="T10" i="22"/>
  <c r="V17" i="22"/>
  <c r="W22" i="22"/>
  <c r="AX16" i="22"/>
  <c r="V31" i="22"/>
  <c r="P24" i="22"/>
  <c r="S37" i="22"/>
  <c r="AQ15" i="22"/>
  <c r="AH12" i="22"/>
  <c r="T27" i="22"/>
  <c r="Q50" i="22"/>
  <c r="V27" i="22"/>
  <c r="S41" i="22"/>
  <c r="V35" i="22"/>
  <c r="T30" i="22"/>
  <c r="S36" i="22"/>
  <c r="AC26" i="22"/>
  <c r="U27" i="22"/>
  <c r="T51" i="22"/>
  <c r="AH50" i="22"/>
  <c r="AU10" i="22"/>
  <c r="AX28" i="22"/>
  <c r="AY28" i="22" s="1"/>
  <c r="AZ28" i="22" s="1"/>
  <c r="AW45" i="25" s="1"/>
  <c r="AY45" i="25" s="1"/>
  <c r="AP34" i="22"/>
  <c r="AB14" i="22"/>
  <c r="AB34" i="22"/>
  <c r="AN45" i="22"/>
  <c r="Q45" i="22"/>
  <c r="T53" i="22"/>
  <c r="Y51" i="22"/>
  <c r="AD56" i="22"/>
  <c r="AL7" i="22"/>
  <c r="W52" i="22"/>
  <c r="AI28" i="22"/>
  <c r="AB66" i="22"/>
  <c r="T59" i="22"/>
  <c r="AM62" i="22"/>
  <c r="AJ29" i="22"/>
  <c r="Z47" i="22"/>
  <c r="AF42" i="22"/>
  <c r="AQ22" i="22"/>
  <c r="AG53" i="22"/>
  <c r="AH42" i="22"/>
  <c r="AE32" i="22"/>
  <c r="AF51" i="22"/>
  <c r="AF66" i="22"/>
  <c r="AQ49" i="22"/>
  <c r="AJ40" i="22"/>
  <c r="AC47" i="22"/>
  <c r="AO28" i="22"/>
  <c r="AS63" i="22"/>
  <c r="AV27" i="22"/>
  <c r="AO29" i="22"/>
  <c r="AL48" i="22"/>
  <c r="Y55" i="22"/>
  <c r="AT49" i="22"/>
  <c r="AA46" i="22"/>
  <c r="AP21" i="22"/>
  <c r="AS19" i="22"/>
  <c r="AJ32" i="22"/>
  <c r="AV62" i="22"/>
  <c r="AD46" i="22"/>
  <c r="AT29" i="22"/>
  <c r="AF46" i="22"/>
  <c r="AI59" i="22"/>
  <c r="AJ59" i="22"/>
  <c r="AP65" i="22"/>
  <c r="AO55" i="22"/>
  <c r="AU46" i="22"/>
  <c r="AJ61" i="22"/>
  <c r="AT43" i="22"/>
  <c r="AV68" i="22"/>
  <c r="T55" i="22"/>
  <c r="AG40" i="22"/>
  <c r="AA54" i="22"/>
  <c r="W61" i="22"/>
  <c r="AR22" i="22"/>
  <c r="AL21" i="22"/>
  <c r="X61" i="22"/>
  <c r="AI53" i="22"/>
  <c r="AI51" i="22"/>
  <c r="AM41" i="22"/>
  <c r="AS62" i="22"/>
  <c r="AQ29" i="22"/>
  <c r="AT37" i="22"/>
  <c r="AS51" i="22"/>
  <c r="AB60" i="22"/>
  <c r="V52" i="22"/>
  <c r="R59" i="22"/>
  <c r="AP50" i="22"/>
  <c r="AQ57" i="22"/>
  <c r="AG21" i="22"/>
  <c r="AG56" i="22"/>
  <c r="AO27" i="22"/>
  <c r="AS50" i="22"/>
  <c r="AN49" i="22"/>
  <c r="U59" i="22"/>
  <c r="AG48" i="22"/>
  <c r="AI21" i="22"/>
  <c r="V46" i="22"/>
  <c r="AJ37" i="22"/>
  <c r="AI60" i="22"/>
  <c r="AB47" i="22"/>
  <c r="AM28" i="22"/>
  <c r="AI40" i="22"/>
  <c r="AM29" i="22"/>
  <c r="AR63" i="22"/>
  <c r="W55" i="22"/>
  <c r="AJ60" i="22"/>
  <c r="AD54" i="22"/>
  <c r="AQ19" i="22"/>
  <c r="AT63" i="22"/>
  <c r="AU22" i="22"/>
  <c r="AG52" i="22"/>
  <c r="AA59" i="22"/>
  <c r="AN40" i="22"/>
  <c r="AH52" i="22"/>
  <c r="AB59" i="22"/>
  <c r="AK32" i="22"/>
  <c r="AP48" i="22"/>
  <c r="AJ52" i="22"/>
  <c r="AQ40" i="22"/>
  <c r="AQ48" i="22"/>
  <c r="AF59" i="22"/>
  <c r="AR51" i="22"/>
  <c r="AU42" i="22"/>
  <c r="AO54" i="22"/>
  <c r="AU65" i="22"/>
  <c r="AP61" i="22"/>
  <c r="AP55" i="22"/>
  <c r="AL52" i="22"/>
  <c r="AV40" i="22"/>
  <c r="AT55" i="22"/>
  <c r="AU59" i="22"/>
  <c r="AK22" i="22"/>
  <c r="AI29" i="22"/>
  <c r="AP7" i="22"/>
  <c r="AP27" i="22"/>
  <c r="AT50" i="22"/>
  <c r="V55" i="22"/>
  <c r="AQ63" i="22"/>
  <c r="AU38" i="22"/>
  <c r="Y59" i="22"/>
  <c r="AN37" i="22"/>
  <c r="AI32" i="22"/>
  <c r="AB61" i="22"/>
  <c r="AR56" i="22"/>
  <c r="AO53" i="22"/>
  <c r="AI61" i="22"/>
  <c r="AS66" i="22"/>
  <c r="AO50" i="22"/>
  <c r="AS58" i="22"/>
  <c r="AG37" i="22"/>
  <c r="AK62" i="22"/>
  <c r="AF60" i="22"/>
  <c r="AN63" i="22"/>
  <c r="AO63" i="22"/>
  <c r="AR38" i="22"/>
  <c r="AI56" i="22"/>
  <c r="Z54" i="22"/>
  <c r="AH60" i="22"/>
  <c r="AS7" i="22"/>
  <c r="AK37" i="22"/>
  <c r="AN19" i="22"/>
  <c r="AV57" i="22"/>
  <c r="X46" i="22"/>
  <c r="AD65" i="22"/>
  <c r="AN28" i="22"/>
  <c r="AC54" i="22"/>
  <c r="AK48" i="22"/>
  <c r="AF65" i="22"/>
  <c r="AK42" i="22"/>
  <c r="AN56" i="22"/>
  <c r="Z61" i="22"/>
  <c r="AF47" i="22"/>
  <c r="AO56" i="22"/>
  <c r="AR28" i="22"/>
  <c r="AJ66" i="22"/>
  <c r="AT62" i="22"/>
  <c r="AB55" i="22"/>
  <c r="AD61" i="22"/>
  <c r="AT28" i="22"/>
  <c r="AP42" i="22"/>
  <c r="AV28" i="22"/>
  <c r="AN47" i="22"/>
  <c r="AJ46" i="22"/>
  <c r="AS22" i="22"/>
  <c r="AP28" i="22"/>
  <c r="AL66" i="22"/>
  <c r="AP53" i="22"/>
  <c r="AQ32" i="22"/>
  <c r="AT66" i="22"/>
  <c r="AA4" i="33"/>
  <c r="B4" i="44" s="1"/>
  <c r="Y6" i="33"/>
  <c r="U23" i="25"/>
  <c r="X52" i="22" l="1"/>
  <c r="AB4" i="33"/>
  <c r="B3" i="44" s="1"/>
</calcChain>
</file>

<file path=xl/comments1.xml><?xml version="1.0" encoding="utf-8"?>
<comments xmlns="http://schemas.openxmlformats.org/spreadsheetml/2006/main">
  <authors>
    <author>Manfredini, Andrea</author>
  </authors>
  <commentList>
    <comment ref="G7" authorId="0" shapeId="0">
      <text>
        <r>
          <rPr>
            <b/>
            <sz val="9"/>
            <color indexed="81"/>
            <rFont val="Tahoma"/>
            <family val="2"/>
          </rPr>
          <t>Manfredini, Andrea:</t>
        </r>
        <r>
          <rPr>
            <sz val="9"/>
            <color indexed="81"/>
            <rFont val="Tahoma"/>
            <family val="2"/>
          </rPr>
          <t xml:space="preserve">
MICROFLOW</t>
        </r>
      </text>
    </comment>
    <comment ref="G105" authorId="0" shapeId="0">
      <text>
        <r>
          <rPr>
            <b/>
            <sz val="9"/>
            <color indexed="81"/>
            <rFont val="Tahoma"/>
            <family val="2"/>
          </rPr>
          <t>Manfredini, Andrea:</t>
        </r>
        <r>
          <rPr>
            <sz val="9"/>
            <color indexed="81"/>
            <rFont val="Tahoma"/>
            <family val="2"/>
          </rPr>
          <t xml:space="preserve">
MICROFLOW</t>
        </r>
      </text>
    </comment>
  </commentList>
</comments>
</file>

<file path=xl/comments2.xml><?xml version="1.0" encoding="utf-8"?>
<comments xmlns="http://schemas.openxmlformats.org/spreadsheetml/2006/main">
  <authors>
    <author>Andrea</author>
    <author>Manfredini, Andrea</author>
  </authors>
  <commentList>
    <comment ref="E62" authorId="0" shapeId="0">
      <text>
        <r>
          <rPr>
            <b/>
            <sz val="9"/>
            <color indexed="81"/>
            <rFont val="Tahoma"/>
            <family val="2"/>
          </rPr>
          <t>Andrea:</t>
        </r>
        <r>
          <rPr>
            <sz val="9"/>
            <color indexed="81"/>
            <rFont val="Tahoma"/>
            <family val="2"/>
          </rPr>
          <t xml:space="preserve">
Da Verifica Cavitazione</t>
        </r>
      </text>
    </comment>
    <comment ref="E63" authorId="0" shapeId="0">
      <text>
        <r>
          <rPr>
            <b/>
            <sz val="9"/>
            <color indexed="81"/>
            <rFont val="Tahoma"/>
            <family val="2"/>
          </rPr>
          <t>Andrea:</t>
        </r>
        <r>
          <rPr>
            <sz val="9"/>
            <color indexed="81"/>
            <rFont val="Tahoma"/>
            <family val="2"/>
          </rPr>
          <t xml:space="preserve">
Da Verifica Cavitazione</t>
        </r>
      </text>
    </comment>
    <comment ref="E64" authorId="0" shapeId="0">
      <text>
        <r>
          <rPr>
            <b/>
            <sz val="9"/>
            <color indexed="81"/>
            <rFont val="Tahoma"/>
            <family val="2"/>
          </rPr>
          <t>Andrea:</t>
        </r>
        <r>
          <rPr>
            <sz val="9"/>
            <color indexed="81"/>
            <rFont val="Tahoma"/>
            <family val="2"/>
          </rPr>
          <t xml:space="preserve">
Da Verifica Cavitazione</t>
        </r>
      </text>
    </comment>
    <comment ref="E68" authorId="0" shapeId="0">
      <text>
        <r>
          <rPr>
            <b/>
            <sz val="9"/>
            <color indexed="81"/>
            <rFont val="Tahoma"/>
            <family val="2"/>
          </rPr>
          <t>Andrea:</t>
        </r>
        <r>
          <rPr>
            <sz val="9"/>
            <color indexed="81"/>
            <rFont val="Tahoma"/>
            <family val="2"/>
          </rPr>
          <t xml:space="preserve">
Da Verifica Cavitazione</t>
        </r>
      </text>
    </comment>
    <comment ref="E69" authorId="0" shapeId="0">
      <text>
        <r>
          <rPr>
            <b/>
            <sz val="9"/>
            <color indexed="81"/>
            <rFont val="Tahoma"/>
            <family val="2"/>
          </rPr>
          <t>Andrea:</t>
        </r>
        <r>
          <rPr>
            <sz val="9"/>
            <color indexed="81"/>
            <rFont val="Tahoma"/>
            <family val="2"/>
          </rPr>
          <t xml:space="preserve">
Da Verifica Cavitazione</t>
        </r>
      </text>
    </comment>
    <comment ref="E70" authorId="0" shapeId="0">
      <text>
        <r>
          <rPr>
            <b/>
            <sz val="9"/>
            <color indexed="81"/>
            <rFont val="Tahoma"/>
            <family val="2"/>
          </rPr>
          <t>Andrea:</t>
        </r>
        <r>
          <rPr>
            <sz val="9"/>
            <color indexed="81"/>
            <rFont val="Tahoma"/>
            <family val="2"/>
          </rPr>
          <t xml:space="preserve">
Da Verifica Cavitazione</t>
        </r>
      </text>
    </comment>
    <comment ref="E99" authorId="1" shapeId="0">
      <text>
        <r>
          <rPr>
            <b/>
            <sz val="9"/>
            <color indexed="81"/>
            <rFont val="Tahoma"/>
            <family val="2"/>
          </rPr>
          <t>Manfredini, Andrea:</t>
        </r>
        <r>
          <rPr>
            <sz val="9"/>
            <color indexed="81"/>
            <rFont val="Tahoma"/>
            <family val="2"/>
          </rPr>
          <t xml:space="preserve">
Molar Mass MUST be given!!!</t>
        </r>
      </text>
    </comment>
    <comment ref="F108" authorId="1" shapeId="0">
      <text>
        <r>
          <rPr>
            <b/>
            <sz val="9"/>
            <color indexed="81"/>
            <rFont val="Tahoma"/>
            <family val="2"/>
          </rPr>
          <t>Manfredini, Andrea:</t>
        </r>
        <r>
          <rPr>
            <sz val="9"/>
            <color indexed="81"/>
            <rFont val="Tahoma"/>
            <family val="2"/>
          </rPr>
          <t xml:space="preserve">
Nota Vapore Saturo e Surriscaldato: 
In presenza anche NON simultanea di pressioni basse (es.1-5 Bara) e DP molto elevati (o p2&lt;p1/2) il calcolo del Kv risulta essere più elevato in confronto a calcoli fatti con Valquo, Conval1, P! Considerare meno margine di sicurezza o correggere fattori di correzione da 1,0 a 0,9 (vedi esempi in basso al foglio excel)</t>
        </r>
      </text>
    </comment>
    <comment ref="E130" authorId="1" shapeId="0">
      <text>
        <r>
          <rPr>
            <b/>
            <sz val="9"/>
            <color indexed="81"/>
            <rFont val="Tahoma"/>
            <family val="2"/>
          </rPr>
          <t>Manfredini, Andrea:</t>
        </r>
        <r>
          <rPr>
            <sz val="9"/>
            <color indexed="81"/>
            <rFont val="Tahoma"/>
            <family val="2"/>
          </rPr>
          <t xml:space="preserve">
Xt differente per tipologia di valvola, trim, % apertura. Da imputare manualmente. Conval valore STD 0,75. Vedi Tabella Schmidt allegata</t>
        </r>
      </text>
    </comment>
    <comment ref="E131" authorId="1" shapeId="0">
      <text>
        <r>
          <rPr>
            <b/>
            <sz val="9"/>
            <color indexed="81"/>
            <rFont val="Tahoma"/>
            <family val="2"/>
          </rPr>
          <t>Manfredini, Andrea:</t>
        </r>
        <r>
          <rPr>
            <sz val="9"/>
            <color indexed="81"/>
            <rFont val="Tahoma"/>
            <family val="2"/>
          </rPr>
          <t xml:space="preserve">
Xt differente per tipologia di valvola, trim, % apertura. Da imputare manualmente. Conval valore STD 0,75</t>
        </r>
      </text>
    </comment>
    <comment ref="E132" authorId="1" shapeId="0">
      <text>
        <r>
          <rPr>
            <b/>
            <sz val="9"/>
            <color indexed="81"/>
            <rFont val="Tahoma"/>
            <family val="2"/>
          </rPr>
          <t>Manfredini, Andrea:</t>
        </r>
        <r>
          <rPr>
            <sz val="9"/>
            <color indexed="81"/>
            <rFont val="Tahoma"/>
            <family val="2"/>
          </rPr>
          <t xml:space="preserve">
Xt differente per tipologia di valvola, trim, % apertura. Da imputare manualmente. Conval valore STD 0,75</t>
        </r>
      </text>
    </comment>
    <comment ref="E133" authorId="1" shapeId="0">
      <text>
        <r>
          <rPr>
            <b/>
            <sz val="9"/>
            <color indexed="81"/>
            <rFont val="Tahoma"/>
            <family val="2"/>
          </rPr>
          <t>Manfredini, Andrea:</t>
        </r>
        <r>
          <rPr>
            <sz val="9"/>
            <color indexed="81"/>
            <rFont val="Tahoma"/>
            <family val="2"/>
          </rPr>
          <t xml:space="preserve">
Molar Mass MUST be given!!!</t>
        </r>
      </text>
    </comment>
  </commentList>
</comments>
</file>

<file path=xl/comments3.xml><?xml version="1.0" encoding="utf-8"?>
<comments xmlns="http://schemas.openxmlformats.org/spreadsheetml/2006/main">
  <authors>
    <author>Andrea</author>
    <author>Manfredini, Andrea</author>
  </authors>
  <commentList>
    <comment ref="D8" authorId="0" shapeId="0">
      <text>
        <r>
          <rPr>
            <b/>
            <sz val="9"/>
            <color indexed="81"/>
            <rFont val="Tahoma"/>
            <family val="2"/>
          </rPr>
          <t>Andrea:</t>
        </r>
        <r>
          <rPr>
            <sz val="9"/>
            <color indexed="81"/>
            <rFont val="Tahoma"/>
            <family val="2"/>
          </rPr>
          <t xml:space="preserve">
LEGENDA
DN15 to DN50 = 12mm
DN80 to DN100 = 16mm
DN125 to DN300 = 20mm
x ANSI 600
DN25 = 12mm
DN40 to DN50 = 16mm
DN80 to DN300 = 20mm
X GSV (verificato solo con Fr STD packing
Till 1" = 12mm
Till 2" = 16mm
Till 4" = 20mm
Till 6" = 24mm</t>
        </r>
      </text>
    </comment>
    <comment ref="D9" authorId="0" shapeId="0">
      <text>
        <r>
          <rPr>
            <b/>
            <sz val="9"/>
            <color indexed="81"/>
            <rFont val="Tahoma"/>
            <family val="2"/>
          </rPr>
          <t>Andrea:</t>
        </r>
        <r>
          <rPr>
            <sz val="9"/>
            <color indexed="81"/>
            <rFont val="Tahoma"/>
            <family val="2"/>
          </rPr>
          <t xml:space="preserve">
Rating 10,16,25,40… 20,52,105 (for ANSI)</t>
        </r>
      </text>
    </comment>
    <comment ref="D10" authorId="0" shapeId="0">
      <text>
        <r>
          <rPr>
            <b/>
            <sz val="9"/>
            <color indexed="81"/>
            <rFont val="Tahoma"/>
            <family val="2"/>
          </rPr>
          <t>Andrea:</t>
        </r>
        <r>
          <rPr>
            <sz val="9"/>
            <color indexed="81"/>
            <rFont val="Tahoma"/>
            <family val="2"/>
          </rPr>
          <t xml:space="preserve">
Es. se campo molla 0,4-2 indicare 2</t>
        </r>
      </text>
    </comment>
    <comment ref="D12" authorId="0" shapeId="0">
      <text>
        <r>
          <rPr>
            <b/>
            <sz val="9"/>
            <color indexed="81"/>
            <rFont val="Tahoma"/>
            <family val="2"/>
          </rPr>
          <t>Andrea:</t>
        </r>
        <r>
          <rPr>
            <sz val="9"/>
            <color indexed="81"/>
            <rFont val="Tahoma"/>
            <family val="2"/>
          </rPr>
          <t xml:space="preserve">
S200 = 115mm = 103cm2
S275 = 175mm = 240cm2
S335 = 220mm = 380cm2
S430 = 260mm = 531cm2
S500 = 305mm = 731cm2</t>
        </r>
      </text>
    </comment>
    <comment ref="E13" authorId="1" shapeId="0">
      <text>
        <r>
          <rPr>
            <b/>
            <sz val="9"/>
            <color indexed="81"/>
            <rFont val="Tahoma"/>
            <family val="2"/>
          </rPr>
          <t>Manfredini, Andrea:</t>
        </r>
        <r>
          <rPr>
            <sz val="9"/>
            <color indexed="81"/>
            <rFont val="Tahoma"/>
            <family val="2"/>
          </rPr>
          <t xml:space="preserve">
Vedi carico molle max + 0,4 bar</t>
        </r>
      </text>
    </comment>
    <comment ref="D18" authorId="0" shapeId="0">
      <text>
        <r>
          <rPr>
            <b/>
            <sz val="9"/>
            <color indexed="81"/>
            <rFont val="Tahoma"/>
            <family val="2"/>
          </rPr>
          <t>Andrea:
Ke = Pressure Balancing Friction Factor</t>
        </r>
        <r>
          <rPr>
            <sz val="9"/>
            <color indexed="81"/>
            <rFont val="Tahoma"/>
            <family val="2"/>
          </rPr>
          <t xml:space="preserve">
Ke = 0,1 for Pressure balance with soft seal - liquid
Ke = 0,5 for Pressure balance with soft seal - gas, dry vapour
Ke = 1,1 for Pressure balance with piston rings - liquid, saturated steam
Ke = 1,5 for Pressure balance with piston rings - gas, dry vapour
Ke = 0,2 for Piston tube of the desuperheater (VariCool)</t>
        </r>
      </text>
    </comment>
    <comment ref="F20" authorId="1" shapeId="0">
      <text>
        <r>
          <rPr>
            <b/>
            <sz val="9"/>
            <color indexed="81"/>
            <rFont val="Tahoma"/>
            <family val="2"/>
          </rPr>
          <t>Manfredini, Andrea:</t>
        </r>
        <r>
          <rPr>
            <sz val="9"/>
            <color indexed="81"/>
            <rFont val="Tahoma"/>
            <family val="2"/>
          </rPr>
          <t xml:space="preserve">
Aggiunto +0,3 Bar come Valquo</t>
        </r>
      </text>
    </comment>
    <comment ref="F28" authorId="1" shapeId="0">
      <text>
        <r>
          <rPr>
            <b/>
            <sz val="9"/>
            <color indexed="81"/>
            <rFont val="Tahoma"/>
            <family val="2"/>
          </rPr>
          <t>Manfredini, Andrea:</t>
        </r>
        <r>
          <rPr>
            <sz val="9"/>
            <color indexed="81"/>
            <rFont val="Tahoma"/>
            <family val="2"/>
          </rPr>
          <t xml:space="preserve">
Aggiunto +0,3 Bar come Valquo</t>
        </r>
      </text>
    </comment>
  </commentList>
</comments>
</file>

<file path=xl/comments4.xml><?xml version="1.0" encoding="utf-8"?>
<comments xmlns="http://schemas.openxmlformats.org/spreadsheetml/2006/main">
  <authors>
    <author>Manfredini, Andrea</author>
  </authors>
  <commentList>
    <comment ref="G21" authorId="0" shapeId="0">
      <text>
        <r>
          <rPr>
            <b/>
            <sz val="9"/>
            <color indexed="81"/>
            <rFont val="Tahoma"/>
            <family val="2"/>
          </rPr>
          <t>Manfredini, Andrea:</t>
        </r>
        <r>
          <rPr>
            <sz val="9"/>
            <color indexed="81"/>
            <rFont val="Tahoma"/>
            <family val="2"/>
          </rPr>
          <t xml:space="preserve">
Probably when written "- - " the double "minus" is wrong...</t>
        </r>
      </text>
    </comment>
  </commentList>
</comments>
</file>

<file path=xl/comments5.xml><?xml version="1.0" encoding="utf-8"?>
<comments xmlns="http://schemas.openxmlformats.org/spreadsheetml/2006/main">
  <authors>
    <author>Manfredini, Andrea</author>
    <author>AManfredini</author>
  </authors>
  <commentList>
    <comment ref="AJ13" authorId="0" shapeId="0">
      <text>
        <r>
          <rPr>
            <b/>
            <sz val="9"/>
            <color indexed="81"/>
            <rFont val="Tahoma"/>
            <family val="2"/>
          </rPr>
          <t>Manfredini, Andrea:</t>
        </r>
        <r>
          <rPr>
            <sz val="9"/>
            <color indexed="81"/>
            <rFont val="Tahoma"/>
            <family val="2"/>
          </rPr>
          <t xml:space="preserve">
Vapor/Liquid portion ratio: number between 0 and 1</t>
        </r>
      </text>
    </comment>
    <comment ref="R18" authorId="1" shapeId="0">
      <text>
        <r>
          <rPr>
            <b/>
            <sz val="9"/>
            <color indexed="81"/>
            <rFont val="Tahoma"/>
            <family val="2"/>
          </rPr>
          <t>AManfredini:</t>
        </r>
        <r>
          <rPr>
            <sz val="9"/>
            <color indexed="81"/>
            <rFont val="Tahoma"/>
            <family val="2"/>
          </rPr>
          <t xml:space="preserve">
MANUAL DATA TO BECOME AUTOMATIC ACCORDING TO LIQUID FLUID DATA</t>
        </r>
      </text>
    </comment>
    <comment ref="D20" authorId="0" shapeId="0">
      <text>
        <r>
          <rPr>
            <b/>
            <sz val="9"/>
            <color indexed="81"/>
            <rFont val="Tahoma"/>
            <family val="2"/>
          </rPr>
          <t>Manfredini, Andrea:</t>
        </r>
        <r>
          <rPr>
            <sz val="9"/>
            <color indexed="81"/>
            <rFont val="Tahoma"/>
            <family val="2"/>
          </rPr>
          <t xml:space="preserve">
link per vapor pressure calculator
http://ddbonline.ddbst.de/AntoineCalculation/AntoineCalculationCGI.exe</t>
        </r>
      </text>
    </comment>
    <comment ref="AB26" authorId="1" shapeId="0">
      <text>
        <r>
          <rPr>
            <b/>
            <sz val="9"/>
            <color indexed="81"/>
            <rFont val="Tahoma"/>
            <family val="2"/>
          </rPr>
          <t>AManfredini:</t>
        </r>
        <r>
          <rPr>
            <sz val="9"/>
            <color indexed="81"/>
            <rFont val="Tahoma"/>
            <family val="2"/>
          </rPr>
          <t xml:space="preserve">
ACTUATOR CAN BE MANUALLY SELECTED BUT AFTER A PREVIOUS FILTER BY FORMULA</t>
        </r>
      </text>
    </comment>
    <comment ref="M49" authorId="0" shapeId="0">
      <text>
        <r>
          <rPr>
            <b/>
            <sz val="9"/>
            <color indexed="81"/>
            <rFont val="Tahoma"/>
            <family val="2"/>
          </rPr>
          <t>Manfredini, Andrea:</t>
        </r>
        <r>
          <rPr>
            <sz val="9"/>
            <color indexed="81"/>
            <rFont val="Tahoma"/>
            <family val="2"/>
          </rPr>
          <t xml:space="preserve">
Inserimento Manuale, consultare Valori Schmidt</t>
        </r>
      </text>
    </comment>
    <comment ref="AS75" authorId="0" shapeId="0">
      <text>
        <r>
          <rPr>
            <b/>
            <sz val="9"/>
            <color indexed="81"/>
            <rFont val="Tahoma"/>
            <family val="2"/>
          </rPr>
          <t>Manfredini, Andrea:</t>
        </r>
        <r>
          <rPr>
            <sz val="9"/>
            <color indexed="81"/>
            <rFont val="Tahoma"/>
            <family val="2"/>
          </rPr>
          <t xml:space="preserve">
Hydrochloric Acid</t>
        </r>
      </text>
    </comment>
  </commentList>
</comments>
</file>

<file path=xl/comments6.xml><?xml version="1.0" encoding="utf-8"?>
<comments xmlns="http://schemas.openxmlformats.org/spreadsheetml/2006/main">
  <authors>
    <author>Manfredini, Andrea</author>
  </authors>
  <commentList>
    <comment ref="H19" authorId="0" shapeId="0">
      <text>
        <r>
          <rPr>
            <b/>
            <sz val="9"/>
            <color indexed="81"/>
            <rFont val="Tahoma"/>
            <family val="2"/>
          </rPr>
          <t>Manfredini, Andrea:</t>
        </r>
        <r>
          <rPr>
            <sz val="9"/>
            <color indexed="81"/>
            <rFont val="Tahoma"/>
            <family val="2"/>
          </rPr>
          <t xml:space="preserve">
Hydrochloric Acid</t>
        </r>
      </text>
    </comment>
  </commentList>
</comments>
</file>

<file path=xl/sharedStrings.xml><?xml version="1.0" encoding="utf-8"?>
<sst xmlns="http://schemas.openxmlformats.org/spreadsheetml/2006/main" count="4362" uniqueCount="2540">
  <si>
    <r>
      <rPr>
        <u/>
        <sz val="10"/>
        <rFont val="Arial"/>
        <family val="2"/>
      </rPr>
      <t>Gases:</t>
    </r>
    <r>
      <rPr>
        <sz val="10"/>
        <rFont val="Arial"/>
        <family val="2"/>
      </rPr>
      <t xml:space="preserve">    Kv = (Qn/(257*p1))*</t>
    </r>
    <r>
      <rPr>
        <sz val="10"/>
        <rFont val="Calibri"/>
        <family val="2"/>
      </rPr>
      <t>√</t>
    </r>
    <r>
      <rPr>
        <sz val="10"/>
        <rFont val="Arial"/>
        <family val="2"/>
      </rPr>
      <t>((</t>
    </r>
    <r>
      <rPr>
        <sz val="10"/>
        <rFont val="Calibri"/>
        <family val="2"/>
      </rPr>
      <t>ρ</t>
    </r>
    <r>
      <rPr>
        <sz val="10"/>
        <rFont val="Arial"/>
        <family val="2"/>
      </rPr>
      <t>n*T1)     Qn = 257*Kv*(p1/</t>
    </r>
    <r>
      <rPr>
        <sz val="10"/>
        <rFont val="Calibri"/>
        <family val="2"/>
      </rPr>
      <t>√</t>
    </r>
    <r>
      <rPr>
        <sz val="10"/>
        <rFont val="Arial"/>
        <family val="2"/>
      </rPr>
      <t>(ρn*T1))</t>
    </r>
  </si>
  <si>
    <r>
      <rPr>
        <u/>
        <sz val="10"/>
        <rFont val="Arial"/>
        <family val="2"/>
      </rPr>
      <t>Liquids:</t>
    </r>
    <r>
      <rPr>
        <sz val="10"/>
        <rFont val="Arial"/>
        <family val="2"/>
      </rPr>
      <t xml:space="preserve">   Kv = (Q/31,6)*</t>
    </r>
    <r>
      <rPr>
        <sz val="10"/>
        <rFont val="Calibri"/>
        <family val="2"/>
      </rPr>
      <t>√</t>
    </r>
    <r>
      <rPr>
        <sz val="10"/>
        <rFont val="Arial"/>
        <family val="2"/>
      </rPr>
      <t>(</t>
    </r>
    <r>
      <rPr>
        <sz val="10"/>
        <rFont val="Calibri"/>
        <family val="2"/>
      </rPr>
      <t>ρ</t>
    </r>
    <r>
      <rPr>
        <sz val="10"/>
        <rFont val="Arial"/>
        <family val="2"/>
      </rPr>
      <t>1/</t>
    </r>
    <r>
      <rPr>
        <sz val="10"/>
        <rFont val="Calibri"/>
        <family val="2"/>
      </rPr>
      <t>Δ</t>
    </r>
    <r>
      <rPr>
        <sz val="10"/>
        <rFont val="Arial"/>
        <family val="2"/>
      </rPr>
      <t>p)    Q = 31,6*Kv*</t>
    </r>
    <r>
      <rPr>
        <sz val="10"/>
        <rFont val="Calibri"/>
        <family val="2"/>
      </rPr>
      <t>√</t>
    </r>
    <r>
      <rPr>
        <sz val="10"/>
        <rFont val="Arial"/>
        <family val="2"/>
      </rPr>
      <t>(</t>
    </r>
    <r>
      <rPr>
        <sz val="10"/>
        <rFont val="Calibri"/>
        <family val="2"/>
      </rPr>
      <t>Δ</t>
    </r>
    <r>
      <rPr>
        <sz val="10"/>
        <rFont val="Arial"/>
        <family val="2"/>
      </rPr>
      <t>p/</t>
    </r>
    <r>
      <rPr>
        <sz val="10"/>
        <rFont val="Calibri"/>
        <family val="2"/>
      </rPr>
      <t>ρ</t>
    </r>
    <r>
      <rPr>
        <sz val="10"/>
        <rFont val="Arial"/>
        <family val="2"/>
      </rPr>
      <t>1)</t>
    </r>
  </si>
  <si>
    <t>Approximate Flow Calculation if  p2 &lt; (p1)/2</t>
  </si>
  <si>
    <r>
      <rPr>
        <u/>
        <sz val="10"/>
        <rFont val="Arial"/>
        <family val="2"/>
      </rPr>
      <t>Steam:</t>
    </r>
    <r>
      <rPr>
        <sz val="10"/>
        <rFont val="Arial"/>
        <family val="2"/>
      </rPr>
      <t xml:space="preserve">    Kv = (W/31,6)*√(v2"/Δp)     W = 31,6*Kv*√(Δp/v2")</t>
    </r>
  </si>
  <si>
    <r>
      <rPr>
        <u/>
        <sz val="10"/>
        <rFont val="Arial"/>
        <family val="2"/>
      </rPr>
      <t>Gases:</t>
    </r>
    <r>
      <rPr>
        <sz val="10"/>
        <rFont val="Arial"/>
        <family val="2"/>
      </rPr>
      <t xml:space="preserve">    Kv = (Qn/514)*</t>
    </r>
    <r>
      <rPr>
        <sz val="10"/>
        <rFont val="Calibri"/>
        <family val="2"/>
      </rPr>
      <t>√</t>
    </r>
    <r>
      <rPr>
        <sz val="10"/>
        <rFont val="Arial"/>
        <family val="2"/>
      </rPr>
      <t>((</t>
    </r>
    <r>
      <rPr>
        <sz val="10"/>
        <rFont val="Calibri"/>
        <family val="2"/>
      </rPr>
      <t>ρ</t>
    </r>
    <r>
      <rPr>
        <sz val="10"/>
        <rFont val="Arial"/>
        <family val="2"/>
      </rPr>
      <t>n*T1)/(</t>
    </r>
    <r>
      <rPr>
        <sz val="10"/>
        <rFont val="Calibri"/>
        <family val="2"/>
      </rPr>
      <t>Δ</t>
    </r>
    <r>
      <rPr>
        <sz val="10"/>
        <rFont val="Arial"/>
        <family val="2"/>
      </rPr>
      <t>p*p2))     Qn = 514*Kv*</t>
    </r>
    <r>
      <rPr>
        <sz val="10"/>
        <rFont val="Calibri"/>
        <family val="2"/>
      </rPr>
      <t>√</t>
    </r>
    <r>
      <rPr>
        <sz val="10"/>
        <rFont val="Arial"/>
        <family val="2"/>
      </rPr>
      <t>((Δp*p2)/(ρn*T1))</t>
    </r>
  </si>
  <si>
    <t>Approximate Flow Calculation if  p2 &gt; (p1)/2</t>
  </si>
  <si>
    <r>
      <t xml:space="preserve">Km </t>
    </r>
    <r>
      <rPr>
        <sz val="10"/>
        <rFont val="Calibri"/>
        <family val="2"/>
      </rPr>
      <t>≈</t>
    </r>
    <r>
      <rPr>
        <sz val="10"/>
        <rFont val="Arial"/>
        <family val="2"/>
      </rPr>
      <t xml:space="preserve"> FL2         </t>
    </r>
    <r>
      <rPr>
        <sz val="10"/>
        <rFont val="Calibri"/>
        <family val="2"/>
      </rPr>
      <t>σ</t>
    </r>
    <r>
      <rPr>
        <sz val="10"/>
        <rFont val="Arial"/>
        <family val="2"/>
      </rPr>
      <t>incipient = 1/xFz            σchocked ≈ 1/FL2</t>
    </r>
  </si>
  <si>
    <t>Saturated Steam   Kv = W/(22,8*p1*Y*√x)                Superheated Steam   ∆t = t1 - ts      Kv = (W*(1+0,00126*∆t))/(22,8*p1*Y*√x)</t>
  </si>
  <si>
    <r>
      <t xml:space="preserve">y = 1-(x/(3*Fk*xt))             T1 = 273+t1             </t>
    </r>
    <r>
      <rPr>
        <b/>
        <sz val="10"/>
        <rFont val="Arial"/>
        <family val="2"/>
      </rPr>
      <t xml:space="preserve">Gases:  </t>
    </r>
    <r>
      <rPr>
        <sz val="10"/>
        <rFont val="Arial"/>
        <family val="2"/>
      </rPr>
      <t>Kv = (Qn/(519*p1*y))*</t>
    </r>
    <r>
      <rPr>
        <sz val="10"/>
        <rFont val="Arial"/>
        <family val="2"/>
      </rPr>
      <t xml:space="preserve">√((ρn*T1*Z1)/x)          </t>
    </r>
    <r>
      <rPr>
        <b/>
        <sz val="10"/>
        <rFont val="Arial"/>
        <family val="2"/>
      </rPr>
      <t xml:space="preserve">Vapors:  </t>
    </r>
    <r>
      <rPr>
        <sz val="10"/>
        <rFont val="Arial"/>
        <family val="2"/>
      </rPr>
      <t>Kv = (W/(31,6*y))*</t>
    </r>
    <r>
      <rPr>
        <sz val="10"/>
        <rFont val="Arial"/>
        <family val="2"/>
      </rPr>
      <t>√(v1/(p1*x))</t>
    </r>
  </si>
  <si>
    <r>
      <t xml:space="preserve">Gases and Vapors:  </t>
    </r>
    <r>
      <rPr>
        <sz val="10"/>
        <rFont val="Arial"/>
        <family val="2"/>
      </rPr>
      <t xml:space="preserve">∆P = p1-p2           x= </t>
    </r>
    <r>
      <rPr>
        <sz val="10"/>
        <rFont val="Arial"/>
        <family val="2"/>
      </rPr>
      <t>∆</t>
    </r>
    <r>
      <rPr>
        <sz val="10"/>
        <rFont val="Arial"/>
        <family val="2"/>
      </rPr>
      <t>P/p1  If x</t>
    </r>
    <r>
      <rPr>
        <sz val="10"/>
        <rFont val="Arial"/>
        <family val="2"/>
      </rPr>
      <t>≥</t>
    </r>
    <r>
      <rPr>
        <sz val="10"/>
        <rFont val="Arial"/>
        <family val="2"/>
      </rPr>
      <t xml:space="preserve"> Fk*xt, the flow is critical and x is replaced by the product Fk*xt           Fk = k/1,4</t>
    </r>
  </si>
  <si>
    <r>
      <t xml:space="preserve">If With flow limit:  Kv = (Qmax/(31,6*Fl*Fr))√(ρ1/(p1-Ff*pv))               </t>
    </r>
    <r>
      <rPr>
        <b/>
        <sz val="10"/>
        <rFont val="Arial"/>
        <family val="2"/>
      </rPr>
      <t>Viscous liquid:</t>
    </r>
    <r>
      <rPr>
        <sz val="10"/>
        <rFont val="Arial"/>
        <family val="2"/>
      </rPr>
      <t xml:space="preserve">  Rev = (7,07*10^4*Fd*Q)/(λ*(Fl*Kv)^½</t>
    </r>
  </si>
  <si>
    <t>Ff = 0,96-0,28*√(pv/pc)          Δpmax = Fl2*(p1-Ff*pv)  if ∆P&gt;∆Pmax, flow limitation occurs          If Without flow limit:  Kv = (Q/(31,6*Fr))√(ρ1/∆P)</t>
  </si>
  <si>
    <r>
      <t xml:space="preserve">Newtonian liquids:  </t>
    </r>
    <r>
      <rPr>
        <sz val="10"/>
        <rFont val="Arial"/>
        <family val="2"/>
      </rPr>
      <t>∆P = p1-p2           ∆P &gt; zy*(p1-pv) partial cavitation            ΔP &gt; Fl2*(p1-pv ) maximum cavitation</t>
    </r>
  </si>
  <si>
    <t>Kv calculation mostly according to DIN EN 60534-2 where dimensioning equation for incompress &amp; compressible fluids are defined.</t>
  </si>
  <si>
    <t>ΣKv = 1/√((1/Kv1²)+(1/Kv2²)+(1/Kvn²))</t>
  </si>
  <si>
    <t>Sums Kv-value</t>
  </si>
  <si>
    <r>
      <t xml:space="preserve">P = (W*Δp)/(36*ρ1)     Δp&lt;Δpc                                 P = ((W*p1)/(36*ρ1))*ln(1/(1-x))     x = </t>
    </r>
    <r>
      <rPr>
        <sz val="10"/>
        <rFont val="Calibri"/>
        <family val="2"/>
      </rPr>
      <t>Δ</t>
    </r>
    <r>
      <rPr>
        <sz val="10"/>
        <rFont val="Arial"/>
        <family val="2"/>
      </rPr>
      <t>P/p1</t>
    </r>
  </si>
  <si>
    <t>Liquids                                                                   Gases and vapors</t>
  </si>
  <si>
    <t>Power loss in valves</t>
  </si>
  <si>
    <t>To avoid to high noise level and vibrations with gases and vapor the recommended Mach number is
≤ 0.3 in the pipe and ≤ 0.8 at the valve outlet.</t>
  </si>
  <si>
    <t>Ma = vr/c2         c2 = 316,2*√(κ*(p2/ρ2))</t>
  </si>
  <si>
    <t>100 b</t>
  </si>
  <si>
    <t>Mach number on the outlet side of the valve</t>
  </si>
  <si>
    <r>
      <t>Wr = 1,296*Qn*(T1/(di2*p2))        DN = 1,138*</t>
    </r>
    <r>
      <rPr>
        <sz val="10"/>
        <rFont val="Calibri"/>
        <family val="2"/>
      </rPr>
      <t>√</t>
    </r>
    <r>
      <rPr>
        <sz val="10"/>
        <rFont val="Arial"/>
        <family val="2"/>
      </rPr>
      <t>((Qn*T1)/(Wr*p2))       DN = 18,8*</t>
    </r>
    <r>
      <rPr>
        <sz val="10"/>
        <rFont val="Calibri"/>
        <family val="2"/>
      </rPr>
      <t>√</t>
    </r>
    <r>
      <rPr>
        <sz val="10"/>
        <rFont val="Arial"/>
        <family val="2"/>
      </rPr>
      <t>((W*v")/Wr)</t>
    </r>
  </si>
  <si>
    <t>Pipe velocity and nominal size of the pipe for gases and vapors at the outlet side of the valve</t>
  </si>
  <si>
    <r>
      <t>Wr = 353,7*(Q/di2)               DN = 18,8*</t>
    </r>
    <r>
      <rPr>
        <sz val="10"/>
        <rFont val="Calibri"/>
        <family val="2"/>
      </rPr>
      <t>√</t>
    </r>
    <r>
      <rPr>
        <sz val="10"/>
        <rFont val="Arial"/>
        <family val="2"/>
      </rPr>
      <t xml:space="preserve">(Q/Wr) </t>
    </r>
  </si>
  <si>
    <t>Pipe velocity and nominal size of the pipe for a liquid at the inlet side of the valve</t>
  </si>
  <si>
    <t>ρ1 =  Density (at p1 and t1)   [kg/m3]</t>
  </si>
  <si>
    <t>ρN =  Standard density   [kg/Nm3]</t>
  </si>
  <si>
    <t>λ =  Number for the friction in pipes</t>
  </si>
  <si>
    <t>κ =  Isentropic exponent (cp/cv)</t>
  </si>
  <si>
    <t>η =  Dynamic viscosity   [Pa s]</t>
  </si>
  <si>
    <t>Ϛ =  Drag coefficient</t>
  </si>
  <si>
    <t>ϒ =  Kinematical viscosity   [m2/s]</t>
  </si>
  <si>
    <t>Zn =  Compressibility factor at standard conditions (p = 1,013 bar and T = 273 K)</t>
  </si>
  <si>
    <t>Z1 =  Compressibility factor at p1 and t1 (medium values: e.g. VDI 2040 Blatt 4)</t>
  </si>
  <si>
    <t>Y =  Expansion factor</t>
  </si>
  <si>
    <t>y =  Load of the valve (Kv/Kvs)</t>
  </si>
  <si>
    <t>Xv =  Volume ratio</t>
  </si>
  <si>
    <t>xt =  Differential pressure ratio at flow limitations</t>
  </si>
  <si>
    <t>xFz =  Characteristically pressure ratio when cavitation starts</t>
  </si>
  <si>
    <t>Xd =  Balance ratio of the liquid and vapor mixtures</t>
  </si>
  <si>
    <t>x =  Pressure ratio</t>
  </si>
  <si>
    <t>w =  Flow speed of the medium   [m/s]</t>
  </si>
  <si>
    <t>W =  Mass flow rate   [kg/h]</t>
  </si>
  <si>
    <t>v" =  Specific volume of the vapor   [m3/kg]</t>
  </si>
  <si>
    <t>v1 =  Specific volume (at p1 and t1)   [m3/kg]</t>
  </si>
  <si>
    <t>ts =  Saturation temperature (at p1)   [°C]</t>
  </si>
  <si>
    <t>Rev =  Valve-Reynolds-Number</t>
  </si>
  <si>
    <t>Qn =  Volume flow rate at standard conditions (p = 1.013 bar and T = 273 K)   [Nm3/h]</t>
  </si>
  <si>
    <t>Q =  Volume flow rate   [m3/h]</t>
  </si>
  <si>
    <t>q =  Factor for the release pressure</t>
  </si>
  <si>
    <t>ΔpVC =  Pressure drop in the restriction area   [bar]</t>
  </si>
  <si>
    <t>ΔpE =  Inlet loss   [bar]</t>
  </si>
  <si>
    <t>ΔpD =  Pressure recovery   [bar]</t>
  </si>
  <si>
    <t>ΔpA =  Outlet loss   [bar]</t>
  </si>
  <si>
    <t>Δp =  Differential pressure (p1 - p2)   [bar]</t>
  </si>
  <si>
    <t>pv =  Absolute vapor pressure of liquids   [bar]</t>
  </si>
  <si>
    <t>pc =  Absolute thermodynamic pressure   [bar]</t>
  </si>
  <si>
    <t>P =  Power   [kW]</t>
  </si>
  <si>
    <t>n =  Number of stages</t>
  </si>
  <si>
    <t>Ma =  Mach number</t>
  </si>
  <si>
    <t>M =  Molar Mass   [kg/kmol]</t>
  </si>
  <si>
    <t>Ir =  Length of the pipe   [m]</t>
  </si>
  <si>
    <t>Kvq =  Flow rate value at multi-staged balancing of gas and vapors   [m3/h]</t>
  </si>
  <si>
    <t>Fk =  Scaling factor for κ</t>
  </si>
  <si>
    <t>Fr =  Reynolds-Number-Factor (FR = 1,0 y &lt; 20 c St)</t>
  </si>
  <si>
    <t>Fp =  Factor for the geometry of a pipe</t>
  </si>
  <si>
    <t>Fl =  Factor for the pressure recovery of liquids</t>
  </si>
  <si>
    <t>Ff =  Factor for the critical pressure ratio of liquids</t>
  </si>
  <si>
    <t>Fd =  Valve style modifier</t>
  </si>
  <si>
    <t>DN =  Nominal size</t>
  </si>
  <si>
    <t>di =  Inside diameter of the pipe   [mm]</t>
  </si>
  <si>
    <t>c2 =  Sonic speed (at p2)   [m/s]</t>
  </si>
  <si>
    <t>Max Force [N]</t>
  </si>
  <si>
    <t>Max Supply [Bar]</t>
  </si>
  <si>
    <t>CONTROL VALVE SIZING</t>
  </si>
  <si>
    <t>Fail Close Force [N]</t>
  </si>
  <si>
    <r>
      <rPr>
        <b/>
        <sz val="11"/>
        <rFont val="Arial"/>
        <family val="2"/>
      </rPr>
      <t>Fail Open Force [N]</t>
    </r>
    <r>
      <rPr>
        <b/>
        <sz val="10"/>
        <rFont val="Arial"/>
        <family val="2"/>
      </rPr>
      <t xml:space="preserve">   -   Actual Air Supply /  Produced Force</t>
    </r>
  </si>
  <si>
    <t>Force in both Pos. (3-Way Only)</t>
  </si>
  <si>
    <t>Spring range
(bar)</t>
  </si>
  <si>
    <t>Stroke
(mm)</t>
  </si>
  <si>
    <t>Actuator</t>
  </si>
  <si>
    <t>LEGENDA ATTUATORI</t>
  </si>
  <si>
    <t>∑F = Fs+Fr ≤ Fantr</t>
  </si>
  <si>
    <t>Balanced Trim and Flow to close</t>
  </si>
  <si>
    <t>∑F = Fs+Fd2+Fr ≤ Fantr</t>
  </si>
  <si>
    <t>ATTENTION :   For Fail Open option the constant force is fixed for each Actuator size and each 0,1 Bar of Air supply.</t>
  </si>
  <si>
    <t>Balanced Trim and Flow to open</t>
  </si>
  <si>
    <t>ATTENTION :   The max Air supply has picked out for a long operating life!  Max Design Pressure for the actuators 6 barg.</t>
  </si>
  <si>
    <t>(remaining forces as per other trim)</t>
  </si>
  <si>
    <t>Fd2 = 0,079*(di2-ds2)*∆Pa   where  Fs &gt; Fd2</t>
  </si>
  <si>
    <t>(BALANCED TRIM)</t>
  </si>
  <si>
    <t>No pressure balancing and Flow to close</t>
  </si>
  <si>
    <t>3002-80mm-(2,0-3,5)-60000N</t>
  </si>
  <si>
    <t>∑F = Fs+Fd1+Fr ≤ Fantr</t>
  </si>
  <si>
    <t>3002-80mm-(1,3-2,1)-39000N</t>
  </si>
  <si>
    <t>No pressure balancing and Flow to open</t>
  </si>
  <si>
    <t>3002-80mm-(1,0-2,4)-30000N</t>
  </si>
  <si>
    <t>3002-80mm-(0,75-1,4)-22500N</t>
  </si>
  <si>
    <t>Fd1 = 0,079*di2*∆Pa</t>
  </si>
  <si>
    <t>3002-80mm-(0,4-2,0)-12000N</t>
  </si>
  <si>
    <r>
      <t>On Multistage</t>
    </r>
    <r>
      <rPr>
        <sz val="10"/>
        <rFont val="Arial"/>
        <family val="2"/>
      </rPr>
      <t xml:space="preserve"> trim (RLS) the static force is calculated with the internal stage diam.</t>
    </r>
  </si>
  <si>
    <t>3002-80mm-(0,2-1,0)-6000N</t>
  </si>
  <si>
    <t>3002-60mm-(2,0-3,5)-60000N</t>
  </si>
  <si>
    <t>where Fre = Ke*ds*∆P</t>
  </si>
  <si>
    <t>3002-60mm-(1,3-2,1)-39000N</t>
  </si>
  <si>
    <t>3002-60mm-(1,0-2,4)-30000N</t>
  </si>
  <si>
    <r>
      <t xml:space="preserve">Pressure Balanced Trim (100%) - </t>
    </r>
    <r>
      <rPr>
        <sz val="10"/>
        <rFont val="Arial"/>
        <family val="2"/>
      </rPr>
      <t>Spring Open formula</t>
    </r>
  </si>
  <si>
    <t>3002-60mm-(0,75-1,4)-22500N</t>
  </si>
  <si>
    <t>3002-60mm-(0,4-2,0)-12000N</t>
  </si>
  <si>
    <t>3002-60mm-(0,2-1,0)-6000N</t>
  </si>
  <si>
    <r>
      <t xml:space="preserve">Pressure Balanced Trim (100%) - </t>
    </r>
    <r>
      <rPr>
        <sz val="10"/>
        <rFont val="Arial"/>
        <family val="2"/>
      </rPr>
      <t>Spring Closes formula</t>
    </r>
  </si>
  <si>
    <t>3002-40mm-(2,0-3,5)-60000N</t>
  </si>
  <si>
    <t>3002-40mm-(1,3-2,1)-39000N</t>
  </si>
  <si>
    <t>∑F = Fs+Fd+Fr+Fb ≤ Fantr</t>
  </si>
  <si>
    <t>3002-40mm-(1,0-2,4)-30000N</t>
  </si>
  <si>
    <r>
      <t>3 Way valves</t>
    </r>
    <r>
      <rPr>
        <sz val="10"/>
        <rFont val="Arial"/>
        <family val="2"/>
      </rPr>
      <t xml:space="preserve"> mixing/diverting use the same formula Above mentioned for each seat (Flow to Open, spring or air closes)</t>
    </r>
  </si>
  <si>
    <t>3002-40mm-(0,75-1,4)-22500N</t>
  </si>
  <si>
    <t>3002-40mm-(0,4-2,0)-12000N</t>
  </si>
  <si>
    <t>3002-40mm-(0,2-1,0)-6000N</t>
  </si>
  <si>
    <t>Required Stiffness of the stroke - Flow to Close (spring range already checked) Formula</t>
  </si>
  <si>
    <t>Positioning force calculation - Flow to Open, spring or air closes Formula</t>
  </si>
  <si>
    <t>1502-80mm-(2,6-4,2)-39000N</t>
  </si>
  <si>
    <t>1502-80mm-(2,0-3,5)-30000N</t>
  </si>
  <si>
    <t>Positioning force calculation - (With/Without POS)</t>
  </si>
  <si>
    <t>1502-80mm-(1,5-2,7)-22500N</t>
  </si>
  <si>
    <t>1502-80mm-(0,75-1,4)-11250N</t>
  </si>
  <si>
    <t>1502-80mm-(0,4-2,0)-6000N</t>
  </si>
  <si>
    <t>Positioning force required at 100% stroke Formula - Spring Open</t>
  </si>
  <si>
    <t>1502-80mm-(0,2-1,0)-3000N</t>
  </si>
  <si>
    <t>1502-60mm-(2,6-4,2)-39000N</t>
  </si>
  <si>
    <t>1502-60mm-(2,0-3,5)-30000N</t>
  </si>
  <si>
    <t>Positioning force required at 100% stroke Formula - Spring Closes</t>
  </si>
  <si>
    <t>1502-60mm-(1,5-2,7)-22500N</t>
  </si>
  <si>
    <t>1502-60mm-(0,75-1,4)-11250N</t>
  </si>
  <si>
    <t>(higher sealing forces permitted with lower temperatures)</t>
  </si>
  <si>
    <t>1502-60mm-(0,4-2,0)-6000N</t>
  </si>
  <si>
    <t>1502-60mm-(0,2-1,0)-3000N</t>
  </si>
  <si>
    <t>Sealing force of RPTFE without metal stop @ 180°C Formula</t>
  </si>
  <si>
    <t>1502-40mm-(2,6-4,2)-39000N</t>
  </si>
  <si>
    <t>1502-40mm-(2,0-3,5)-30000N</t>
  </si>
  <si>
    <t>Fs ≈ 16*ds</t>
  </si>
  <si>
    <t>1502-40mm-(1,5-2,7)-22500N</t>
  </si>
  <si>
    <t>Sealing force for Leakage Class IV acc.DIN/IEC 534 part 4 Formula</t>
  </si>
  <si>
    <t>1502-40mm-(0,75-1,4)-11250N</t>
  </si>
  <si>
    <t>1502-40mm-(0,4-2,0)-6000N</t>
  </si>
  <si>
    <t>Fr = 0,15*My*dspi2*(100+PN)</t>
  </si>
  <si>
    <t>1502-40mm-(0,2-1,0)-3000N</t>
  </si>
  <si>
    <t>Friction force of PTFE V-ring / nut (internal spring) Formula</t>
  </si>
  <si>
    <t>1502-20mm-(1,5-2,1)-22500N</t>
  </si>
  <si>
    <t>1502-20mm-(0,8-1,6)-12000N</t>
  </si>
  <si>
    <t>Fr = 0,15*My*dspi*hp*(150+PN)</t>
  </si>
  <si>
    <t>700-60mm-(2,0-4,8)-14000N</t>
  </si>
  <si>
    <t>Friction force of stuffing box Formula</t>
  </si>
  <si>
    <t>700-60mm-(1,5-3,8)-10500N</t>
  </si>
  <si>
    <t>700-60mm-(1,0-2,4)-7000N</t>
  </si>
  <si>
    <t>Fd = 0,079*(ds+Ks)2 * ∆Pa</t>
  </si>
  <si>
    <t>700-60mm-(0,5-1,9)-3500N</t>
  </si>
  <si>
    <t>Static force Formula</t>
  </si>
  <si>
    <t>700-60mm-(0,2-1,0)-1400N</t>
  </si>
  <si>
    <t>700-40mm-(2,0-4,8)-14000N</t>
  </si>
  <si>
    <t>700-40mm-(1,5-3,8)-10500N</t>
  </si>
  <si>
    <t>∑F = required positioning force [N]</t>
  </si>
  <si>
    <t>700-40mm-(1,5-2,7)-10500N</t>
  </si>
  <si>
    <t>ῃ1 = maximum efficency</t>
  </si>
  <si>
    <t>700-40mm-(1,0-2,4)-7000N</t>
  </si>
  <si>
    <t>ῃ = nominal efficency</t>
  </si>
  <si>
    <t>700-40mm-(0,5-1,9)-3500N</t>
  </si>
  <si>
    <t>∆Pa = differential pressure for the design (shutoff) of an actuator [bar]</t>
  </si>
  <si>
    <t>700-40mm-(0,2-1,0)-1400N</t>
  </si>
  <si>
    <t>∆P = differential pressure p1-p2 [bar]</t>
  </si>
  <si>
    <t>700-20mm-(3,0-4,2)-21000N</t>
  </si>
  <si>
    <t>Zu = air supply overpressure [bar]</t>
  </si>
  <si>
    <t>700-20mm-(2,3-3,4)-16100N</t>
  </si>
  <si>
    <t>tAUS = exhaust time [s]</t>
  </si>
  <si>
    <t>700-20mm-(1,8-2,7)-12600N</t>
  </si>
  <si>
    <t>tEIN = venting time [s]</t>
  </si>
  <si>
    <t>502-40mm-(2,0-4,8)-10000N</t>
  </si>
  <si>
    <t>Qn = required air supply [Nm3]</t>
  </si>
  <si>
    <t>502-40mm-(1,5-3,8)-7500N</t>
  </si>
  <si>
    <t>502-40mm-(1,5-2,7)-7500N</t>
  </si>
  <si>
    <t>PN = nominal pressure</t>
  </si>
  <si>
    <t>502-40mm-(1,0-2,4)-5000N</t>
  </si>
  <si>
    <t>502-40mm-(0,5-1,9)-2500N</t>
  </si>
  <si>
    <t>p2 = absolute downstream pressure [bar]</t>
  </si>
  <si>
    <t>502-40mm-(0,2-1,0)-1000N</t>
  </si>
  <si>
    <t>p1 = absolute upstream pressure [bar]</t>
  </si>
  <si>
    <t>502-20mm-(2,0-4,8)-10000N</t>
  </si>
  <si>
    <t>P = pitch [mm]</t>
  </si>
  <si>
    <t>502-20mm-(1,5-3,8)-7500N</t>
  </si>
  <si>
    <t>n = rotary actuator speed [U/min]</t>
  </si>
  <si>
    <t>502-20mm-(1,5-2,7)-7500N</t>
  </si>
  <si>
    <t>My = Factor for the friction of a stuffing box</t>
  </si>
  <si>
    <t>502-20mm-(1,0-2,4)-5000N</t>
  </si>
  <si>
    <t>M = required torque [Nm]</t>
  </si>
  <si>
    <t>502-20mm-(0,5-1,9)-2500N</t>
  </si>
  <si>
    <t>KVs = flow coefficient [m3/h]</t>
  </si>
  <si>
    <t>502-20mm-(0,2-1,0)-1000N</t>
  </si>
  <si>
    <t>Ks = factor for the actuator</t>
  </si>
  <si>
    <t>252-20mm-(2,0-4,8)-5000N</t>
  </si>
  <si>
    <t>Krg = factor for the performance</t>
  </si>
  <si>
    <t>252-20mm-(1,5-3,8)-3750N</t>
  </si>
  <si>
    <t>Ke = factor for the friction force of pressure balancing</t>
  </si>
  <si>
    <t>252-20mm-(1,5-2,7)-3750N</t>
  </si>
  <si>
    <t xml:space="preserve">Ka = factor for the design of stem guiding </t>
  </si>
  <si>
    <t>252-20mm-(1,0-2,4)-2500N</t>
  </si>
  <si>
    <t>hp = stuffing box packing height [mm]</t>
  </si>
  <si>
    <t>252-20mm-(0,5-1,9)-1250N</t>
  </si>
  <si>
    <t>H100 = stroke at opened valve [mm]</t>
  </si>
  <si>
    <t>252-20mm-(0,2-1,0)-500N</t>
  </si>
  <si>
    <t>H = stroke [mm]</t>
  </si>
  <si>
    <t>252-10mm-(2,7-4,1)-6750N</t>
  </si>
  <si>
    <t>Constant Force [N]</t>
  </si>
  <si>
    <t>Fs = sealing force [N]</t>
  </si>
  <si>
    <t>252-10mm-(1,4-2,4)-3500N</t>
  </si>
  <si>
    <t>Fre = friction force of pressure balancing [N]</t>
  </si>
  <si>
    <t>252-10mm-(0,8-1,6)-2000N</t>
  </si>
  <si>
    <t>PN</t>
  </si>
  <si>
    <t>Fr = friction force within the stuffing box [N]</t>
  </si>
  <si>
    <t>127-20mm-(2,0-4,8)-2500N</t>
  </si>
  <si>
    <t>Factor for the stuffing box friction - pure graphite</t>
  </si>
  <si>
    <t>My = 0,1</t>
  </si>
  <si>
    <t>Fmax = maximum permitted load [N]</t>
  </si>
  <si>
    <t>127-20mm-(1,5-3,8)-1875N</t>
  </si>
  <si>
    <t>Factor for the stuffing box friction - PTFE square, V-Ring, TA-Luft</t>
  </si>
  <si>
    <t>My = 0,05</t>
  </si>
  <si>
    <t>Fg = weight force [N]</t>
  </si>
  <si>
    <t>127-20mm-(1,5-2,7)-1875N</t>
  </si>
  <si>
    <t>Electrical rotary actuator</t>
  </si>
  <si>
    <t>Ks = 2</t>
  </si>
  <si>
    <t>Fd = Static force on the seat [N]</t>
  </si>
  <si>
    <t>127-20mm-(1,0-2,4)-1250N</t>
  </si>
  <si>
    <t>Pneumatic actuator or electrical linear actuator</t>
  </si>
  <si>
    <t>Ks = 0</t>
  </si>
  <si>
    <t>Fb = Stiffness of the bellow seal [N]</t>
  </si>
  <si>
    <t>127-20mm-(0,5-1,9)-625N</t>
  </si>
  <si>
    <t>Factor for the performance with positioner</t>
  </si>
  <si>
    <t>Krg = 20</t>
  </si>
  <si>
    <t>Fantr = Actuator force [mm]</t>
  </si>
  <si>
    <t>127-20mm-(0,2-1,0)-250N</t>
  </si>
  <si>
    <t>Krg = 10</t>
  </si>
  <si>
    <t>dspi = stem diameter [mm]</t>
  </si>
  <si>
    <t>127-10mm-(2,7-4,1)-3375N</t>
  </si>
  <si>
    <t>Piston tube of the desuperheater (VariCool)</t>
  </si>
  <si>
    <t>Ke = 0,2</t>
  </si>
  <si>
    <t>ds2 = lower seat diameter [mm]</t>
  </si>
  <si>
    <t>127-10mm-(1,4-2,4)-1750N</t>
  </si>
  <si>
    <t>Pressure balance with piston rings - gas, dry vapour</t>
  </si>
  <si>
    <t>Ke = 1,5</t>
  </si>
  <si>
    <t>ds1 = upper seat diameter [mm]</t>
  </si>
  <si>
    <t>127-10mm-(0,8-1,6)-1000N</t>
  </si>
  <si>
    <t>Pressure balance with piston rings - liquid, saturated steam</t>
  </si>
  <si>
    <t>Ke = 1,1</t>
  </si>
  <si>
    <t>ds = seat diameter [mm]</t>
  </si>
  <si>
    <t>Actuator Type  N.O.</t>
  </si>
  <si>
    <t>ISNUMBER?</t>
  </si>
  <si>
    <t>Selection by Forces, Stroke, Min Air Supply</t>
  </si>
  <si>
    <t>Selection by Forces and stroke</t>
  </si>
  <si>
    <t>Selection by Forces</t>
  </si>
  <si>
    <t>Actuator Type  N.C.</t>
  </si>
  <si>
    <t>Pressure balance with soft seal - gas, dry vapour</t>
  </si>
  <si>
    <t>Ke = 0,5</t>
  </si>
  <si>
    <t>di = Inside diameter of the final RLS-stage [mm]</t>
  </si>
  <si>
    <t>MAX Gas Density  ρ1 (at p1/t1)</t>
  </si>
  <si>
    <t>MAX Gas Density  ρ2 (at p2/t2)</t>
  </si>
  <si>
    <t>NOR Gas Density  ρ1 (at p1/t1)</t>
  </si>
  <si>
    <t>NOR Gas Density  ρ2 (at p2/t2)</t>
  </si>
  <si>
    <t>MIN Gas Density  ρ1 (at p1/t1)</t>
  </si>
  <si>
    <t>MIN Gas Density  ρ2 (at p2/t2)</t>
  </si>
  <si>
    <t>Gas Flowrate nor Qn (gas)   [Nm3/h]</t>
  </si>
  <si>
    <t>Gas Flowrate min Qn (gas)   [Nm3/h]</t>
  </si>
  <si>
    <t>MAX Pipe velocity Gases and Vapors</t>
  </si>
  <si>
    <t>NOR Pipe vel Gases &amp; Vapors</t>
  </si>
  <si>
    <t>MIN Pipe vel Gases &amp; Vapors</t>
  </si>
  <si>
    <t>MAX Valve Velocity Filtro Liquid/Gas</t>
  </si>
  <si>
    <t>Mach N° on outlet side of valve (piping) MAX</t>
  </si>
  <si>
    <t>Mach N° on outlet side of valve (piping) NOR</t>
  </si>
  <si>
    <t>Mach N° on outlet side of valve (piping) MIN</t>
  </si>
  <si>
    <t>NOR Valve Velocity Filtro Liquid/Gas</t>
  </si>
  <si>
    <t>MIN Valve Velocity Filtro Liquid/Gas</t>
  </si>
  <si>
    <t>INDEX</t>
  </si>
  <si>
    <t>F1 = Exponent for liquids</t>
  </si>
  <si>
    <t>F2 = Exponent for liquids</t>
  </si>
  <si>
    <t>G1 = Exponent for gases</t>
  </si>
  <si>
    <t>G2 = Exponent for gases</t>
  </si>
  <si>
    <t>KV = Flow coefficient [m3/h]</t>
  </si>
  <si>
    <t>LpA = A-weighted sound pressure level [dB(A)]</t>
  </si>
  <si>
    <t>Lw = Non-weighted level of sound power [dB]</t>
  </si>
  <si>
    <t>p1 = absolute inlet pressure [bar]</t>
  </si>
  <si>
    <t>p2 = absolute outlet pressure [bar]</t>
  </si>
  <si>
    <t>pv = absolute vapor pressure of the liquid [bar]</t>
  </si>
  <si>
    <t>Re = Reynolds-number</t>
  </si>
  <si>
    <t>s = Thickness of the pipe wall [mm]</t>
  </si>
  <si>
    <t>t1 = inlet temperature [°C]</t>
  </si>
  <si>
    <t>w = flow velocity of the medium [m/s]</t>
  </si>
  <si>
    <t>Xf = Differential pressure ratio for liquids</t>
  </si>
  <si>
    <t>Xg = Differential pressure ratio for gases and vapors</t>
  </si>
  <si>
    <t>zy = Differential pressure ratio when cavitation starts</t>
  </si>
  <si>
    <t>∆Lf = Valve specific coefficient of correction of liquid mediums [dB(A)]</t>
  </si>
  <si>
    <t>∆Lg = Valve specific coefficient of correction of gaseous and vaporous mediums [dB(A)]</t>
  </si>
  <si>
    <t xml:space="preserve">∆Rm = Coefficient of correction for the thickness of the pipe wall </t>
  </si>
  <si>
    <r>
      <t>η</t>
    </r>
    <r>
      <rPr>
        <sz val="10"/>
        <rFont val="Arial"/>
        <family val="2"/>
      </rPr>
      <t>f = Conversion coefficient for liquids (when y = 0,75)</t>
    </r>
  </si>
  <si>
    <r>
      <t>η</t>
    </r>
    <r>
      <rPr>
        <sz val="10"/>
        <rFont val="Arial"/>
        <family val="2"/>
      </rPr>
      <t>g = Conversion coefficient for gases (when y = 0,75)</t>
    </r>
  </si>
  <si>
    <t>FAIL OPEN  Actuators suitable for the application</t>
  </si>
  <si>
    <t>FAIL CLOSE  Actuators suitable for the application</t>
  </si>
  <si>
    <t>Pressure balance with soft seal - liquid</t>
  </si>
  <si>
    <t>Ke = 0,1</t>
  </si>
  <si>
    <t>Am = Effective diaphragm area of the actuator [cm2]</t>
  </si>
  <si>
    <t>CALCOLO FORZE ATTUATORI SCHMIDT ARMATUREN</t>
  </si>
  <si>
    <t>FACTORS</t>
  </si>
  <si>
    <t>FORMULA SYMBOLS</t>
  </si>
  <si>
    <t>ACTUATOR SIZING</t>
  </si>
  <si>
    <t>y =  Load of the valve (Kv/Kvs)  MIN</t>
  </si>
  <si>
    <t>y =  Load of the valve (Kv/Kvs)  NOR</t>
  </si>
  <si>
    <t>y =  Load of the valve (Kv/Kvs)  MAX</t>
  </si>
  <si>
    <t>Y =  Expansion factor  MIN</t>
  </si>
  <si>
    <t>Y =  Expansion factor  NOR</t>
  </si>
  <si>
    <t>Filtro Formula Gas/Vapor/Steam MIN</t>
  </si>
  <si>
    <t>Y =  Expansion factor  MAX</t>
  </si>
  <si>
    <t>MIN Temperature   t1   [°C]</t>
  </si>
  <si>
    <t>Filtro Formula Gas/Vapor/Steam NOR</t>
  </si>
  <si>
    <t>NOR Temperature   t1   [°C]</t>
  </si>
  <si>
    <t>MAX Temperature   t1   [°C]</t>
  </si>
  <si>
    <t>Filtro Formula Gas/Vapor/Steam MAX</t>
  </si>
  <si>
    <t>MIN Flowrate Qn   [Nm3/h]</t>
  </si>
  <si>
    <t>NOR Flowrate Qn   [Nm3/h]</t>
  </si>
  <si>
    <t>MIN Kv for Superheated Steam</t>
  </si>
  <si>
    <t>MAX Flowrate Qn   [Nm3/h]</t>
  </si>
  <si>
    <t>Min</t>
  </si>
  <si>
    <t>MIN Flowrate Q   [m3/h]</t>
  </si>
  <si>
    <t>Nor</t>
  </si>
  <si>
    <t>NOR Kv for Superheated Steam</t>
  </si>
  <si>
    <t>NOR Flowrate Q   [m3/h]</t>
  </si>
  <si>
    <t>Max</t>
  </si>
  <si>
    <t>MAX Flowrate Q   [m3/h]</t>
  </si>
  <si>
    <t>Conversion from operating volume flow to Nominal volume flow with MOLAR MASS</t>
  </si>
  <si>
    <t>MAX Kv for Superheated Steam</t>
  </si>
  <si>
    <t>MIN Flowrate W   [Kg/h]</t>
  </si>
  <si>
    <t>NOR Flowrate W   [Kg/h]</t>
  </si>
  <si>
    <t>MIN Kv for Saturated Steam</t>
  </si>
  <si>
    <t>MAX Flowrate W   [Kg/h]</t>
  </si>
  <si>
    <t>MIN Absolute outlet P.   p2</t>
  </si>
  <si>
    <t>NOR Kv for Saturated Steam</t>
  </si>
  <si>
    <t xml:space="preserve">MIN Absolute Inlet P.   p1 </t>
  </si>
  <si>
    <t>Conversion from operating volume flow to Nominal volume flow with DENSITY</t>
  </si>
  <si>
    <t>NOR Absolute outlet P.   p2</t>
  </si>
  <si>
    <t>MAX Kv for Saturated Steam</t>
  </si>
  <si>
    <t xml:space="preserve">NOR Absolute Inlet P.   p1 </t>
  </si>
  <si>
    <t>MAX Absolute outlet P.   p2</t>
  </si>
  <si>
    <t>MIN Kv for Vapors</t>
  </si>
  <si>
    <t xml:space="preserve">MAX Absolute Inlet P.   p1 </t>
  </si>
  <si>
    <t>Z1 =  Compressibility factor at p1 and t1 MIN</t>
  </si>
  <si>
    <t>Conversion °F into °C  (if °F selected in "Selection" tab)</t>
  </si>
  <si>
    <t>NOR Kv for Vapors</t>
  </si>
  <si>
    <t>Z1 =  Compressibility factor at p1 and t1 NOR</t>
  </si>
  <si>
    <t>Z1 =  Compressibility factor at p1 and t1 MAX</t>
  </si>
  <si>
    <t>MAX Kv for Vapors</t>
  </si>
  <si>
    <t>ρ1 =  density at p1/t1  [kg/m3]  MIN</t>
  </si>
  <si>
    <t>ρ1 =  density at p1/t1  [kg/m3]  NOR</t>
  </si>
  <si>
    <t>ρ2??? =  Density (at p2 and t2)   [kg/m3]</t>
  </si>
  <si>
    <t>ρ1 =  density at p1/t1  [kg/m3]  MAX</t>
  </si>
  <si>
    <t>vr??? = Flow Velocity (p2)   [m/s]</t>
  </si>
  <si>
    <t>ρN =  Standard density   [kg/Nm3]  MIN</t>
  </si>
  <si>
    <t>ρN =  Standard density   [kg/Nm3]  NOR</t>
  </si>
  <si>
    <t>ρN =  Standard density   [kg/Nm3]  MAX</t>
  </si>
  <si>
    <t>x =  Pressure ratio MIN</t>
  </si>
  <si>
    <t>x =  Pressure ratio NOR</t>
  </si>
  <si>
    <t>x =  Pressure ratio MAX</t>
  </si>
  <si>
    <t>Input Data</t>
  </si>
  <si>
    <t>GAS/VAPOR Formula Flow Coefficient</t>
  </si>
  <si>
    <t>MIN Temperature   t1</t>
  </si>
  <si>
    <t>NOR Temperature   t1</t>
  </si>
  <si>
    <t>MIN Kv for Liquid with flow limit</t>
  </si>
  <si>
    <t>MAX Temperature   t1</t>
  </si>
  <si>
    <t>MIN Flowrate Q</t>
  </si>
  <si>
    <t>NOR Kv for Liquid with flow limit</t>
  </si>
  <si>
    <t>NOR Flowrate Q</t>
  </si>
  <si>
    <t>MAX Flowrate Q</t>
  </si>
  <si>
    <t>MAX Kv for Liquid with flow limit</t>
  </si>
  <si>
    <t>MIN Kv for Liquid without flow limit</t>
  </si>
  <si>
    <t>Density  ρ1 (at p1/t1)</t>
  </si>
  <si>
    <t>NOR Kv for Liquid without flow limit</t>
  </si>
  <si>
    <t>Reynolds Number Factor Fr (FR = 1,0 y &lt; 20 c St)</t>
  </si>
  <si>
    <t>MAX Kv for Liquid without flow limit</t>
  </si>
  <si>
    <t>Pressure Recovery Factor Fl</t>
  </si>
  <si>
    <t>Absolute Thermodyn. Press. pc</t>
  </si>
  <si>
    <t>Absolute Vapor Press. pv</t>
  </si>
  <si>
    <t>LIQUID Formula Flow Coefficient</t>
  </si>
  <si>
    <t xml:space="preserve"> </t>
  </si>
  <si>
    <t>Sonic Speed (at P2)</t>
  </si>
  <si>
    <t>Molar Mass "M" (MW)</t>
  </si>
  <si>
    <t>Conversion Q into Qn (gas) M factor</t>
  </si>
  <si>
    <t>Conversion Q into Qn (gas) Z factor</t>
  </si>
  <si>
    <t>Isoentropic Exp "k"</t>
  </si>
  <si>
    <r>
      <t xml:space="preserve">"di" Internal </t>
    </r>
    <r>
      <rPr>
        <sz val="10"/>
        <rFont val="Calibri"/>
        <family val="2"/>
      </rPr>
      <t>Ø</t>
    </r>
    <r>
      <rPr>
        <sz val="10"/>
        <rFont val="Arial"/>
        <family val="2"/>
      </rPr>
      <t xml:space="preserve"> of Pipe</t>
    </r>
  </si>
  <si>
    <t>Filtro Formula Liquid/Gas-Vapor</t>
  </si>
  <si>
    <t>Pipe Velocity Liquid inlet [m/s]</t>
  </si>
  <si>
    <t>Formula VELOCITY</t>
  </si>
  <si>
    <t>Fino a #900 (+GSV):  hp x PTFE e Graphite 30mm fino a DN.300</t>
  </si>
  <si>
    <t>Fino a #900 (+GSV):  hp x PTFE e Graphite 25mm x DN.25</t>
  </si>
  <si>
    <t>Fino a #300:  hp x Graphite 30mm fino a DN.300</t>
  </si>
  <si>
    <t>Fino a #300:  hp x Graphite 25mm fino a DN.50</t>
  </si>
  <si>
    <t>Fino a #300:  hp x PTFE 24mm fino a DN.300</t>
  </si>
  <si>
    <t>Fino a #300:  hp x PTFE 20mm fino a DN.50</t>
  </si>
  <si>
    <t>legenda hp packing</t>
  </si>
  <si>
    <t>Legenda Effective Area for Actuator</t>
  </si>
  <si>
    <t>es.: 1250N con 3,2 Bar di alim. E 1 bar DP</t>
  </si>
  <si>
    <t>es.: 2000N con 3,5 Bar di alim. E 5 bar DP</t>
  </si>
  <si>
    <t>es.: 3000N con 3,9 Bar di alim. E 10 bar DP</t>
  </si>
  <si>
    <t>es.: 4000N con 4,3 Bar di alim. E 15 bar DP</t>
  </si>
  <si>
    <t>"Filter" Formula for selection BAL / UNBAL Plug</t>
  </si>
  <si>
    <t>es.: 5000N con 4,7 Bar di alim. E 20 bar DP</t>
  </si>
  <si>
    <t>es.: 6000N con 5,1 Bar di alim. E 25 bar DP</t>
  </si>
  <si>
    <t>con molla apre forza aumenta di 250N (con 0,1 bar di alim. In più) ogni bar di DP.</t>
  </si>
  <si>
    <t>Ogni 1 bar di DP corrispondono 50N di forza richiesta in più.</t>
  </si>
  <si>
    <t>"Filter" Formula for BAL Plug 100% Stroke</t>
  </si>
  <si>
    <t>Per packing Graphite usare 0,1 e formula per LL/Adj.</t>
  </si>
  <si>
    <t>"Filter" Formula for Packing Selection</t>
  </si>
  <si>
    <t>Per packing PTFE LL usare 0,05 e formula per LL/Adj.</t>
  </si>
  <si>
    <t>Per packing PTFE V-ring interno usare 0,05 e formula STD</t>
  </si>
  <si>
    <t>Valve Stroke</t>
  </si>
  <si>
    <t>GSV Packing TA-Luft STD usare formula per LL/Adj. Per altra voce TA-Luft usare formula STD.</t>
  </si>
  <si>
    <t>(∑F) Calc Flow Open (Close) BALANCED</t>
  </si>
  <si>
    <t>Per #600 o #900usare sempre formula per LL/Adj. Hp packing differenti</t>
  </si>
  <si>
    <t>Fd2 BALANCED</t>
  </si>
  <si>
    <t>Fino a #300:  hp x PTFE 24mm e per Graphite 30mm fino a DN.300</t>
  </si>
  <si>
    <t>Fino a #300:  hp x PTFE 20mm e per Graphite 25mm fino a DN.50</t>
  </si>
  <si>
    <t>(∑F) Req @100%Stroke-Spring Open BALANCED</t>
  </si>
  <si>
    <t>(Arrotondati per formule)</t>
  </si>
  <si>
    <t>(∑F) Req @100%Stroke-Spring Closes BALANCED</t>
  </si>
  <si>
    <t>Bal Steel Ring DN.300 (Sede 250mm) Di = 242,9mm</t>
  </si>
  <si>
    <t>Bal Steel Ring DN.250 (Sede 200mm) Di = 192,9mm</t>
  </si>
  <si>
    <t>Friction Force of Balancing trim</t>
  </si>
  <si>
    <t>Bal Steel Ring DN.200 (Sede 150mm) Di = 142,85mm</t>
  </si>
  <si>
    <t>Bal Steel Ring DN.150 (Sede 130mm) Di = 122,85mm</t>
  </si>
  <si>
    <t>Stiffness Req</t>
  </si>
  <si>
    <t>Bal Steel Ring DN.100 Di = 92,8mm</t>
  </si>
  <si>
    <t>Bal Steel Ring DN.80 Di = 72,75mm</t>
  </si>
  <si>
    <t>(∑F) Req @100%Stroke-Spring Open</t>
  </si>
  <si>
    <t>Test Flow Open &amp; Close with Steel Rings BAL:</t>
  </si>
  <si>
    <t>(∑F) Req @100%Stroke-Spring Closes</t>
  </si>
  <si>
    <t>Internal Cage/Bal. Diameter[mm]</t>
  </si>
  <si>
    <t>Bal O-ring DN.300 (Sede 250mm) Di = 249,35mm</t>
  </si>
  <si>
    <t>Friction Force of Balancing[N]</t>
  </si>
  <si>
    <t>Bal O-ring DN.250 (Sede 200mm) Di = 199,35mm</t>
  </si>
  <si>
    <t>(∑F) Calc Flow Open (Close)  (Adj.LL Packing)</t>
  </si>
  <si>
    <t>SAFETY FACTOR (extra)</t>
  </si>
  <si>
    <t>Bal O-ring DN.200 (Sede 150mm) Di = 149,35mm</t>
  </si>
  <si>
    <t>Differential Pressure[bara]</t>
  </si>
  <si>
    <t>Bal O-ring DN.150 (Sede 130mm) Di = 129,35mm</t>
  </si>
  <si>
    <t>(∑F) Calc Flow Open (Close)  (STD Packing)</t>
  </si>
  <si>
    <t>Forza Attuatore Molle o Aria [N]</t>
  </si>
  <si>
    <t>Bal O-ring DN.100 Di = 99,35mm</t>
  </si>
  <si>
    <t>Soffietto???</t>
  </si>
  <si>
    <t>Bal O-ring DN.80 Di = 79,35mm</t>
  </si>
  <si>
    <t>Positioning force calculation (Adj.LL Packing)</t>
  </si>
  <si>
    <t>Aria Alim. Set FR [bara]</t>
  </si>
  <si>
    <t>Test Flow Open &amp; Close BAL:</t>
  </si>
  <si>
    <t>Area Effettiva Attuatore[cm2]</t>
  </si>
  <si>
    <t>Positioning force calculation (STD Packing)</t>
  </si>
  <si>
    <t>Precarico Molle[bara]</t>
  </si>
  <si>
    <t>Carico Molle Max[bara]</t>
  </si>
  <si>
    <t>Fs</t>
  </si>
  <si>
    <t>Valve Rating PN</t>
  </si>
  <si>
    <t>Diametro Stelo[mm]</t>
  </si>
  <si>
    <t>Fr Adj./Live Load Packing</t>
  </si>
  <si>
    <t xml:space="preserve">Packing Graphite Input 0,1 </t>
  </si>
  <si>
    <t xml:space="preserve">Packing PTFE STD+LL Input 0,05 </t>
  </si>
  <si>
    <t>Fr STD Packing</t>
  </si>
  <si>
    <t>Shutoff Pressure[bara]</t>
  </si>
  <si>
    <t>Seat Diameter[mm]</t>
  </si>
  <si>
    <t>Fd</t>
  </si>
  <si>
    <t>FORMULA</t>
  </si>
  <si>
    <t>Other</t>
  </si>
  <si>
    <t>24"</t>
  </si>
  <si>
    <t>12"</t>
  </si>
  <si>
    <t>20"</t>
  </si>
  <si>
    <t>10"</t>
  </si>
  <si>
    <t>18"</t>
  </si>
  <si>
    <t>8"</t>
  </si>
  <si>
    <t>ISA FORM S20.50, Rev. 1</t>
  </si>
  <si>
    <t>Second Printing</t>
  </si>
  <si>
    <t>© 1981 ISA</t>
  </si>
  <si>
    <t>16"</t>
  </si>
  <si>
    <t>6"</t>
  </si>
  <si>
    <t>* Information supplied by manufacturer unless already specified</t>
  </si>
  <si>
    <t>14"</t>
  </si>
  <si>
    <t>4"</t>
  </si>
  <si>
    <t>3"</t>
  </si>
  <si>
    <t>2"</t>
  </si>
  <si>
    <t>1.1/2"</t>
  </si>
  <si>
    <t>1"</t>
  </si>
  <si>
    <t>5"</t>
  </si>
  <si>
    <t>3/4"</t>
  </si>
  <si>
    <t>App</t>
  </si>
  <si>
    <t>Orig</t>
  </si>
  <si>
    <t>Revision</t>
  </si>
  <si>
    <t>Date</t>
  </si>
  <si>
    <t>Rev</t>
  </si>
  <si>
    <t>1/2"</t>
  </si>
  <si>
    <t>3 1/2"</t>
  </si>
  <si>
    <t>ANSI / FCI Leakage Class</t>
  </si>
  <si>
    <t>2 1/2"</t>
  </si>
  <si>
    <t>1 Fahrenheit = 9/5 °C + 32 [F]</t>
  </si>
  <si>
    <t>Hydro Pressure*</t>
  </si>
  <si>
    <t>TESTS</t>
  </si>
  <si>
    <t>Div</t>
  </si>
  <si>
    <t>Group</t>
  </si>
  <si>
    <t>NEC Class</t>
  </si>
  <si>
    <t>SPECIALS / ACCESSORIES</t>
  </si>
  <si>
    <t>1 U.S.gallon/min = 0,227 m3/h [U.S.gpm]</t>
  </si>
  <si>
    <t>1 1/2"</t>
  </si>
  <si>
    <t>1 U.S.gallon = 3,785 dm3 [U.S.gal]</t>
  </si>
  <si>
    <t>Gauge</t>
  </si>
  <si>
    <t>Filter</t>
  </si>
  <si>
    <t>1 1/4"</t>
  </si>
  <si>
    <t>1 lbs/s = 0,4536 kg/s [lb/s]</t>
  </si>
  <si>
    <t>Set Pressure*</t>
  </si>
  <si>
    <t>Stem Material*</t>
  </si>
  <si>
    <t>1 lbf/inch2 = 0,06895 bar [psi]</t>
  </si>
  <si>
    <t>Mfr &amp; Model*</t>
  </si>
  <si>
    <t>AIRSET</t>
  </si>
  <si>
    <t>Cage / Guide Material*</t>
  </si>
  <si>
    <t>1 pound-force = 4,4482 N [lbf]</t>
  </si>
  <si>
    <t>Seat Material*</t>
  </si>
  <si>
    <t>1 square inch = 6,4516 cm2 [sq in]</t>
  </si>
  <si>
    <t>Actuation Points</t>
  </si>
  <si>
    <t>Plug / Ball / Disk Material*</t>
  </si>
  <si>
    <t>3/8"</t>
  </si>
  <si>
    <t>1 inch = 25,4 mm [in]</t>
  </si>
  <si>
    <t>Contacts / Rating</t>
  </si>
  <si>
    <r>
      <t>X</t>
    </r>
    <r>
      <rPr>
        <vertAlign val="subscript"/>
        <sz val="10"/>
        <rFont val="Arial"/>
        <family val="2"/>
      </rPr>
      <t>T</t>
    </r>
  </si>
  <si>
    <r>
      <t>F</t>
    </r>
    <r>
      <rPr>
        <vertAlign val="subscript"/>
        <sz val="10"/>
        <rFont val="Arial"/>
        <family val="2"/>
      </rPr>
      <t>L</t>
    </r>
  </si>
  <si>
    <t>Rated*</t>
  </si>
  <si>
    <t>1/4"</t>
  </si>
  <si>
    <t>Conversion of British and American measuring units</t>
  </si>
  <si>
    <t>Unbalanced</t>
  </si>
  <si>
    <t>Balanced / Unbalanced*</t>
  </si>
  <si>
    <t>1/8"</t>
  </si>
  <si>
    <t>Quantity</t>
  </si>
  <si>
    <t>Type</t>
  </si>
  <si>
    <t>SWITCHES</t>
  </si>
  <si>
    <t>Characteristic*</t>
  </si>
  <si>
    <t>"di" approx per calcolo</t>
  </si>
  <si>
    <t>80s</t>
  </si>
  <si>
    <t>40s</t>
  </si>
  <si>
    <t>10s</t>
  </si>
  <si>
    <t>5s</t>
  </si>
  <si>
    <r>
      <rPr>
        <b/>
        <sz val="10"/>
        <rFont val="Calibri"/>
        <family val="2"/>
      </rPr>
      <t>Ø</t>
    </r>
    <r>
      <rPr>
        <b/>
        <sz val="10"/>
        <rFont val="Arial"/>
        <family val="2"/>
      </rPr>
      <t xml:space="preserve"> mm</t>
    </r>
  </si>
  <si>
    <r>
      <rPr>
        <b/>
        <sz val="10"/>
        <rFont val="Calibri"/>
        <family val="2"/>
      </rPr>
      <t>Ø</t>
    </r>
    <r>
      <rPr>
        <b/>
        <sz val="10"/>
        <rFont val="Arial"/>
        <family val="2"/>
      </rPr>
      <t xml:space="preserve"> inches</t>
    </r>
  </si>
  <si>
    <t>Rated Travel</t>
  </si>
  <si>
    <t>Size*</t>
  </si>
  <si>
    <t>Spessori tubi ANSI B36.19 acciaio inox</t>
  </si>
  <si>
    <t>Bench Range Max</t>
  </si>
  <si>
    <t>Bench Range Min</t>
  </si>
  <si>
    <t>Cam Characteristic*</t>
  </si>
  <si>
    <t>Parabolic</t>
  </si>
  <si>
    <t>Type*</t>
  </si>
  <si>
    <t>TRIM</t>
  </si>
  <si>
    <t>Carico Molle Max</t>
  </si>
  <si>
    <t>Precarico Molle</t>
  </si>
  <si>
    <t>Ratings</t>
  </si>
  <si>
    <t>Size</t>
  </si>
  <si>
    <t>By-Pass</t>
  </si>
  <si>
    <t>Gauges</t>
  </si>
  <si>
    <t>On Incr Signal Ouptut Incr / Decr*</t>
  </si>
  <si>
    <t>PTFE TA-Luft</t>
  </si>
  <si>
    <t>Packing Type*</t>
  </si>
  <si>
    <t>PTFE</t>
  </si>
  <si>
    <t>Packing Material*</t>
  </si>
  <si>
    <t>None</t>
  </si>
  <si>
    <t>Lube</t>
  </si>
  <si>
    <t>Lub &amp; Iso Valve</t>
  </si>
  <si>
    <t>Packing Type</t>
  </si>
  <si>
    <t>Valve Rating</t>
  </si>
  <si>
    <t>Packing material</t>
  </si>
  <si>
    <t>Balancing type</t>
  </si>
  <si>
    <t>Valve Size</t>
  </si>
  <si>
    <t>Trim Size</t>
  </si>
  <si>
    <t>Input Signal</t>
  </si>
  <si>
    <t>POSITIONER</t>
  </si>
  <si>
    <t>Bonnet*</t>
  </si>
  <si>
    <t>Open</t>
  </si>
  <si>
    <t>Flow Direction*</t>
  </si>
  <si>
    <t>Set At</t>
  </si>
  <si>
    <t>Close</t>
  </si>
  <si>
    <t>Air Failure Valve</t>
  </si>
  <si>
    <t>End Ext / Matl</t>
  </si>
  <si>
    <t>Handwheel Type</t>
  </si>
  <si>
    <t>Face Finish</t>
  </si>
  <si>
    <t>Actuator Orientation</t>
  </si>
  <si>
    <t>Out</t>
  </si>
  <si>
    <t>/</t>
  </si>
  <si>
    <t>Bench Range*</t>
  </si>
  <si>
    <t>In</t>
  </si>
  <si>
    <t>End              Connection</t>
  </si>
  <si>
    <t>Liner Material / ID*</t>
  </si>
  <si>
    <t>Available Air Supply Pressure:</t>
  </si>
  <si>
    <t>Body / Bonnet Matl*</t>
  </si>
  <si>
    <t>Min Required Pressure*</t>
  </si>
  <si>
    <t>Max Allowable Pressure*</t>
  </si>
  <si>
    <t>Max Press/Temp</t>
  </si>
  <si>
    <t>Spring Action Open / Close</t>
  </si>
  <si>
    <t>DIN</t>
  </si>
  <si>
    <t>STD</t>
  </si>
  <si>
    <t>Modulating</t>
  </si>
  <si>
    <t>On / Off</t>
  </si>
  <si>
    <t>VALVE BODY / BONNET</t>
  </si>
  <si>
    <t>Degrees</t>
  </si>
  <si>
    <t>Travel</t>
  </si>
  <si>
    <t>Eff Area</t>
  </si>
  <si>
    <t>Pipe Insulation</t>
  </si>
  <si>
    <t>Cv</t>
  </si>
  <si>
    <t>Kv</t>
  </si>
  <si>
    <t>Flow Coeff.</t>
  </si>
  <si>
    <t>/  K factor</t>
  </si>
  <si>
    <t>Pa*s</t>
  </si>
  <si>
    <t>cSt</t>
  </si>
  <si>
    <t>cP</t>
  </si>
  <si>
    <t>Viscosity</t>
  </si>
  <si>
    <t>ACTUATOR</t>
  </si>
  <si>
    <t>Pipe velocity Downstream</t>
  </si>
  <si>
    <t>Pipe Size &amp; Schedule</t>
  </si>
  <si>
    <t>LINE</t>
  </si>
  <si>
    <t>°K (Spec.)</t>
  </si>
  <si>
    <t>°F</t>
  </si>
  <si>
    <t>Temp. Unit</t>
  </si>
  <si>
    <t>Min Air Supply</t>
  </si>
  <si>
    <t>m/s  /  Mach</t>
  </si>
  <si>
    <t>Valve Velocity</t>
  </si>
  <si>
    <t>(g)</t>
  </si>
  <si>
    <t>(a)</t>
  </si>
  <si>
    <t>Abs/Gauge</t>
  </si>
  <si>
    <t>mmHg (Spec.)</t>
  </si>
  <si>
    <t>mmH2O (Spec.)</t>
  </si>
  <si>
    <t>kg/cm2</t>
  </si>
  <si>
    <t>kPa</t>
  </si>
  <si>
    <t>psi</t>
  </si>
  <si>
    <t>Bar</t>
  </si>
  <si>
    <t>Pressure Unit</t>
  </si>
  <si>
    <t>XXS</t>
  </si>
  <si>
    <t>XS</t>
  </si>
  <si>
    <t>Selection N.C. / N.O. Actuators</t>
  </si>
  <si>
    <t>Selection of actuator Type N.O.</t>
  </si>
  <si>
    <t>Selection of actuator Type N.C.</t>
  </si>
  <si>
    <t>dBA</t>
  </si>
  <si>
    <t>Allowable / Predicted SPL*</t>
  </si>
  <si>
    <t>MMSCFD (Spec.)</t>
  </si>
  <si>
    <t>SCFH (Spec.)</t>
  </si>
  <si>
    <t>Sft3/h (Spec.)</t>
  </si>
  <si>
    <t>lb/h (Spec.)</t>
  </si>
  <si>
    <t>l/h</t>
  </si>
  <si>
    <t>Nm3/h</t>
  </si>
  <si>
    <t>m3/h</t>
  </si>
  <si>
    <t>Kg/h</t>
  </si>
  <si>
    <t>Flowrate Unit</t>
  </si>
  <si>
    <t>Spessori tubi ANSI B36.10 in acciaio al carbonio e legati</t>
  </si>
  <si>
    <t>AUTO</t>
  </si>
  <si>
    <t>MANUAL</t>
  </si>
  <si>
    <t>Fluid State</t>
  </si>
  <si>
    <t>Trim Size[mm]</t>
  </si>
  <si>
    <t>Required Flow Coefficient</t>
  </si>
  <si>
    <t>Stroke</t>
  </si>
  <si>
    <r>
      <t xml:space="preserve">Vapor Pressure </t>
    </r>
    <r>
      <rPr>
        <sz val="10"/>
        <rFont val="Arial"/>
        <family val="2"/>
      </rPr>
      <t>P</t>
    </r>
    <r>
      <rPr>
        <vertAlign val="subscript"/>
        <sz val="10"/>
        <rFont val="Arial"/>
        <family val="2"/>
      </rPr>
      <t>v</t>
    </r>
  </si>
  <si>
    <t>MAX</t>
  </si>
  <si>
    <t>MIN</t>
  </si>
  <si>
    <t>Bench Range Min/Max</t>
  </si>
  <si>
    <t>Viscosity / Spec Heats Ratio</t>
  </si>
  <si>
    <t>Actuator size</t>
  </si>
  <si>
    <t>Lock (Close)</t>
  </si>
  <si>
    <t>Lock (Open)</t>
  </si>
  <si>
    <t>Air Failure</t>
  </si>
  <si>
    <t>Inlet Temperature</t>
  </si>
  <si>
    <t>Diam. Stelo</t>
  </si>
  <si>
    <t>Outlet Pressure</t>
  </si>
  <si>
    <t>Steel Rings [G]</t>
  </si>
  <si>
    <t>Steel Rings [L+Sat.Steam]</t>
  </si>
  <si>
    <t>Graphite rings [G]</t>
  </si>
  <si>
    <t>Graphite rings [L+Sat.Steam]</t>
  </si>
  <si>
    <t>PTFE Rings [G]</t>
  </si>
  <si>
    <t>PTFE Rings [L]</t>
  </si>
  <si>
    <t>Balanced/Unbal.</t>
  </si>
  <si>
    <t>Inlet Pressure</t>
  </si>
  <si>
    <t>Digital</t>
  </si>
  <si>
    <t>Electro-Pneumatic</t>
  </si>
  <si>
    <t>Pneumatic</t>
  </si>
  <si>
    <t>Positioner Type</t>
  </si>
  <si>
    <t>Multi-Cage</t>
  </si>
  <si>
    <t>Perforated Plug</t>
  </si>
  <si>
    <t>Trim type</t>
  </si>
  <si>
    <t>Shut-Off</t>
  </si>
  <si>
    <t>Min Flow</t>
  </si>
  <si>
    <t>Norm Flow</t>
  </si>
  <si>
    <t>Max Flow</t>
  </si>
  <si>
    <t>Units</t>
  </si>
  <si>
    <t>Flow Rate</t>
  </si>
  <si>
    <t>SERVICE CONDITIONS</t>
  </si>
  <si>
    <t>Graphite TA-Luft</t>
  </si>
  <si>
    <t>Graphite</t>
  </si>
  <si>
    <t>PTFE V-ring</t>
  </si>
  <si>
    <t>Packing type</t>
  </si>
  <si>
    <t>State</t>
  </si>
  <si>
    <t>Fluid</t>
  </si>
  <si>
    <t>Packing mat.</t>
  </si>
  <si>
    <t>Spec Wt (2-ph Vapor)</t>
  </si>
  <si>
    <t xml:space="preserve">Vap/Liq </t>
  </si>
  <si>
    <t>MAX Partial Cav. DP limit</t>
  </si>
  <si>
    <t>NOR Partial Cav. DP limit</t>
  </si>
  <si>
    <t>MIN Partial Cav. DP limit</t>
  </si>
  <si>
    <r>
      <t xml:space="preserve">"di" Internal </t>
    </r>
    <r>
      <rPr>
        <sz val="10"/>
        <rFont val="Calibri"/>
        <family val="2"/>
      </rPr>
      <t>Ø</t>
    </r>
    <r>
      <rPr>
        <sz val="10"/>
        <rFont val="Arial"/>
        <family val="2"/>
      </rPr>
      <t xml:space="preserve"> of valve flange (Valve Size)</t>
    </r>
  </si>
  <si>
    <t>MAX Vena Contracta Vel. Liquid inlet [m/s]</t>
  </si>
  <si>
    <t>NOR Vena Contracta Vel. Liquid inlet [m/s]</t>
  </si>
  <si>
    <t>MIN Vena Contracta Vel. Liquid inlet [m/s]</t>
  </si>
  <si>
    <t>MAX Vena Contracta Vel. Gas inlet [m/s]</t>
  </si>
  <si>
    <t>NOR Vena Contracta Vel. Gas inlet [m/s]</t>
  </si>
  <si>
    <t>MIN Vena Contracta Vel. Gas inlet [m/s]</t>
  </si>
  <si>
    <t>MAX Chocked Drop DP Limit</t>
  </si>
  <si>
    <t>NOR Chocked Drop DP Limit</t>
  </si>
  <si>
    <t>MIN Chocked Drop DP Limit</t>
  </si>
  <si>
    <t>Liquid Flowrate max Q   [m3/h]</t>
  </si>
  <si>
    <t>Gas Flowrate max Qn (gas)   [Nm3/h]</t>
  </si>
  <si>
    <t>MAX Liquid Density  ρ1 (at p1/t1)</t>
  </si>
  <si>
    <t>NOR Liquid Density  ρ1 (at p1/t1)</t>
  </si>
  <si>
    <t>MIN Liquid Density  ρ1 (at p1/t1)</t>
  </si>
  <si>
    <t>MAX Valve Vel. Liquid inlet [m/s]</t>
  </si>
  <si>
    <t>NOR Valve Vel. Liquid inlet [m/s]</t>
  </si>
  <si>
    <t>MIN Valve Vel. Liquid inlet [m/s]</t>
  </si>
  <si>
    <t>Liquid Flowrate nor Q   [m3/h]</t>
  </si>
  <si>
    <t>Liquid Flowrate min Q   [m3/h]</t>
  </si>
  <si>
    <t xml:space="preserve"> MFR. SERIAL</t>
  </si>
  <si>
    <t>Rating ANSI</t>
  </si>
  <si>
    <t xml:space="preserve"> SERVICE</t>
  </si>
  <si>
    <t xml:space="preserve"> CONTRACT</t>
  </si>
  <si>
    <t>Rating PN</t>
  </si>
  <si>
    <t xml:space="preserve"> DWG</t>
  </si>
  <si>
    <t xml:space="preserve"> ITEM</t>
  </si>
  <si>
    <t>Flow To</t>
  </si>
  <si>
    <t xml:space="preserve"> TAG</t>
  </si>
  <si>
    <t xml:space="preserve"> P.O.</t>
  </si>
  <si>
    <t>ANSI size</t>
  </si>
  <si>
    <t xml:space="preserve"> SPEC</t>
  </si>
  <si>
    <t xml:space="preserve"> UNIT</t>
  </si>
  <si>
    <t>DIN size</t>
  </si>
  <si>
    <t>OF</t>
  </si>
  <si>
    <t xml:space="preserve"> DATA SHEET</t>
  </si>
  <si>
    <t xml:space="preserve"> PROJECT</t>
  </si>
  <si>
    <t>ANSI</t>
  </si>
  <si>
    <t>DIN/ANSI</t>
  </si>
  <si>
    <t>2-Phased Gas/Vapor</t>
  </si>
  <si>
    <t>2-Phased Liquid/Vapor</t>
  </si>
  <si>
    <t>2-Phased Liquid/Gas</t>
  </si>
  <si>
    <t>Vapor</t>
  </si>
  <si>
    <t>Gas</t>
  </si>
  <si>
    <t>State:</t>
  </si>
  <si>
    <t>CONTROL VALVE DATA SHEET</t>
  </si>
  <si>
    <t>Hydrogen Sulphide</t>
  </si>
  <si>
    <t>Sulphur Dioxide</t>
  </si>
  <si>
    <t>Acetylene</t>
  </si>
  <si>
    <t>Temp.  [°C]</t>
  </si>
  <si>
    <t>Pressure  [Bara]</t>
  </si>
  <si>
    <t>Saturation Temp. Of steam</t>
  </si>
  <si>
    <t>Backup Database!</t>
  </si>
  <si>
    <t>Saturation properties given pressure  MAX</t>
  </si>
  <si>
    <t>Saturation properties given pressure  NOR</t>
  </si>
  <si>
    <t>Saturation properties given pressure  MIN</t>
  </si>
  <si>
    <t>Inlet Temperature STEAM</t>
  </si>
  <si>
    <t>5a</t>
  </si>
  <si>
    <t>FOR STEAM SIZING</t>
  </si>
  <si>
    <t>Expansion Factor calculation for Steam</t>
  </si>
  <si>
    <t>Isoentropic Exp. K</t>
  </si>
  <si>
    <t>Selezione Temperatura MAX</t>
  </si>
  <si>
    <t>Selezione Temperatura NOR</t>
  </si>
  <si>
    <t>Selezione Temperatura MIN</t>
  </si>
  <si>
    <t>Steam Saturated</t>
  </si>
  <si>
    <t>Steam Superheated</t>
  </si>
  <si>
    <t>Sat.Steam p1 35, p2 5, Q 1000Kg/h, Y(Corretto 0,9) Kvc 2,34 , Valquo 2,0 , Conval 2,31</t>
  </si>
  <si>
    <t>Sat.Steam p1 25, p2 5, Q 1000Kg/h, Y(Corretto 0,9) Kvc 3,21 , Valquo 2,81 , Conval 3,24</t>
  </si>
  <si>
    <t>Sat.Steam p1 15, p2 5, Q 1000Kg/h, Y(Corretto 0,9) Kvc 5,23 , Valquo 4,79 , Conval 5,37</t>
  </si>
  <si>
    <t>OK VAPORE SURR.</t>
  </si>
  <si>
    <t>Sat.Steam p1 35, p2 30, Q 10000Kg/h, Y(Corretto 0,9) Kvc 33,96 , Valquo 35,94 , Conval 36,3</t>
  </si>
  <si>
    <t>Sat.Steam p1 25, p2 20, Q 10000Kg/h, Y(Corretto 0,9) Kvc 41,54 , Valquo 43,4 , Conval 44,3</t>
  </si>
  <si>
    <t>Sat.Steam p1 15, p2 10, Q 10000Kg/h, Y(Corretto 0,9) Kvc 58,2 , Valquo 58,71 , Conval 61,27</t>
  </si>
  <si>
    <t>Sat.Steam p1 40, p2 5, Q 1000Kg/h, Y(Corretto 0,9) Kvc 2,06 , Valquo 1,75 , Conval 2,02</t>
  </si>
  <si>
    <t>Sat.Steam p1 30, p2 5, Q 1000Kg/h, Y(Corretto 0,9) Kvc 2,7 , Valquo 2,34 , Conval 2,7</t>
  </si>
  <si>
    <t>Sat.Steam p1 20, p2 5, Q 1000Kg/h, Y(Corretto 0,9) Kvc 3,97 , Valquo 3,54 , Conval 4,05</t>
  </si>
  <si>
    <t>Sat.Steam p1 35, p2 34, Q 10000Kg/h, Y(Corretto 0,9) Kvc 71,3 , Valquo 77,08 , Conval 76,6</t>
  </si>
  <si>
    <t>Sat.Steam p1 25, p2 24, Q 10000Kg/h, Y(Corretto 0,9) Kvc 84,9 , Valquo 91,47 , Conval 91,17</t>
  </si>
  <si>
    <t>Sat.Steam p1 15, p2 14, Q 10000Kg/h, Y(Corretto 0,9) Kvc 111,2 , Valquo 118,57 , Conval 118,6</t>
  </si>
  <si>
    <t>(Coeff. 1)</t>
  </si>
  <si>
    <t>Sat.Steam p1 70, p2 59, Q 10000Kg/h, Y(Corretto 0,9) Kvc 16,32 , Valquo 17,05 , Conval 17,08</t>
  </si>
  <si>
    <t>Sat.Steam p1 60, p2 49, Q 10000Kg/h, Y(Corretto 0,9) Kvc 17,9 , Valquo 18,67 , Conval 18,86</t>
  </si>
  <si>
    <t>Sat.Steam p1 50, p2 39, Q 10000Kg/h, Y(Corretto 0,9) Kvc 20,04 , Valquo 20,81 , Conval 21,2</t>
  </si>
  <si>
    <t>Sat.Steam p1 70, p2 69, Q 10000Kg/h, Y(Corretto 0,9) Kvc 50,04 , Valquo 53,66 , Conval 52,69</t>
  </si>
  <si>
    <t>Sat.Steam p1 60, p2 59, Q 10000Kg/h, Y(Corretto 0,9) Kvc 54,11 , Valquo 58,23 , Conval 57,42</t>
  </si>
  <si>
    <t>Sat.Steam p1 50, p2 49, Q 10000Kg/h, Y(Corretto 0,9) Kvc 59,38 , Valquo 64,1 , Conval 63,41</t>
  </si>
  <si>
    <t>Sat.Steam p1 10, p2 9, Q 10000Kg/h, Y(Corretto 0,9) Kvc 138,7 , Valquo 145,9 , Conval 146,53</t>
  </si>
  <si>
    <t>Sat.Steam p1 10, p2 7, Q 10000Kg/h, Y(Corretto 0,9) Kvc 90,1 , Valquo 90,91 , Conval 94,26</t>
  </si>
  <si>
    <t>Sat.Steam p1 10, p2 3, Q 10000Kg/h, Y(Corretto 0,9) Kvc 78,7 , Valquo 70,74 , Conval 79,95</t>
  </si>
  <si>
    <t>Diff. %</t>
  </si>
  <si>
    <t>ESEMPI CALCOLI VAPORE SATURO</t>
  </si>
  <si>
    <t>ok 0,9</t>
  </si>
  <si>
    <t>ok 1</t>
  </si>
  <si>
    <t>Krg = 6</t>
  </si>
  <si>
    <t>Factor for the performance with PTFE packing without positioner</t>
  </si>
  <si>
    <t>Factor for the performance with graphite packing without positioner</t>
  </si>
  <si>
    <t>Kwd = 200</t>
  </si>
  <si>
    <t>Kwd = 120</t>
  </si>
  <si>
    <t>Recommended value for soft seat with metal stop</t>
  </si>
  <si>
    <t>Recommended value for soft seat without metal stop</t>
  </si>
  <si>
    <t>Rating DIN 10,16,25,40,63,100,160,250,320</t>
  </si>
  <si>
    <t>Rating ANSI 20,52,105,155,255,425</t>
  </si>
  <si>
    <t>Zu ≥ (Fr / (10*Am))+P100   (Rev.2010)</t>
  </si>
  <si>
    <t>Fs max &lt; Kwd*ds    (Rev.2010)</t>
  </si>
  <si>
    <t>P0 ≥ Fr / (10*Am)    (Rev.2010)</t>
  </si>
  <si>
    <t>(P100-P0) ≥ ((0,016*ds2*∆p) / Am)    (Rev.2010)</t>
  </si>
  <si>
    <t>(P100-P0) ≥ ((10*Fr) / (Krg*Am))    (Rev.2010)</t>
  </si>
  <si>
    <t>Zu ≥ ((Fr+Fre) / (10*Am))+P100    (Rev.2010)</t>
  </si>
  <si>
    <t>P0 ≥ (Fr+Fre) / (10*Am)    (Rev.2010)</t>
  </si>
  <si>
    <t>P0 = Pre-loaded spring [bar]    (Rev.2010, was Pv)</t>
  </si>
  <si>
    <t>P100 = spring end tension [bar]    (Rev.2010 was Pe)</t>
  </si>
  <si>
    <t>tA = stroking time [s]    (Rev.2010 new)</t>
  </si>
  <si>
    <t>xt =  Diff. pressure ratio at flow limitations MAX</t>
  </si>
  <si>
    <t>xt =  Diff. pressure ratio at flow limitations NOR</t>
  </si>
  <si>
    <t>xt =  Diff. pressure ratio at flow limitations MIN</t>
  </si>
  <si>
    <t>Selezione x o (Fk*xt)  MAX</t>
  </si>
  <si>
    <t>Selezione x o (Fk*xt)  NOR</t>
  </si>
  <si>
    <t>Selezione x o (Fk*xt)  MIN</t>
  </si>
  <si>
    <r>
      <t xml:space="preserve">Expansion Factor calculation for Steam  </t>
    </r>
    <r>
      <rPr>
        <b/>
        <sz val="10"/>
        <rFont val="Arial"/>
        <family val="2"/>
      </rPr>
      <t>NON USARE</t>
    </r>
  </si>
  <si>
    <t>Normal/Standard Density [kg/Nm3] having rho1 and Z</t>
  </si>
  <si>
    <r>
      <t>Normal/Standard Density [Kg/Nm3] having Molar Mass [Kg/kmol]</t>
    </r>
    <r>
      <rPr>
        <b/>
        <sz val="10"/>
        <rFont val="Arial"/>
        <family val="2"/>
      </rPr>
      <t xml:space="preserve"> rhon=M/22,45</t>
    </r>
  </si>
  <si>
    <t>Spec Wt. / Mol Wt.</t>
  </si>
  <si>
    <t>Kg/kmol</t>
  </si>
  <si>
    <t>Kg/m3</t>
  </si>
  <si>
    <t>R = gas constant 8,3144621 J/molK</t>
  </si>
  <si>
    <t>Ycalc = 1-((0,41+0,33m2)/ϒ)*(1-(p2/p1))        ρ1 = (p1*M)/(R*T1)         (From Internet download)</t>
  </si>
  <si>
    <r>
      <t>Reverse formula to get Molar Mass [Kg/kmol]</t>
    </r>
    <r>
      <rPr>
        <b/>
        <sz val="10"/>
        <rFont val="Arial"/>
        <family val="2"/>
      </rPr>
      <t xml:space="preserve"> M=rhon*22,45</t>
    </r>
  </si>
  <si>
    <t>MAX Kv for Gases EMERSON</t>
  </si>
  <si>
    <t>NOR Kv for Gases EMERSON</t>
  </si>
  <si>
    <t>MIN Kv for Gases EMERSON</t>
  </si>
  <si>
    <t>MAX Kv for Gases Flowserve</t>
  </si>
  <si>
    <t>NOR Kv for Gases Flowserve</t>
  </si>
  <si>
    <t>MIN Kv for Gases Flowserve</t>
  </si>
  <si>
    <t>2a</t>
  </si>
  <si>
    <t>2-Phase Flow Rate</t>
  </si>
  <si>
    <t>MAX Kv for Gas 2-Phase EMERSON</t>
  </si>
  <si>
    <t>NOR Kv for Gas 2-Phase EMERSON</t>
  </si>
  <si>
    <t>MIN Kv for Gas 2-Phase EMERSON</t>
  </si>
  <si>
    <t>M =  Molar Mass  2-phase  [kg/kmol]</t>
  </si>
  <si>
    <t>Isoentropic Exponent "k"</t>
  </si>
  <si>
    <t>MAX 2-phased Gas Flowrate Q   [m3/h]</t>
  </si>
  <si>
    <t>NOR 2-phased Gas Flowrate Q   [m3/h]</t>
  </si>
  <si>
    <t>MIN 2-phased Gas Flowrate Q   [m3/h]</t>
  </si>
  <si>
    <t>MAX 2-phased GAS Flowrate Qn   [Nm3/h]</t>
  </si>
  <si>
    <t>NOR 2-phased GAS Flowrate Qn   [Nm3/h]</t>
  </si>
  <si>
    <t>MIN 2-phased GAS Flowrate Qn   [Nm3/h]</t>
  </si>
  <si>
    <t>ρ1 =  density at p1/t1 2-Phased GAS  [kg/m3]  MAX</t>
  </si>
  <si>
    <t>ρ1 =  density at p1/t1 2-Phased GAS  [kg/m3]  NOR</t>
  </si>
  <si>
    <t>ρ1 =  density at p1/t1 2-Phased GAS  [kg/m3]  MIN</t>
  </si>
  <si>
    <t>2-Phased GAS Conversion from operating volume flow to Nominal volume flow with DENSITY</t>
  </si>
  <si>
    <t>Liquid formula x 2-phase</t>
  </si>
  <si>
    <t>MAX 2-Phased GAS Flowrate W   [Kg/h]</t>
  </si>
  <si>
    <t>NOR 2-Phased GAS Flowrate W   [Kg/h]</t>
  </si>
  <si>
    <t>MIN 2-Phased GAS Flowrate W   [Kg/h]</t>
  </si>
  <si>
    <t>2-Phased GAS Conversion from volume flow to mass flow with MOLAR MASS</t>
  </si>
  <si>
    <t>ρN =  Standard density 2-Phased GAS [kg/Nm3]  MIN</t>
  </si>
  <si>
    <t>ρN =  Standard density 2-Phased GAS [kg/Nm3]  MAX</t>
  </si>
  <si>
    <t>ρN =  Standard density 2-Phased GAS [kg/Nm3]  NOR</t>
  </si>
  <si>
    <t xml:space="preserve">Ycalc = 1-((0,41+0,33m2)/ϒ)*(1-(p2/p1))   k = ϒ = Specific heat ratio Cp/Cv  (From Internet download)  </t>
  </si>
  <si>
    <r>
      <t>2-Phased Normal/Standard Density [Kg/Nm3] having Molar Mass [Kg/kmol]</t>
    </r>
    <r>
      <rPr>
        <b/>
        <sz val="10"/>
        <rFont val="Arial"/>
        <family val="2"/>
      </rPr>
      <t xml:space="preserve"> rhon=M/22,45</t>
    </r>
  </si>
  <si>
    <t>2-Phased Normal/Standard Density [kg/Nm3] having rho1 and Z</t>
  </si>
  <si>
    <r>
      <t xml:space="preserve">"di" Internal </t>
    </r>
    <r>
      <rPr>
        <sz val="10"/>
        <rFont val="Calibri"/>
        <family val="2"/>
      </rPr>
      <t>Ø</t>
    </r>
    <r>
      <rPr>
        <sz val="10"/>
        <rFont val="Arial"/>
        <family val="2"/>
      </rPr>
      <t xml:space="preserve"> of Seat (Trim Size)</t>
    </r>
  </si>
  <si>
    <t>Flowrate max Q   [Kg/h]</t>
  </si>
  <si>
    <t>AIR</t>
  </si>
  <si>
    <t>CAT III</t>
  </si>
  <si>
    <t>B+D</t>
  </si>
  <si>
    <t>AMMONIA</t>
  </si>
  <si>
    <t>ARGON</t>
  </si>
  <si>
    <t>Ar</t>
  </si>
  <si>
    <t>BENZENE</t>
  </si>
  <si>
    <t>C6H6</t>
  </si>
  <si>
    <t>BUTANE</t>
  </si>
  <si>
    <t>CARBON DIOXIDE</t>
  </si>
  <si>
    <t>CO2</t>
  </si>
  <si>
    <t>CARBON MONOXIDE</t>
  </si>
  <si>
    <t>CHLORINE</t>
  </si>
  <si>
    <t>Cl2</t>
  </si>
  <si>
    <t>DOWTHERM-A</t>
  </si>
  <si>
    <t>ETHANE</t>
  </si>
  <si>
    <t>C2H6</t>
  </si>
  <si>
    <t>ETHYLENE</t>
  </si>
  <si>
    <t>C2H4</t>
  </si>
  <si>
    <t>FLUORINE</t>
  </si>
  <si>
    <t>F2</t>
  </si>
  <si>
    <t>GLYCOL</t>
  </si>
  <si>
    <t>HELIUM</t>
  </si>
  <si>
    <t>He</t>
  </si>
  <si>
    <t>HYDROGEN</t>
  </si>
  <si>
    <t>H2</t>
  </si>
  <si>
    <t>HYDROGEN CHLORIDE</t>
  </si>
  <si>
    <t>HCl</t>
  </si>
  <si>
    <t>ISOBUTANE</t>
  </si>
  <si>
    <t>C4H10</t>
  </si>
  <si>
    <t>ISOBUTYLENE</t>
  </si>
  <si>
    <t>C4H8</t>
  </si>
  <si>
    <t>METHANE</t>
  </si>
  <si>
    <t>CH4</t>
  </si>
  <si>
    <t>METHANOL</t>
  </si>
  <si>
    <t>CH4O</t>
  </si>
  <si>
    <t>NATURAL GAS</t>
  </si>
  <si>
    <t>NITROGEN</t>
  </si>
  <si>
    <t>N2</t>
  </si>
  <si>
    <t>OXYGEN</t>
  </si>
  <si>
    <t>O2</t>
  </si>
  <si>
    <t>PHOSGENE</t>
  </si>
  <si>
    <t>CCl2O</t>
  </si>
  <si>
    <t>PROPANE</t>
  </si>
  <si>
    <t>C3H8</t>
  </si>
  <si>
    <t>PROPYLENE</t>
  </si>
  <si>
    <t>C3H6</t>
  </si>
  <si>
    <t>STEAM Saturated</t>
  </si>
  <si>
    <t>H20</t>
  </si>
  <si>
    <t>STEAM Superheated</t>
  </si>
  <si>
    <t>WATER</t>
  </si>
  <si>
    <t>Fluid Name</t>
  </si>
  <si>
    <t>Formula</t>
  </si>
  <si>
    <t>SG</t>
  </si>
  <si>
    <t>Spec. Heat Ratio</t>
  </si>
  <si>
    <t>PED Category</t>
  </si>
  <si>
    <t>PED Module</t>
  </si>
  <si>
    <t>P1 Cond 1 [Barg]</t>
  </si>
  <si>
    <t>P2 Cond 1 [Barg]</t>
  </si>
  <si>
    <t>T. Cond 1</t>
  </si>
  <si>
    <t>P1 Cond 2 [Barg]</t>
  </si>
  <si>
    <t>P2 Cond 2 [Barg]</t>
  </si>
  <si>
    <t>T. Cond 2</t>
  </si>
  <si>
    <t>P1 Cond 3 [Barg]</t>
  </si>
  <si>
    <t>P2 Cond 3 [Barg]</t>
  </si>
  <si>
    <t>T. Cond 3</t>
  </si>
  <si>
    <t>P1 Cond 4 [Barg]</t>
  </si>
  <si>
    <t>P2 Cond 4 [Barg]</t>
  </si>
  <si>
    <t>T. Cond 4</t>
  </si>
  <si>
    <t>STD Density [Kg/Nm3]</t>
  </si>
  <si>
    <t>Fonte</t>
  </si>
  <si>
    <t>Conval</t>
  </si>
  <si>
    <t>P!</t>
  </si>
  <si>
    <t>C2H2</t>
  </si>
  <si>
    <t>MW [Kg/kmol]</t>
  </si>
  <si>
    <t>NH3</t>
  </si>
  <si>
    <t>Neon , Krypton</t>
  </si>
  <si>
    <t>Ne</t>
  </si>
  <si>
    <t>H2S</t>
  </si>
  <si>
    <t>SO2</t>
  </si>
  <si>
    <t>Ref. T (for Density) [°C]</t>
  </si>
  <si>
    <t>Critical T. [°C]</t>
  </si>
  <si>
    <t>Crit. P [Bar a]</t>
  </si>
  <si>
    <t>Density [lbm/ft3]</t>
  </si>
  <si>
    <t>Liquid / Gas</t>
  </si>
  <si>
    <t>STD Density P! [Kg/m3]</t>
  </si>
  <si>
    <t>Nitrogen (Nitric) Oxide</t>
  </si>
  <si>
    <t>NOx</t>
  </si>
  <si>
    <t>NITROUS OXIDE</t>
  </si>
  <si>
    <t>N2O</t>
  </si>
  <si>
    <t>Valori in ROSSO corretti con Conval1. Utilizzati valori a 25°C (dove possibile)</t>
  </si>
  <si>
    <t xml:space="preserve">Other : </t>
  </si>
  <si>
    <t>Crit Press</t>
  </si>
  <si>
    <t>Liquid? / Gas</t>
  </si>
  <si>
    <t>Spec. Weight</t>
  </si>
  <si>
    <t>GAS  Conversion from volume flow to mass flow with MOLAR MASS</t>
  </si>
  <si>
    <t>Flowrate unit</t>
  </si>
  <si>
    <t>LIQUID  Conversion from MASS flow to VOLUME flow with MOLAR MASS</t>
  </si>
  <si>
    <t>legenda cavitation:</t>
  </si>
  <si>
    <t>MAX Filtro Formula With/Without flow limit</t>
  </si>
  <si>
    <t>NOR Filtro Formula With/Without flow limit</t>
  </si>
  <si>
    <t>MIN Filtro Formula With/Without flow limit</t>
  </si>
  <si>
    <t>MAX check if Partial Cav. Occurs</t>
  </si>
  <si>
    <t>NOR check if Partial Cav. Occurs</t>
  </si>
  <si>
    <t>MIN check if Partial Cav. Occurs</t>
  </si>
  <si>
    <t>MAX check if Maximum Cav. Occurs</t>
  </si>
  <si>
    <t>NOR check if Maximum Cav. Occurs</t>
  </si>
  <si>
    <t>MIN check if Maximum Cav. Occurs</t>
  </si>
  <si>
    <t>NO CAVITATION</t>
  </si>
  <si>
    <t>MAX Chocked Flow Check</t>
  </si>
  <si>
    <t>NO CHOCKED FLOW</t>
  </si>
  <si>
    <r>
      <rPr>
        <b/>
        <sz val="10"/>
        <rFont val="Arial"/>
        <family val="2"/>
      </rPr>
      <t>Ff =</t>
    </r>
    <r>
      <rPr>
        <sz val="10"/>
        <rFont val="Arial"/>
        <family val="2"/>
      </rPr>
      <t xml:space="preserve"> Critical P. Ratio Ff calculation</t>
    </r>
  </si>
  <si>
    <t>MAX  zy = Character. P. Ratio when cav. Start (xFz)</t>
  </si>
  <si>
    <t>NOR  zy = Character. P. Ratio when cav. Start (xFz)</t>
  </si>
  <si>
    <t>MIN  zy = Character. P. Ratio when cav. Start (xFz)</t>
  </si>
  <si>
    <t>CHOCKED FLOW ! ! ! !</t>
  </si>
  <si>
    <t>MAXIMUM CAVITATION ! ! ! !</t>
  </si>
  <si>
    <t>PARTIAL CAVITATION ! !</t>
  </si>
  <si>
    <t>MAX σ (sigma) for given process condition</t>
  </si>
  <si>
    <t>NOR σ (sigma) for given process condition</t>
  </si>
  <si>
    <t>MIN σ (sigma) for given process condition</t>
  </si>
  <si>
    <t>Maximum Cav. DP limit</t>
  </si>
  <si>
    <t>NOR Chocked Flow Check</t>
  </si>
  <si>
    <t>MIN Chocked Flow Check</t>
  </si>
  <si>
    <t>MAX KV</t>
  </si>
  <si>
    <t>NOR KV</t>
  </si>
  <si>
    <t>MIN KV</t>
  </si>
  <si>
    <t>Flow coefficient</t>
  </si>
  <si>
    <t>CV</t>
  </si>
  <si>
    <t>KV</t>
  </si>
  <si>
    <t>DENSITA' VARIABILE</t>
  </si>
  <si>
    <t>PER TEMP.</t>
  </si>
  <si>
    <t>Xt</t>
  </si>
  <si>
    <t>Valori in rosso non esatti o da correggere in manuale</t>
  </si>
  <si>
    <t>MAX Kv for 2-Phase Fluid Liquid/Gas</t>
  </si>
  <si>
    <t>NOR Kv for 2-Phase Fluid Liquid/Gas</t>
  </si>
  <si>
    <t>MIN Kv for 2-Phase Fluid Liquid/Gas</t>
  </si>
  <si>
    <t>2-Phased Flow :</t>
  </si>
  <si>
    <t>MAX Kv for 2-Phase Fluid Liquid/Vapor</t>
  </si>
  <si>
    <t>NOR Kv for 2-Phase Fluid Liquid/Vapor</t>
  </si>
  <si>
    <t>MIN Kv for 2-Phase Fluid Liquid/Vapor</t>
  </si>
  <si>
    <t>Xv factor increase with</t>
  </si>
  <si>
    <t>linear characteristic.</t>
  </si>
  <si>
    <t>Xv = Kk factor as per</t>
  </si>
  <si>
    <t>Schmidt Theory</t>
  </si>
  <si>
    <t>v2.6</t>
  </si>
  <si>
    <t>* Error in valid region for function tc_ptrho</t>
  </si>
  <si>
    <t>Prandtl</t>
  </si>
  <si>
    <t>Pressure as a function of h and rho (density). Very unaccurate for solid water region since it's almost incompressible!</t>
  </si>
  <si>
    <t>News in V2.2</t>
  </si>
  <si>
    <t>* Function p_hrho added. (Very good for calcualting pressure when heating a volume with water/steam mixture.)</t>
  </si>
  <si>
    <t>* Fixed error in Cp_ph</t>
  </si>
  <si>
    <t>Dynamic Viscosity</t>
  </si>
  <si>
    <t>Calcualted as Cp*my/tc</t>
  </si>
  <si>
    <t>* Prandtl number added</t>
  </si>
  <si>
    <t>* Extensive testing</t>
  </si>
  <si>
    <t>-</t>
  </si>
  <si>
    <t>Version history</t>
  </si>
  <si>
    <t>* Fixed error in T_hs return no value for vet region bellow the water saturation line.</t>
  </si>
  <si>
    <t>News in V2.3</t>
  </si>
  <si>
    <t>* my_ph not defined in region 4.</t>
  </si>
  <si>
    <t>* Problems at region border for h4V_p to adress solver problems at the exact border.</t>
  </si>
  <si>
    <t>* Option Explicit, gives more efficient calculations.</t>
  </si>
  <si>
    <t>* Problem at fast border check in region_ph fixed.</t>
  </si>
  <si>
    <t>News in V2.4</t>
  </si>
  <si>
    <t>* Matlab error giving varaible undefined in some backwards solutions fixed.</t>
  </si>
  <si>
    <t xml:space="preserve"> p_hrho</t>
  </si>
  <si>
    <t xml:space="preserve"> p_hs</t>
  </si>
  <si>
    <t xml:space="preserve"> psat_T</t>
  </si>
  <si>
    <t xml:space="preserve"> T_hs</t>
  </si>
  <si>
    <t xml:space="preserve"> T_ph</t>
  </si>
  <si>
    <t xml:space="preserve"> Tsat_p</t>
  </si>
  <si>
    <t xml:space="preserve"> T_ps</t>
  </si>
  <si>
    <t xml:space="preserve"> hV_p</t>
  </si>
  <si>
    <t xml:space="preserve"> hL_p</t>
  </si>
  <si>
    <t xml:space="preserve"> hV_T</t>
  </si>
  <si>
    <t xml:space="preserve"> hL_T</t>
  </si>
  <si>
    <t xml:space="preserve"> h_pT</t>
  </si>
  <si>
    <t xml:space="preserve"> h_ps</t>
  </si>
  <si>
    <t xml:space="preserve"> h_px</t>
  </si>
  <si>
    <t xml:space="preserve"> h_Tx</t>
  </si>
  <si>
    <t xml:space="preserve"> h_prho</t>
  </si>
  <si>
    <t xml:space="preserve"> vV_p</t>
  </si>
  <si>
    <t xml:space="preserve"> vL_p</t>
  </si>
  <si>
    <t xml:space="preserve"> vV_T</t>
  </si>
  <si>
    <t xml:space="preserve"> vL_T</t>
  </si>
  <si>
    <t xml:space="preserve"> v_pT</t>
  </si>
  <si>
    <t xml:space="preserve"> v_ph</t>
  </si>
  <si>
    <t xml:space="preserve"> v_ps</t>
  </si>
  <si>
    <t xml:space="preserve"> rhoV_p</t>
  </si>
  <si>
    <t xml:space="preserve"> rhoL_p</t>
  </si>
  <si>
    <t xml:space="preserve"> rhoV_T</t>
  </si>
  <si>
    <t xml:space="preserve"> rhoL_T</t>
  </si>
  <si>
    <t xml:space="preserve"> rho_pT</t>
  </si>
  <si>
    <t xml:space="preserve"> rho_ph</t>
  </si>
  <si>
    <t xml:space="preserve"> rho_ps</t>
  </si>
  <si>
    <t xml:space="preserve"> sV_p</t>
  </si>
  <si>
    <t xml:space="preserve"> sL_p</t>
  </si>
  <si>
    <t xml:space="preserve"> sV_T</t>
  </si>
  <si>
    <t xml:space="preserve"> sL_T</t>
  </si>
  <si>
    <t xml:space="preserve"> s_pT</t>
  </si>
  <si>
    <t xml:space="preserve"> s_ph</t>
  </si>
  <si>
    <t xml:space="preserve"> uV_p</t>
  </si>
  <si>
    <t xml:space="preserve"> uL_p</t>
  </si>
  <si>
    <t xml:space="preserve"> uV_T</t>
  </si>
  <si>
    <t xml:space="preserve"> uL_T</t>
  </si>
  <si>
    <t xml:space="preserve"> u_pT</t>
  </si>
  <si>
    <t xml:space="preserve"> u_ph</t>
  </si>
  <si>
    <t xml:space="preserve"> u_ps</t>
  </si>
  <si>
    <t xml:space="preserve"> CpV_p</t>
  </si>
  <si>
    <t xml:space="preserve"> CpL_p</t>
  </si>
  <si>
    <t xml:space="preserve"> CpV_T</t>
  </si>
  <si>
    <t xml:space="preserve"> CpL_T</t>
  </si>
  <si>
    <t xml:space="preserve"> Cp_pT</t>
  </si>
  <si>
    <t xml:space="preserve"> Cp_ph</t>
  </si>
  <si>
    <t xml:space="preserve"> Cp_ps</t>
  </si>
  <si>
    <t xml:space="preserve"> CvV_p</t>
  </si>
  <si>
    <t xml:space="preserve"> CvL_p</t>
  </si>
  <si>
    <t xml:space="preserve"> CvV_T</t>
  </si>
  <si>
    <t xml:space="preserve"> CvL_T</t>
  </si>
  <si>
    <t xml:space="preserve"> Cv_pT</t>
  </si>
  <si>
    <t xml:space="preserve"> Cv_ph</t>
  </si>
  <si>
    <t xml:space="preserve"> Cv_ps</t>
  </si>
  <si>
    <t xml:space="preserve"> wV_p</t>
  </si>
  <si>
    <t xml:space="preserve"> wL_p</t>
  </si>
  <si>
    <t xml:space="preserve"> wV_T</t>
  </si>
  <si>
    <t xml:space="preserve"> wL_T</t>
  </si>
  <si>
    <t xml:space="preserve"> w_pT</t>
  </si>
  <si>
    <t xml:space="preserve"> w_ph</t>
  </si>
  <si>
    <t xml:space="preserve"> w_ps</t>
  </si>
  <si>
    <t xml:space="preserve"> my_pT</t>
  </si>
  <si>
    <t xml:space="preserve"> my_ph</t>
  </si>
  <si>
    <t xml:space="preserve"> my_ps</t>
  </si>
  <si>
    <t xml:space="preserve"> pr_pT</t>
  </si>
  <si>
    <t xml:space="preserve"> pr_ph</t>
  </si>
  <si>
    <t xml:space="preserve"> tcL_p</t>
  </si>
  <si>
    <t xml:space="preserve"> tcV_p</t>
  </si>
  <si>
    <t xml:space="preserve"> tcL_T</t>
  </si>
  <si>
    <t xml:space="preserve"> tcV_T</t>
  </si>
  <si>
    <t xml:space="preserve"> tc_pT</t>
  </si>
  <si>
    <t xml:space="preserve"> tc_ph</t>
  </si>
  <si>
    <t xml:space="preserve"> tc_hs</t>
  </si>
  <si>
    <t xml:space="preserve"> st_T</t>
  </si>
  <si>
    <t xml:space="preserve"> st_p</t>
  </si>
  <si>
    <t xml:space="preserve"> x_ph</t>
  </si>
  <si>
    <t xml:space="preserve"> x_ps</t>
  </si>
  <si>
    <t xml:space="preserve"> vx_ph</t>
  </si>
  <si>
    <t xml:space="preserve"> vx_ps</t>
  </si>
  <si>
    <t>* OpenOffice version introduced. (Fixed calculation differences in open office and excel)</t>
  </si>
  <si>
    <t>* Many missing ; in matlab causing printouts detected.</t>
  </si>
  <si>
    <t>* Functions by p,rho inplemented in matlab also.</t>
  </si>
  <si>
    <t>News in V2.4a</t>
  </si>
  <si>
    <t>* ToSIUnit for h_ps region 4. (No effect in SI unit version).</t>
  </si>
  <si>
    <t>* Fixed small error in Cv Region 5 p&gt;1000bar</t>
  </si>
  <si>
    <t>News in V2.5</t>
  </si>
  <si>
    <t>* Freebasic translation</t>
  </si>
  <si>
    <t>* DLL distrubution for use in other applications</t>
  </si>
  <si>
    <t>* Error in function h3_pt for temperatures near the saturation point.</t>
  </si>
  <si>
    <t>News in V2.6</t>
  </si>
  <si>
    <t>Speed of sound as a function of pressure and entropy.</t>
  </si>
  <si>
    <t>Viscosity as a function of pressure and temperature.</t>
  </si>
  <si>
    <t>Viscosity as a function of pressure and enthalpy</t>
  </si>
  <si>
    <t>Viscosity as a function of pressure and entropy.</t>
  </si>
  <si>
    <t>Vapour fraction as a function of pressure and enthalpy</t>
  </si>
  <si>
    <t>Vapour fraction as a function of pressure and entropy.</t>
  </si>
  <si>
    <t>Vapour volume fraction as a function of pressure and enthalpy</t>
  </si>
  <si>
    <t>Vapour volume fraction as a function of pressure and entropy.</t>
  </si>
  <si>
    <t>* Calling functions of h and s added.</t>
  </si>
  <si>
    <t>* Calling functions h_px and h_tx added.</t>
  </si>
  <si>
    <t>* Cp, Cv and w undefined in the mixed region. (Before interpolation with the vapor fraction was used.)</t>
  </si>
  <si>
    <t>* A work sheet "Properties" for simple lookups added.</t>
  </si>
  <si>
    <t>Vapour Volume Fraction</t>
  </si>
  <si>
    <t>Viscosity is not part of IAPWS Steam IF97. Equations from "Revised Release on the IAPWS Formulation 1985 for the Viscosity of Ordinary Water Substance", 2003 are used.</t>
  </si>
  <si>
    <t>Specific entropy as a function of pressure and temperature (Returns saturated vapour entalpy if mixture.)</t>
  </si>
  <si>
    <t>Thermal Conductivity</t>
  </si>
  <si>
    <t>Revised release on the IAPS Formulation 1985 for the Thermal Conductivity of ordinary water substance (IAPWS 1998)</t>
  </si>
  <si>
    <t>W/(m K)</t>
  </si>
  <si>
    <t>Saturated vapour thermal conductivity</t>
  </si>
  <si>
    <t>Saturated liquid thermal conductivity</t>
  </si>
  <si>
    <t>Thermal conductivity as a function of pressure and temperature.</t>
  </si>
  <si>
    <t>Thermal conductivity as a function of pressure and enthalpy</t>
  </si>
  <si>
    <t>Thermal conductivity as a function of enthalpy and entropy</t>
  </si>
  <si>
    <t>Surface Tension</t>
  </si>
  <si>
    <t>IAPWS Release on Surface Tension of Ordinary Water Substance, September 1994</t>
  </si>
  <si>
    <t>N/m</t>
  </si>
  <si>
    <t>* Thermal conductivity, Surface tension added</t>
  </si>
  <si>
    <t>Surface tension for two phase water/steam as a function of T</t>
  </si>
  <si>
    <t>The excel scripts are stored inside this workbook. (No extra files are needed. Start from a copy of this workbook. This page can be removed)</t>
  </si>
  <si>
    <t>For error-reporting, feedback, other units etc. contact:</t>
  </si>
  <si>
    <t>Entalpy as a function of pressure and density. Observe for low temperatures (liquid) this equation has 2 solutions. (Not valid!!)</t>
  </si>
  <si>
    <t xml:space="preserve">Excel macros, IF-97 Steam tables. </t>
  </si>
  <si>
    <t>The excel scripts are stored inside this workbook. A complete list of functions for use is available on the "Calling functions" worksheet</t>
  </si>
  <si>
    <t>By: Magnus Holmgren</t>
  </si>
  <si>
    <t>www.x-eng.com</t>
  </si>
  <si>
    <t>Saturation properties given temperature</t>
  </si>
  <si>
    <t>Saturation properties given pressure</t>
  </si>
  <si>
    <t>bar a</t>
  </si>
  <si>
    <t>Liquid</t>
  </si>
  <si>
    <t>Entropy</t>
  </si>
  <si>
    <t>Vapour</t>
  </si>
  <si>
    <t>Vapour enthalpy</t>
  </si>
  <si>
    <t>Vapour density</t>
  </si>
  <si>
    <t>Vapour Entropy</t>
  </si>
  <si>
    <t>vapour Entropy</t>
  </si>
  <si>
    <t>Evaporation energy</t>
  </si>
  <si>
    <t>Properties given pressure and temperature</t>
  </si>
  <si>
    <t>Properties given pressure and enthalpy</t>
  </si>
  <si>
    <t>IF97 Region</t>
  </si>
  <si>
    <t>Phase</t>
  </si>
  <si>
    <t xml:space="preserve">Isobaric heat capacity </t>
  </si>
  <si>
    <t>Speed of sound</t>
  </si>
  <si>
    <t>* Calling function h_prho</t>
  </si>
  <si>
    <t>* Fixed problem with Cv reporting NaN in region 5.</t>
  </si>
  <si>
    <t>* Equivivalent to the Matlab version. (Downloadable from www.x-eng.com)</t>
  </si>
  <si>
    <t>News in V2</t>
  </si>
  <si>
    <t>News in V2.1</t>
  </si>
  <si>
    <t>kJ/kg</t>
  </si>
  <si>
    <t>m3/kg</t>
  </si>
  <si>
    <t>kJ/(kg K)</t>
  </si>
  <si>
    <t>m/s</t>
  </si>
  <si>
    <t>Enthalpy</t>
  </si>
  <si>
    <t>Temperature</t>
  </si>
  <si>
    <t>kg/m3</t>
  </si>
  <si>
    <t>bar</t>
  </si>
  <si>
    <t>°C</t>
  </si>
  <si>
    <t xml:space="preserve">Specific entropy </t>
  </si>
  <si>
    <t>Density</t>
  </si>
  <si>
    <t xml:space="preserve">Specific internal energy </t>
  </si>
  <si>
    <t xml:space="preserve">Specific isobaric heat capacity </t>
  </si>
  <si>
    <t xml:space="preserve">Speed of sound </t>
  </si>
  <si>
    <t xml:space="preserve">Specific isochoric heat capacity </t>
  </si>
  <si>
    <t>Pressure</t>
  </si>
  <si>
    <t>Saturation temperature</t>
  </si>
  <si>
    <t>Saturation pressure</t>
  </si>
  <si>
    <t>Specific volume</t>
  </si>
  <si>
    <t>Saturated vapour enthalpy</t>
  </si>
  <si>
    <t>Saturated vapour volume</t>
  </si>
  <si>
    <t>Saturated vapour density</t>
  </si>
  <si>
    <t>Saturated vapour entropy</t>
  </si>
  <si>
    <t>Saturated vapour internal energy</t>
  </si>
  <si>
    <t>Saturated liquid enthalpy</t>
  </si>
  <si>
    <t>Saturated liquid volume</t>
  </si>
  <si>
    <t>Saturated liquid density</t>
  </si>
  <si>
    <t>Saturated liquid entropy</t>
  </si>
  <si>
    <t>Saturated liquid internal energy</t>
  </si>
  <si>
    <t xml:space="preserve">Saturated liquid heat capacity </t>
  </si>
  <si>
    <t xml:space="preserve">Saturated vapour heat capacity </t>
  </si>
  <si>
    <t>Saturated liquid isochoric heat capacity</t>
  </si>
  <si>
    <t>Saturated vapour isochoric heat capacity</t>
  </si>
  <si>
    <t>Saturated liquid speed of sound</t>
  </si>
  <si>
    <t>Saturated vapour speed of sound</t>
  </si>
  <si>
    <t>Vapour fraction</t>
  </si>
  <si>
    <t>Pa s</t>
  </si>
  <si>
    <t>%</t>
  </si>
  <si>
    <t>gets close to the accurancy of steam IF-97</t>
  </si>
  <si>
    <t>Viscosity in the mixed region (4) is interpolated according to the density. This is not true since it will be two fases.</t>
  </si>
  <si>
    <t>OBS: This workbook uses macros. Set security options in Tools:Macro:Security… to enable macros.</t>
  </si>
  <si>
    <t>Temperture as a function of pressure and enthalpy</t>
  </si>
  <si>
    <t>Temperture as a function of pressure and entropy</t>
  </si>
  <si>
    <t>Entalpy as a function of pressure and temperature.</t>
  </si>
  <si>
    <t>Entalpy as a function of pressure and entropy.</t>
  </si>
  <si>
    <t>Observe that vapour volume fraction is very sensitive. Vapour volume is about 1000 times greater than liquid volume and therfore vapour volume fraction</t>
  </si>
  <si>
    <t>The steam tables are free and provided as is. We take no responsibilities for any errors in the code or damage thereby.</t>
  </si>
  <si>
    <t>kJ/kgK</t>
  </si>
  <si>
    <t>X Steam Tables</t>
  </si>
  <si>
    <t>http://www.x-eng.com</t>
  </si>
  <si>
    <t xml:space="preserve">Steam tables by Magnus Holmgren according to IAPWS IF-97 </t>
  </si>
  <si>
    <t xml:space="preserve">Pressure as a function of h and s. </t>
  </si>
  <si>
    <t>magnus@x-eng.com</t>
  </si>
  <si>
    <t>kJ/(kg°C)</t>
  </si>
  <si>
    <t>Entalpy as a function of pressure and vapour fraction</t>
  </si>
  <si>
    <t>Entalpy as a function of temperature and vapour fraction</t>
  </si>
  <si>
    <t>Temperture as a function of enthalpy and entropy</t>
  </si>
  <si>
    <t>Specific volume as a function of pressure and temperature.</t>
  </si>
  <si>
    <t>Specific volume as a function of pressure and enthalpy</t>
  </si>
  <si>
    <t>Specific volume as a function of pressure and entropy.</t>
  </si>
  <si>
    <t>Density as a function of pressure and temperature.</t>
  </si>
  <si>
    <t>Density as a function of pressure and enthalpy</t>
  </si>
  <si>
    <t>Density as a function of pressure and entropy.</t>
  </si>
  <si>
    <t>Specific entropy as a function of pressure and enthalpy</t>
  </si>
  <si>
    <t>Specific internal energy as a function of pressure and temperature.</t>
  </si>
  <si>
    <t>Specific internal energy as a function of pressure and enthalpy</t>
  </si>
  <si>
    <t>Specific internal energy as a function of pressure and entropy.</t>
  </si>
  <si>
    <t>Specific isobaric heat capacity as a function of pressure and temperature.</t>
  </si>
  <si>
    <t>Specific isobaric heat capacity as a function of pressure and enthalpy</t>
  </si>
  <si>
    <t>Specific isobaric heat capacity as a function of pressure and entropy.</t>
  </si>
  <si>
    <t>Specific isochoric heat capacity as a function of pressure and temperature.</t>
  </si>
  <si>
    <t>Specific isochoric heat capacity as a function of pressure and enthalpy</t>
  </si>
  <si>
    <t>Specific isochoric heat capacity as a function of pressure and entropy.</t>
  </si>
  <si>
    <t>Speed of sound as a function of pressure and temperature.</t>
  </si>
  <si>
    <t>Speed of sound as a function of pressure and enthalpy</t>
  </si>
  <si>
    <r>
      <t xml:space="preserve">Limitations of data:   1&lt;Kv&lt;6000     0,001&lt;xf or rather xg &lt; 1,0 (flashing is not taken into consideration)     La </t>
    </r>
    <r>
      <rPr>
        <sz val="10"/>
        <rFont val="Calibri"/>
        <family val="2"/>
      </rPr>
      <t>≥</t>
    </r>
    <r>
      <rPr>
        <sz val="10"/>
        <rFont val="Arial"/>
        <family val="2"/>
      </rPr>
      <t xml:space="preserve"> 20   w&lt;10m/s / 0,3 Mach</t>
    </r>
  </si>
  <si>
    <t>Gases and vapors</t>
  </si>
  <si>
    <t>Liquids</t>
  </si>
  <si>
    <t>Calculation of the A-weighted outer sound pressure level in the lateral distance of 1 m on the outlet
of the valve</t>
  </si>
  <si>
    <t>ηg =  Conversion coefficient for gases (when y = 0,75)</t>
  </si>
  <si>
    <t>ηf =  Conversion coefficient for liquids (when y = 0,75)</t>
  </si>
  <si>
    <t>ρ1 =  density (at p1 and t1)   [Kg/m3]</t>
  </si>
  <si>
    <t>ΔRm =  Coefficient of correction for the thickness of the pipe wall</t>
  </si>
  <si>
    <t>ΔLg =  Valve Specific coefficient of correction of gaseous and vaporous mediums   [dB(A)]</t>
  </si>
  <si>
    <t>ΔLf =  Valve Specific coefficient of correction of liquid mediums   [dB(A)]</t>
  </si>
  <si>
    <t>zy =  Differential pressure ratio when cavitation starts</t>
  </si>
  <si>
    <t>xg =  Differential pressure ratio for gases and vapors</t>
  </si>
  <si>
    <t>xf =  Differential pressure ratio for liquids</t>
  </si>
  <si>
    <t>w =  Flow velocity of the medium   [m/s]</t>
  </si>
  <si>
    <t>t1 =  Inlet temperature   [°C]</t>
  </si>
  <si>
    <t>s =  thickness of the pipe wall   [mm]</t>
  </si>
  <si>
    <t>Re =  Reynolds-number</t>
  </si>
  <si>
    <t>pv =  Absolute vapor pressure of the liquid   [bar]</t>
  </si>
  <si>
    <t>p2 =  Absolute outlet pressure   [bar]</t>
  </si>
  <si>
    <t>p1 =  Absolute inlet pressure   [bar]</t>
  </si>
  <si>
    <t>Lw =  Non-weighted level of sound power   [dB]</t>
  </si>
  <si>
    <t>Lpa =  A-weighted sound pressure level   [dB(A)]</t>
  </si>
  <si>
    <t>Kv =  Flow coefficient   [m3/h]</t>
  </si>
  <si>
    <t>G2 =  Exponent for gases</t>
  </si>
  <si>
    <t>G1 =  Exponent for gases</t>
  </si>
  <si>
    <t>F2 =  Exponent for liquids</t>
  </si>
  <si>
    <t>F1 =  Exponent for liquids</t>
  </si>
  <si>
    <t>Legenda:</t>
  </si>
  <si>
    <r>
      <t>Reynolds-number for a pipe   Re = (w*di)/</t>
    </r>
    <r>
      <rPr>
        <sz val="10"/>
        <rFont val="Calibri"/>
        <family val="2"/>
      </rPr>
      <t>ϒ</t>
    </r>
  </si>
  <si>
    <t>Sound Level</t>
  </si>
  <si>
    <t>Saltato paragrafo "Perdite di Pressione sull'impianto"</t>
  </si>
  <si>
    <t>Kv value of the two-phased mixtures   Kvgemisch = (Kvflussig+Kvgas-dampf)*(1+Kk)</t>
  </si>
  <si>
    <t>Ratio of the vapor volume   Xv = v"/(v"+v1flussig*((1-Xd)/Xd))</t>
  </si>
  <si>
    <t>Ratio of the gas volume   Xv = Qngas/(((285*Qflussig*p1)/T1)+Qngas)</t>
  </si>
  <si>
    <t>Multiphased flow</t>
  </si>
  <si>
    <r>
      <rPr>
        <u/>
        <sz val="10"/>
        <rFont val="Arial"/>
        <family val="2"/>
      </rPr>
      <t>Steam:</t>
    </r>
    <r>
      <rPr>
        <sz val="10"/>
        <rFont val="Arial"/>
        <family val="2"/>
      </rPr>
      <t xml:space="preserve">    Kv = (W/31,6)*√((2*v")/p1)     W = 31,6*Kv*√(p1/(2*v"))   v" at (p1)/2 and t1</t>
    </r>
  </si>
  <si>
    <t>Reynolds-number for a pipe</t>
  </si>
  <si>
    <t>A-weighted outer SPL at 1 m on the outletof the valve:</t>
  </si>
  <si>
    <t>LIQUIDS</t>
  </si>
  <si>
    <t>Free from cavitation  Xf ≤ zy</t>
  </si>
  <si>
    <t>Cavitation  Xf &gt; zy</t>
  </si>
  <si>
    <t>GASES AND VAPORS</t>
  </si>
  <si>
    <t>Limitations:  1&lt;Kv&lt;6000   ;   0,001&lt;Xf or Xg&lt;1,0 (flashing not considered)   ;   La ≥ 20</t>
  </si>
  <si>
    <t>w ≤ 10 m/s (liquids or w ≤ 0,3 Mach (gas and vapors)</t>
  </si>
  <si>
    <t>An acoustic and convenient direction of the pipe is a requirement for low sound levels. Appropriate</t>
  </si>
  <si>
    <t>outflow zones before and after the valve should be provided, because pipe mountings (elbow, Tpieces</t>
  </si>
  <si>
    <t>and such) affect the noise development negatively. A flow which is free of twists and an</t>
  </si>
  <si>
    <t>appropriate free outflow zone must be taken into consideration.</t>
  </si>
  <si>
    <t>The sound pressure level of single-seat control valves for liquids, vapor and gases are generally</t>
  </si>
  <si>
    <t xml:space="preserve"> calculated according to DIN/EN 60534-8-3 for aerodynamic noise prediction and DIN/EN 60534-8-4 </t>
  </si>
  <si>
    <t>for prediction of noise generated by hydrodynamic flow or the VDMA 24 422.</t>
  </si>
  <si>
    <t xml:space="preserve">Noise emission of gases and vapors increases with the increasing differential pressure ratio cause </t>
  </si>
  <si>
    <t xml:space="preserve">of: turbulences, jet noise and in the over critical range through shock waves, at first stronger and </t>
  </si>
  <si>
    <t>then bit by bit. Erratic changes of the sound pressure level (e.g. liquids) do not occur</t>
  </si>
  <si>
    <t xml:space="preserve">Critical number is 2320 The flow is always laminar below this value. Laminar flow can occur in a </t>
  </si>
  <si>
    <t>range between 2320 and 4000, if no failure occurs. If the Reynolds-Number is higher than 4000,</t>
  </si>
  <si>
    <t xml:space="preserve"> turbulent flow is guaranteed.</t>
  </si>
  <si>
    <t>Recommendation for outflow zones at a pressure reduction of gases and vapors:</t>
  </si>
  <si>
    <t>1)  2 times DN (but at least 0.3 m) before the valve</t>
  </si>
  <si>
    <t>2)  6 times DN (but at least 0.5 m) after the valve</t>
  </si>
  <si>
    <t>If several sources of sound are available, the whole so sound pressure level increases. Two sources</t>
  </si>
  <si>
    <t>of sound which are equal intensive have an about 3 dB(A) higher sound pressure level</t>
  </si>
  <si>
    <t>Sound pressure level with several sources of sound:</t>
  </si>
  <si>
    <t>LpAges = 10*lg(10^0,1*LpA1 + 10^0,1*LpA2 + 10^0,1*LpAn...)</t>
  </si>
  <si>
    <t>If the sound pressure level is too high, suitable measures must be done in order to reduce sound</t>
  </si>
  <si>
    <t>development, sound propagation or sound radiation.</t>
  </si>
  <si>
    <t>In order to prevent high sound level, unpleasant or even resonances which damage the material, a</t>
  </si>
  <si>
    <t>flow convenient pipe design is required. Edges must be avoided and appropriate outflow zones before</t>
  </si>
  <si>
    <t>and after the valve should be provided. Pipe mountings such as expansions, reducers, T-pieces or</t>
  </si>
  <si>
    <t>elbows are considerably involved in the sound development. This influence of the pipe mountings is</t>
  </si>
  <si>
    <t>however low for over-designed pipes or low load. Low flow velocities have an acoustic and convenient</t>
  </si>
  <si>
    <t>influence.</t>
  </si>
  <si>
    <t>Primary measures for a noise reduction</t>
  </si>
  <si>
    <t>The sound pressure level in a control valve can be reduced with noise reducing mountings. The</t>
  </si>
  <si>
    <t>internals should possibly convert as much velocity energy as possible into heat and not into sound or</t>
  </si>
  <si>
    <t>vibrations. This happens primarily because of multiple direction change, multiple expansion and</t>
  </si>
  <si>
    <t>compression of the medium flow, gradual relief or a combination of these possibilities. A further noise</t>
  </si>
  <si>
    <t>reduction can be achieved through a shortening of the open jet after the restriction area or through a</t>
  </si>
  <si>
    <t>displacement of the frequency spectrum to higher frequencies, which can be better damped by the</t>
  </si>
  <si>
    <t>pipe.</t>
  </si>
  <si>
    <t>Perforated closure member</t>
  </si>
  <si>
    <t>The split-up of the medium into many branch currents and the out of it resulting open jet shortening</t>
  </si>
  <si>
    <t>and frequency shift of the sound pressure level (compared to a parabolic plug), especially in the</t>
  </si>
  <si>
    <t>critical differential pressure range, can clearly be reduced with a perforated closure member.</t>
  </si>
  <si>
    <t>The smaller the drilling in the surface area, the higher is the sonic degree of efficiency. The minimum</t>
  </si>
  <si>
    <t>intervals of the drilling must be carefully chosen in order to prevent a collection of jets, which would</t>
  </si>
  <si>
    <t>adversely affect the sound reduction.</t>
  </si>
  <si>
    <t>The noise reduction of a perforated closure member compared to a parabolic plug can be up to</t>
  </si>
  <si>
    <t>15 dB(A) depending on the differential pressure ratio. The perforated plug flows in countercurrent to</t>
  </si>
  <si>
    <t>the flow for gases and vapors and for liquids towards the closing position.</t>
  </si>
  <si>
    <t>Multi-staged relief</t>
  </si>
  <si>
    <t>Reductions of the sound pressure level through a split-up of the restriction area in several stages can</t>
  </si>
  <si>
    <t>be achieved with another construction principle; the energy conversion per restriction area is reduced.</t>
  </si>
  <si>
    <t>A clear reduction of the velocity’s top levels is guaranteed compared to a single relief.</t>
  </si>
  <si>
    <t>The best results can be achieved when the gradual relief is matched so that cavation can be</t>
  </si>
  <si>
    <t>prevented (liquids) or no over-critical relief occurs (gas and vapors).</t>
  </si>
  <si>
    <t>FORMULA SPL</t>
  </si>
  <si>
    <t>Reynolds-number for pipe</t>
  </si>
  <si>
    <t>di = Inside diameter of the pipe [mm]</t>
  </si>
  <si>
    <r>
      <t>Re = (w*di)/</t>
    </r>
    <r>
      <rPr>
        <b/>
        <sz val="10"/>
        <rFont val="Calibri"/>
        <family val="2"/>
      </rPr>
      <t>ϒ   ;    γ = η/ρ</t>
    </r>
  </si>
  <si>
    <t>MAX Kvc</t>
  </si>
  <si>
    <t>NOR Kvc</t>
  </si>
  <si>
    <t>MIN Kvc</t>
  </si>
  <si>
    <t>MAX SPL( A) Liquid NO Cav.</t>
  </si>
  <si>
    <t>NOR SPL( A) Liquid NO Cav.</t>
  </si>
  <si>
    <t>MIN SPL( A) Liquid NO Cav.</t>
  </si>
  <si>
    <t>MAX SPL( A) Liquid Cavitation!</t>
  </si>
  <si>
    <t>NOR SPL( A) Liquid Cavitation!</t>
  </si>
  <si>
    <t>MIN SPL( A) Liquid Cavitation!</t>
  </si>
  <si>
    <t>LpA = 14lg Kv+18lg p1 +5lg(273+t1) -5lg ρ+20lglg (p1/p2)+52+ΔLg</t>
  </si>
  <si>
    <t>LpA = 10lg Kv+18lg(p1-pv) - 5lg ρ+18lg (xf/zy)+40</t>
  </si>
  <si>
    <t>To answer your questions:</t>
  </si>
  <si>
    <t>No, the old calculation was not wrong!</t>
  </si>
  <si>
    <t>You need to know, that the old formulas we used were very old.</t>
  </si>
  <si>
    <t>That's why we can say, if the new calculation gives higher required force there will be more safety!</t>
  </si>
  <si>
    <t>That's the reason why our technical department decided to use new formulas acc. to current standards (if I'm right some VDI standards). As the way of calculation is different,</t>
  </si>
  <si>
    <t>there are also some differences in results.</t>
  </si>
  <si>
    <t xml:space="preserve">Although there are different results, we cannot say that one result is correct and the other not. Because in the practice (if you manufacture the valves) there are always tolerances. </t>
  </si>
  <si>
    <t>This means, if you for example manufacture 10 identical valves and would measure the required force, I'm sure you would have 10 different results!</t>
  </si>
  <si>
    <t>Could you please explain better the “new way” to size the actuators?</t>
  </si>
  <si>
    <t>Did the old calculation wrong or not well sized?</t>
  </si>
  <si>
    <t>Do you change the Sizing Theory from the file here attached?</t>
  </si>
  <si>
    <t>Could we please know the reason of this modification?</t>
  </si>
  <si>
    <t>Please we need to understand to explain to customers if eventually they ask for.</t>
  </si>
  <si>
    <t>AM:</t>
  </si>
  <si>
    <t>Toff:</t>
  </si>
  <si>
    <t>LpA = 10lg Kv+18lg(p1-pv) - 5lg ρ+292*(Xf-zy)^0,75 - -(268+38*zy)*(Xf-zy)^0,935 + 40+ΔLf</t>
  </si>
  <si>
    <t>MAX SPL( A) Gases and Vapors</t>
  </si>
  <si>
    <t>NOR SPL( A) Gases and Vapors</t>
  </si>
  <si>
    <t>MIN SPL( A) Gases and Vapors</t>
  </si>
  <si>
    <t>EXTRA S.F. 15% (VIL 2014 NEW)</t>
  </si>
  <si>
    <t>MAX xF Factor</t>
  </si>
  <si>
    <t>NOR xF Factor</t>
  </si>
  <si>
    <t>MIN xF Factor</t>
  </si>
  <si>
    <t>=%</t>
  </si>
  <si>
    <t>Lin</t>
  </si>
  <si>
    <t>Values from Schmidt Valves Parabolic Plugs full port</t>
  </si>
  <si>
    <t>Characteristic</t>
  </si>
  <si>
    <t>Equalpercent</t>
  </si>
  <si>
    <t>Linear</t>
  </si>
  <si>
    <t>On-Off</t>
  </si>
  <si>
    <t>Bi-Linear</t>
  </si>
  <si>
    <t>Tri-Linear</t>
  </si>
  <si>
    <t>Special</t>
  </si>
  <si>
    <t>zy = xFz</t>
  </si>
  <si>
    <t>Theoretical Value</t>
  </si>
  <si>
    <t>Tested from each MFR</t>
  </si>
  <si>
    <t>These values taken from</t>
  </si>
  <si>
    <t>Parabolic plug, Full Bore</t>
  </si>
  <si>
    <t>at y = 75% of Kvs</t>
  </si>
  <si>
    <t>Implementare valori</t>
  </si>
  <si>
    <t xml:space="preserve">nuove valvole per </t>
  </si>
  <si>
    <t>automatizzare selezione</t>
  </si>
  <si>
    <r>
      <t xml:space="preserve">Operating: free from cavitation   xf </t>
    </r>
    <r>
      <rPr>
        <sz val="10"/>
        <rFont val="Calibri"/>
        <family val="2"/>
      </rPr>
      <t>≤</t>
    </r>
    <r>
      <rPr>
        <sz val="10"/>
        <rFont val="Arial"/>
        <family val="2"/>
      </rPr>
      <t xml:space="preserve"> zy     Lpa = 10lg Kv + 18lg*(p1-pv) - 5lg </t>
    </r>
    <r>
      <rPr>
        <sz val="10"/>
        <rFont val="Calibri"/>
        <family val="2"/>
      </rPr>
      <t>ρ</t>
    </r>
    <r>
      <rPr>
        <sz val="10"/>
        <rFont val="Arial"/>
        <family val="2"/>
      </rPr>
      <t xml:space="preserve"> + 18lg*(xf/zy) + 40</t>
    </r>
  </si>
  <si>
    <r>
      <t xml:space="preserve">Operating: cavitation   xf &gt; zy     Lpa = 10lg Kv + 18lg*(p1-pv) - 5lg </t>
    </r>
    <r>
      <rPr>
        <sz val="10"/>
        <rFont val="Calibri"/>
        <family val="2"/>
      </rPr>
      <t>ρ</t>
    </r>
    <r>
      <rPr>
        <sz val="10"/>
        <rFont val="Arial"/>
        <family val="2"/>
      </rPr>
      <t xml:space="preserve"> + 292*(xf/zy)^0,75 - (268+38zy)*(xf-zy)^0,935 + 40 + </t>
    </r>
    <r>
      <rPr>
        <sz val="10"/>
        <rFont val="Calibri"/>
        <family val="2"/>
      </rPr>
      <t>Δ</t>
    </r>
    <r>
      <rPr>
        <sz val="10"/>
        <rFont val="Arial"/>
        <family val="2"/>
      </rPr>
      <t>Lf</t>
    </r>
  </si>
  <si>
    <r>
      <t xml:space="preserve">Lpa = 14lg Kv + 18lg*p1 + 5lg*(273+t1) - -5lg </t>
    </r>
    <r>
      <rPr>
        <sz val="10"/>
        <rFont val="Calibri"/>
        <family val="2"/>
      </rPr>
      <t>ρ</t>
    </r>
    <r>
      <rPr>
        <sz val="10"/>
        <rFont val="Arial"/>
        <family val="2"/>
      </rPr>
      <t xml:space="preserve"> + 20lg*lg*(p1/p2) + 52 + ΔLg</t>
    </r>
  </si>
  <si>
    <r>
      <rPr>
        <b/>
        <sz val="18"/>
        <rFont val="Arial"/>
        <family val="2"/>
      </rPr>
      <t>Flow Coefficient Table</t>
    </r>
  </si>
  <si>
    <r>
      <rPr>
        <b/>
        <sz val="9"/>
        <color indexed="9"/>
        <rFont val="Arial"/>
        <family val="2"/>
      </rPr>
      <t>Seat Diameter mm (inch)</t>
    </r>
  </si>
  <si>
    <r>
      <rPr>
        <b/>
        <sz val="9"/>
        <color indexed="9"/>
        <rFont val="Arial"/>
        <family val="2"/>
      </rPr>
      <t>Stroke mm (inch)</t>
    </r>
  </si>
  <si>
    <r>
      <rPr>
        <b/>
        <sz val="9"/>
        <color indexed="9"/>
        <rFont val="Arial"/>
        <family val="2"/>
      </rPr>
      <t>Nominal Diameter</t>
    </r>
  </si>
  <si>
    <r>
      <rPr>
        <sz val="9"/>
        <rFont val="Arial"/>
        <family val="2"/>
      </rPr>
      <t>3 (1/8)</t>
    </r>
  </si>
  <si>
    <r>
      <rPr>
        <sz val="9"/>
        <rFont val="Arial"/>
        <family val="2"/>
      </rPr>
      <t>16 (5/8)</t>
    </r>
  </si>
  <si>
    <r>
      <rPr>
        <sz val="9"/>
        <rFont val="Arial"/>
        <family val="2"/>
      </rPr>
      <t>6 (1/4)</t>
    </r>
  </si>
  <si>
    <r>
      <rPr>
        <sz val="9"/>
        <rFont val="Arial"/>
        <family val="2"/>
      </rPr>
      <t>9 (1/3)</t>
    </r>
  </si>
  <si>
    <r>
      <rPr>
        <sz val="9"/>
        <rFont val="Arial"/>
        <family val="2"/>
      </rPr>
      <t>10 (2/5)</t>
    </r>
  </si>
  <si>
    <r>
      <rPr>
        <sz val="9"/>
        <rFont val="Arial"/>
        <family val="2"/>
      </rPr>
      <t>12 (1/2)</t>
    </r>
  </si>
  <si>
    <r>
      <rPr>
        <sz val="9"/>
        <rFont val="Arial"/>
        <family val="2"/>
      </rPr>
      <t>15 (3/5)</t>
    </r>
  </si>
  <si>
    <r>
      <rPr>
        <sz val="9"/>
        <rFont val="Arial"/>
        <family val="2"/>
      </rPr>
      <t>19 (3/4)</t>
    </r>
  </si>
  <si>
    <r>
      <rPr>
        <sz val="9"/>
        <rFont val="Arial"/>
        <family val="2"/>
      </rPr>
      <t>25 (1.0)</t>
    </r>
  </si>
  <si>
    <r>
      <rPr>
        <sz val="9"/>
        <rFont val="Arial"/>
        <family val="2"/>
      </rPr>
      <t>32 (1.1/4)</t>
    </r>
  </si>
  <si>
    <r>
      <rPr>
        <sz val="9"/>
        <rFont val="Arial"/>
        <family val="2"/>
      </rPr>
      <t>40 (1.1/2)</t>
    </r>
  </si>
  <si>
    <r>
      <rPr>
        <sz val="9"/>
        <rFont val="Arial"/>
        <family val="2"/>
      </rPr>
      <t>50 (2.0)</t>
    </r>
  </si>
  <si>
    <r>
      <rPr>
        <sz val="9"/>
        <rFont val="Arial"/>
        <family val="2"/>
      </rPr>
      <t>64 (2.1/2)</t>
    </r>
  </si>
  <si>
    <r>
      <rPr>
        <sz val="9"/>
        <rFont val="Arial"/>
        <family val="2"/>
      </rPr>
      <t>76 (3.0)</t>
    </r>
  </si>
  <si>
    <r>
      <rPr>
        <sz val="9"/>
        <rFont val="Arial"/>
        <family val="2"/>
      </rPr>
      <t>100 (4.0)</t>
    </r>
  </si>
  <si>
    <r>
      <rPr>
        <sz val="9"/>
        <rFont val="Arial"/>
        <family val="2"/>
      </rPr>
      <t>28 (1.1/9)</t>
    </r>
  </si>
  <si>
    <r>
      <rPr>
        <sz val="9"/>
        <rFont val="Arial"/>
        <family val="2"/>
      </rPr>
      <t>126 (5.0)</t>
    </r>
  </si>
  <si>
    <r>
      <rPr>
        <sz val="9"/>
        <rFont val="Arial"/>
        <family val="2"/>
      </rPr>
      <t>45 (1.7/9</t>
    </r>
  </si>
  <si>
    <r>
      <rPr>
        <sz val="9"/>
        <rFont val="Arial"/>
        <family val="2"/>
      </rPr>
      <t>151 (6.0)</t>
    </r>
  </si>
  <si>
    <r>
      <rPr>
        <sz val="9"/>
        <rFont val="Arial"/>
        <family val="2"/>
      </rPr>
      <t>201 (8.0)</t>
    </r>
  </si>
  <si>
    <r>
      <rPr>
        <b/>
        <sz val="9"/>
        <rFont val="Arial"/>
        <family val="2"/>
      </rPr>
      <t xml:space="preserve">KV </t>
    </r>
    <r>
      <rPr>
        <sz val="9"/>
        <rFont val="Arial"/>
        <family val="2"/>
      </rPr>
      <t>= flowrate in m³/h with 1 bar of differential Pressure</t>
    </r>
  </si>
  <si>
    <r>
      <rPr>
        <b/>
        <sz val="9"/>
        <rFont val="Arial"/>
        <family val="2"/>
      </rPr>
      <t xml:space="preserve">CV </t>
    </r>
    <r>
      <rPr>
        <sz val="9"/>
        <rFont val="Arial"/>
        <family val="2"/>
      </rPr>
      <t>= flowrate in USGPM with 1 psi of differential Pressure</t>
    </r>
  </si>
  <si>
    <t>STATE</t>
  </si>
  <si>
    <t>Calc CV</t>
  </si>
  <si>
    <t>Velocity</t>
  </si>
  <si>
    <t>Valve size</t>
  </si>
  <si>
    <t>Calc Noise</t>
  </si>
  <si>
    <t>Max Vel</t>
  </si>
  <si>
    <t>Column3</t>
  </si>
  <si>
    <t>Column4</t>
  </si>
  <si>
    <t>Column5</t>
  </si>
  <si>
    <t>Eff.Thrust                   KN</t>
  </si>
  <si>
    <t>Supply                              Voltage</t>
  </si>
  <si>
    <t>PL [€]</t>
  </si>
  <si>
    <t>LONG DESCRIPTION</t>
  </si>
  <si>
    <t xml:space="preserve">DELIVERY TIME </t>
  </si>
  <si>
    <t>AVM234</t>
  </si>
  <si>
    <t>Control   On/Off</t>
  </si>
  <si>
    <t>24V AC/DC</t>
  </si>
  <si>
    <t>Sauter AVM234SF132 24VAC/DC 2500N Input &amp; output 0-10V -10°C/+55°C - Safe Area IP66 + M10 adapter (mounted and calibrated)</t>
  </si>
  <si>
    <t>Sauter AVF234SF132/232</t>
  </si>
  <si>
    <t>NA</t>
  </si>
  <si>
    <t>Sauter AVF234SF132 Spring to Open/Close (stem retracted/extended) 24VAC/DC 2000N Input &amp; output 0-10V -10°C/+55°C - Safe Area IP66 + M10 adapter (mounted and calibrated)</t>
  </si>
  <si>
    <t xml:space="preserve">RegadaST0PA                     </t>
  </si>
  <si>
    <t>Control</t>
  </si>
  <si>
    <t>230V AC</t>
  </si>
  <si>
    <t>Regada ST 0PA 1KN 230VAC CONTROL Duty S4-50% 4-20mA input and 4-20mA Feed-back + 2 thrust switch + 2 position switch , Manual Control -25°C/+55°C - Safe Area IP67 (mounted and calibrated)</t>
  </si>
  <si>
    <t xml:space="preserve">RegadaST01PA                                      </t>
  </si>
  <si>
    <t>Regada ST 0.1PA 5KN 230VAC CONTROL Duty S4-50% 4-20mA input and 4-20mA Feed-back + 2 thrust switch + 2 position switch , Manual Control -25°C/+55°C - Safe Area IP67 (mounted and calibrated)</t>
  </si>
  <si>
    <t xml:space="preserve">RegadaST1PA                                    </t>
  </si>
  <si>
    <t>Regada ST 1PA 7KN 230VAC CONTROL Duty S4-50% 4-20mA input and 4-20mA Feed-back + 2 thrust switch + 2 position switch , Manual Control -25°C/+55°C - Safe Area IP67 (mounted and calibrated)</t>
  </si>
  <si>
    <t xml:space="preserve">RegadaST2PA                             </t>
  </si>
  <si>
    <t>Regada ST 2PA 17KN 230VAC CONTROL Duty S4-50% 4-20mA input and 4-20mA Feed-back + 2 thrust switch + 2 position switch , Manual Control -25°C/+55°C - Safe Area IP67 (mounted and calibrated)</t>
  </si>
  <si>
    <t xml:space="preserve">RegadaSTMINI                      </t>
  </si>
  <si>
    <t>Regada ST MINI 1KN 230VAC ON-OFF 1 thrust switch + 1 position switch , Manual Control -25°C/+55°C - Safe Area IP67 (mounted and calibrated)</t>
  </si>
  <si>
    <t xml:space="preserve">RegadaST01                                      </t>
  </si>
  <si>
    <t>Regada ST 0.1 5KN 230VAC ON-OFF 2 thrust switch + 1 position switch , Manual Control -25°C/+55°C - Safe Area IP67 (mounted and calibrated)</t>
  </si>
  <si>
    <t xml:space="preserve">RegadaST1                                      </t>
  </si>
  <si>
    <t>Regada ST 1 7.5KN 230VAC ON-OFF 2 thrust switch + 2 position switch , Manual Control -25°C/+55°C - Safe Area IP67 (mounted and calibrated)</t>
  </si>
  <si>
    <t xml:space="preserve">RegadaST2                                      </t>
  </si>
  <si>
    <t>Regada ST 2 17KN 230VAC ON-OFF 2 thrust switch + 2 position switch , Manual Control -25°C/+55°C - Safe Area IP67 (mounted and calibrated)</t>
  </si>
  <si>
    <r>
      <t>Eff.Area             Cm</t>
    </r>
    <r>
      <rPr>
        <vertAlign val="superscript"/>
        <sz val="11"/>
        <color indexed="8"/>
        <rFont val="Calibri"/>
        <family val="2"/>
      </rPr>
      <t>2</t>
    </r>
    <r>
      <rPr>
        <sz val="10"/>
        <rFont val="Arial"/>
        <family val="2"/>
      </rPr>
      <t xml:space="preserve">  (in</t>
    </r>
    <r>
      <rPr>
        <vertAlign val="superscript"/>
        <sz val="11"/>
        <color indexed="8"/>
        <rFont val="Calibri"/>
        <family val="2"/>
      </rPr>
      <t>2</t>
    </r>
    <r>
      <rPr>
        <sz val="10"/>
        <rFont val="Arial"/>
        <family val="2"/>
      </rPr>
      <t>)</t>
    </r>
  </si>
  <si>
    <t>Spring Range                            Barg (PSIG)</t>
  </si>
  <si>
    <t>S200A</t>
  </si>
  <si>
    <t>130 (20)</t>
  </si>
  <si>
    <t>0,2 - 1,0                                        (3 - 15)</t>
  </si>
  <si>
    <t>S200B</t>
  </si>
  <si>
    <t>0,4 - 2,0                                        (6 - 30)</t>
  </si>
  <si>
    <t>S275A</t>
  </si>
  <si>
    <t>300 (47)</t>
  </si>
  <si>
    <t>S275B</t>
  </si>
  <si>
    <t>S335A</t>
  </si>
  <si>
    <t>470 (73)</t>
  </si>
  <si>
    <t>S335B</t>
  </si>
  <si>
    <t>S430A</t>
  </si>
  <si>
    <t>740 (115)</t>
  </si>
  <si>
    <t>S430B</t>
  </si>
  <si>
    <t>S430sA</t>
  </si>
  <si>
    <t>0,4 - 1,4                                        (6 - 20)</t>
  </si>
  <si>
    <t>S430sB</t>
  </si>
  <si>
    <t>0,8 - 2,0                                        (12 - 30)</t>
  </si>
  <si>
    <t>S500A</t>
  </si>
  <si>
    <t>1250 (195)</t>
  </si>
  <si>
    <t>S500B</t>
  </si>
  <si>
    <t>ELECTRICAL ACTUATORS</t>
  </si>
  <si>
    <t>shut-off</t>
  </si>
  <si>
    <t>Status Sound</t>
  </si>
  <si>
    <t>Status Velocity</t>
  </si>
  <si>
    <t>Corrected cv</t>
  </si>
  <si>
    <t>Selected</t>
  </si>
  <si>
    <r>
      <t>P</t>
    </r>
    <r>
      <rPr>
        <vertAlign val="superscript"/>
        <sz val="10"/>
        <rFont val="Arial"/>
        <family val="2"/>
      </rPr>
      <t>sat</t>
    </r>
    <r>
      <rPr>
        <sz val="10"/>
        <rFont val="Arial"/>
        <family val="2"/>
      </rPr>
      <t>[mmHg]</t>
    </r>
  </si>
  <si>
    <r>
      <t>tMax[</t>
    </r>
    <r>
      <rPr>
        <vertAlign val="superscript"/>
        <sz val="10"/>
        <rFont val="Arial"/>
        <family val="2"/>
      </rPr>
      <t>o</t>
    </r>
    <r>
      <rPr>
        <sz val="10"/>
        <rFont val="Arial"/>
        <family val="2"/>
      </rPr>
      <t>C]</t>
    </r>
  </si>
  <si>
    <r>
      <t>tMin[</t>
    </r>
    <r>
      <rPr>
        <vertAlign val="superscript"/>
        <sz val="10"/>
        <rFont val="Arial"/>
        <family val="2"/>
      </rPr>
      <t>o</t>
    </r>
    <r>
      <rPr>
        <sz val="10"/>
        <rFont val="Arial"/>
        <family val="2"/>
      </rPr>
      <t>C]</t>
    </r>
  </si>
  <si>
    <t>C</t>
  </si>
  <si>
    <t>B</t>
  </si>
  <si>
    <t>A</t>
  </si>
  <si>
    <r>
      <t>T[</t>
    </r>
    <r>
      <rPr>
        <vertAlign val="superscript"/>
        <sz val="10"/>
        <rFont val="Arial"/>
        <family val="2"/>
      </rPr>
      <t>o</t>
    </r>
    <r>
      <rPr>
        <sz val="10"/>
        <rFont val="Arial"/>
        <family val="2"/>
      </rPr>
      <t>C]</t>
    </r>
  </si>
  <si>
    <r>
      <t>Antoine coefficients for:  log</t>
    </r>
    <r>
      <rPr>
        <vertAlign val="subscript"/>
        <sz val="10"/>
        <rFont val="Arial"/>
        <family val="2"/>
      </rPr>
      <t>10</t>
    </r>
    <r>
      <rPr>
        <sz val="10"/>
        <rFont val="Arial"/>
        <family val="2"/>
      </rPr>
      <t>(P</t>
    </r>
    <r>
      <rPr>
        <vertAlign val="superscript"/>
        <sz val="10"/>
        <rFont val="Arial"/>
        <family val="2"/>
      </rPr>
      <t>sat</t>
    </r>
    <r>
      <rPr>
        <sz val="10"/>
        <rFont val="Arial"/>
        <family val="2"/>
      </rPr>
      <t>[mmHg])=A-B/(T[</t>
    </r>
    <r>
      <rPr>
        <vertAlign val="superscript"/>
        <sz val="10"/>
        <rFont val="Arial"/>
        <family val="2"/>
      </rPr>
      <t>o</t>
    </r>
    <r>
      <rPr>
        <sz val="10"/>
        <rFont val="Arial"/>
        <family val="2"/>
      </rPr>
      <t>C]+C)</t>
    </r>
  </si>
  <si>
    <t>Name</t>
  </si>
  <si>
    <t>Temp</t>
  </si>
  <si>
    <t>vapor pre</t>
  </si>
  <si>
    <t>ETHANOL</t>
  </si>
  <si>
    <t>1-PROPANOL</t>
  </si>
  <si>
    <t>2-PROPANOL</t>
  </si>
  <si>
    <t>1-BUTANOL</t>
  </si>
  <si>
    <t>2-BUTANOL</t>
  </si>
  <si>
    <t>1-OCTANOL</t>
  </si>
  <si>
    <t>ETHYLENE GLYCOL</t>
  </si>
  <si>
    <t>N-BUTANE</t>
  </si>
  <si>
    <t>N-PENTANE</t>
  </si>
  <si>
    <t>N-HEXANE</t>
  </si>
  <si>
    <t>HEXANE</t>
  </si>
  <si>
    <t>N-HEPTANE</t>
  </si>
  <si>
    <t>HEPTANE</t>
  </si>
  <si>
    <t>N-OCTANE</t>
  </si>
  <si>
    <t>N-NONANE</t>
  </si>
  <si>
    <t>N-DECANE</t>
  </si>
  <si>
    <t>DECANE</t>
  </si>
  <si>
    <t>CYCLOHEXANE</t>
  </si>
  <si>
    <t>METHYLCYCLOHEXANE</t>
  </si>
  <si>
    <t>ISOPENTANE</t>
  </si>
  <si>
    <t>TOLUENE</t>
  </si>
  <si>
    <t>M-XYLENE</t>
  </si>
  <si>
    <t>O-XYLENE</t>
  </si>
  <si>
    <t>P-XYLENE</t>
  </si>
  <si>
    <t>ACETONE</t>
  </si>
  <si>
    <t>ACROLEIN</t>
  </si>
  <si>
    <t>ETHYL ACETATE</t>
  </si>
  <si>
    <t>1,4-DIOXANE</t>
  </si>
  <si>
    <t>2-BUTANONE</t>
  </si>
  <si>
    <t>3-PENTANONE</t>
  </si>
  <si>
    <t>ACETONITRILE</t>
  </si>
  <si>
    <t>TRIETHYLAMINE</t>
  </si>
  <si>
    <t>ACETIC ACID</t>
  </si>
  <si>
    <t>CHLOROFORM</t>
  </si>
  <si>
    <t>DICHLOROMETHANE</t>
  </si>
  <si>
    <t>DICHOROMETHANE</t>
  </si>
  <si>
    <t>TETRACHLOROMETHANE</t>
  </si>
  <si>
    <t>1,2-DICHLOROETHANE</t>
  </si>
  <si>
    <t>BENZYL CHLORIDE</t>
  </si>
  <si>
    <t>NITROETHANE</t>
  </si>
  <si>
    <t>BIPHENYL</t>
  </si>
  <si>
    <t>NAPHTHALENE</t>
  </si>
  <si>
    <t>*The relative densities and heating values are those required by Methods 1 and 2 in the GROSS equation of state at the reference state, and are not the values at the specified T and P</t>
  </si>
  <si>
    <t>The method number is added to the end of the similar routines for the Gross method, e.g., DGross1.</t>
  </si>
  <si>
    <t>Method 2 requires these inputs:  Temperature, pressure, mole percent nitrogen, mole percent CO2, and relative density.</t>
  </si>
  <si>
    <t>Method 1 requires these inputs:  Temperature, pressure, mole percent CO2, relative density, and volumetric heating value.</t>
  </si>
  <si>
    <t>Volumetric Heating Value*</t>
  </si>
  <si>
    <t>Mass Heating Value*</t>
  </si>
  <si>
    <t>Molar Heating Value*</t>
  </si>
  <si>
    <t>Rel. Dens.*</t>
  </si>
  <si>
    <t>g/mol</t>
  </si>
  <si>
    <t>Molar Mass</t>
  </si>
  <si>
    <t>Z</t>
  </si>
  <si>
    <t>Method 2</t>
  </si>
  <si>
    <t>Method 1</t>
  </si>
  <si>
    <t>Volumetric heating value</t>
  </si>
  <si>
    <t>Relative density</t>
  </si>
  <si>
    <t>CO2 mole percent</t>
  </si>
  <si>
    <t>Nitrogen mole percent</t>
  </si>
  <si>
    <t>Inputs</t>
  </si>
  <si>
    <t>Calculations from Gross Methods 1 and 2</t>
  </si>
  <si>
    <t>These three routines require one additional input than that for the DDetail etc. routines, this being the letter code of the desired property</t>
  </si>
  <si>
    <t>The letters in Column D above serve both as a simple label for visualization and as an input to the routines PropDetail, PropGross, and PropGERG.</t>
  </si>
  <si>
    <t>K</t>
  </si>
  <si>
    <t>Isentropic exponent</t>
  </si>
  <si>
    <t>JT</t>
  </si>
  <si>
    <t>Joule-Thomson Coefficient</t>
  </si>
  <si>
    <t>G</t>
  </si>
  <si>
    <t>Gibbs Energy</t>
  </si>
  <si>
    <t>W</t>
  </si>
  <si>
    <t>Speed of Sound</t>
  </si>
  <si>
    <t>Cp</t>
  </si>
  <si>
    <t>Isobaric Heat Capacity</t>
  </si>
  <si>
    <t>Isochoric Heat Capacity</t>
  </si>
  <si>
    <t>S</t>
  </si>
  <si>
    <t>H</t>
  </si>
  <si>
    <t>U</t>
  </si>
  <si>
    <t>Energy</t>
  </si>
  <si>
    <t>dPdT</t>
  </si>
  <si>
    <t>dP/dT at constant density</t>
  </si>
  <si>
    <t>d2PdD2</t>
  </si>
  <si>
    <t>d^P/d(rho)^2 at constant T</t>
  </si>
  <si>
    <t>dPdD</t>
  </si>
  <si>
    <t>dP/d(rho) at constant T</t>
  </si>
  <si>
    <t>Compressibility Factor</t>
  </si>
  <si>
    <t>D</t>
  </si>
  <si>
    <t>Mm</t>
  </si>
  <si>
    <t>GERG</t>
  </si>
  <si>
    <t>Detail</t>
  </si>
  <si>
    <t>Other properties</t>
  </si>
  <si>
    <t>Temp.</t>
  </si>
  <si>
    <t>*Cells for C6, C7, C8, C9, and C10 show split for C6+. Compositions for fluids not available in AGA-8 are added to those for the appropriate substitute fluids</t>
  </si>
  <si>
    <t>Order of cells does not have to match that of the AGA-8 documents</t>
  </si>
  <si>
    <t>Total percent:</t>
  </si>
  <si>
    <t xml:space="preserve">cyclopentane       </t>
  </si>
  <si>
    <t xml:space="preserve">3-methylpentane    </t>
  </si>
  <si>
    <t xml:space="preserve">2-methylpentane    </t>
  </si>
  <si>
    <t xml:space="preserve">2,2-dimethylbutane </t>
  </si>
  <si>
    <t>neopentane</t>
  </si>
  <si>
    <t xml:space="preserve">      See table to the far right and above for definitions of C6+      </t>
  </si>
  <si>
    <t>C6+44164</t>
  </si>
  <si>
    <t>Fluids to be reassigned (from here to the bottom) ---&gt;</t>
  </si>
  <si>
    <t>Argon</t>
  </si>
  <si>
    <t>Helium</t>
  </si>
  <si>
    <t>***This is not a rigorous calculation of the heating value from AGA-5 or GPA-2172, but an estimate from the GROSS method</t>
  </si>
  <si>
    <t>Water</t>
  </si>
  <si>
    <t>**The calculated values of the molar mass do not match those from GPA-2145, rather they come from the molar masses defined in each equation of state</t>
  </si>
  <si>
    <t>CO</t>
  </si>
  <si>
    <t>*In this section, pressures should match the one used as input for density</t>
  </si>
  <si>
    <t>Oxygen</t>
  </si>
  <si>
    <t>Hydrogen</t>
  </si>
  <si>
    <t xml:space="preserve"> Gross vs. Detail</t>
  </si>
  <si>
    <t>Decane</t>
  </si>
  <si>
    <t>Gross vs. GERG</t>
  </si>
  <si>
    <t>Nonane</t>
  </si>
  <si>
    <t>Detail vs. GERG</t>
  </si>
  <si>
    <t>Octane</t>
  </si>
  <si>
    <t>Percent differences in density between methods</t>
  </si>
  <si>
    <t>Heptane</t>
  </si>
  <si>
    <t>Vol. Heating Value at Ref. Cond.***</t>
  </si>
  <si>
    <t>C6+5221</t>
  </si>
  <si>
    <t>Hexane</t>
  </si>
  <si>
    <t>Rel. Dens. at Ref. Conditions</t>
  </si>
  <si>
    <t>Pentane</t>
  </si>
  <si>
    <t>Molar Mass**</t>
  </si>
  <si>
    <t>C6+55</t>
  </si>
  <si>
    <t>Isopentane</t>
  </si>
  <si>
    <t>C6+64</t>
  </si>
  <si>
    <t>Butane</t>
  </si>
  <si>
    <t>Pressure*</t>
  </si>
  <si>
    <t>C6+631</t>
  </si>
  <si>
    <t>Isobutane</t>
  </si>
  <si>
    <t>C6+</t>
  </si>
  <si>
    <t>Propane</t>
  </si>
  <si>
    <t>Ethane</t>
  </si>
  <si>
    <t>Gross Method 0</t>
  </si>
  <si>
    <t>More names can be added in the VB code under subroutine C6PlusSetup</t>
  </si>
  <si>
    <t>Calculated values</t>
  </si>
  <si>
    <t>The following is for information only.  The values are defined in the VB code.</t>
  </si>
  <si>
    <t>Nitrogen</t>
  </si>
  <si>
    <t>Definitions of C6+ names</t>
  </si>
  <si>
    <t>Compositions*</t>
  </si>
  <si>
    <t>Percent</t>
  </si>
  <si>
    <t>Actual</t>
  </si>
  <si>
    <t>Mole</t>
  </si>
  <si>
    <t>Fluid string required for calling Excel routines</t>
  </si>
  <si>
    <t>Calculated values for states that are actually 2-phase will be returned as metastable states, and will not be correct.</t>
  </si>
  <si>
    <t>It is up to the user to locate the phase boundaries that can be used to identify the state.</t>
  </si>
  <si>
    <t>No checks are made in the calculations below to ensure that the state point is single-phase.</t>
  </si>
  <si>
    <t>***WARNING***</t>
  </si>
  <si>
    <t>All user inputs are shown in yellow.</t>
  </si>
  <si>
    <t>The units can be changed to molar or mass SI in the VB code in the ExcelLinks module at the very bottom.  The number of digits displayed can also be changed.</t>
  </si>
  <si>
    <t>Other examples are given in the sections below.</t>
  </si>
  <si>
    <t>For example, to obtain density from T and P, you would write "=DDetail(J17,T,P)", where T and P are your specified temperature and pressure, and J17 contains the fluid string.</t>
  </si>
  <si>
    <t>Densities, pressures, or compressibility factors are obtained through calls to XDetail, XGross, or XGERG, where the letter X is D, P, or Z.</t>
  </si>
  <si>
    <t>Cell J17 shows a call to the routine FluidString that sets up a string that can be used in all calls to the AGA-8 property routines.</t>
  </si>
  <si>
    <t>The starting point is shown in columns J and K where the fluid names and their mole percents are entered.  These can be in any order, and it is not required that all 21 components are listed.</t>
  </si>
  <si>
    <t>Multiple examples are shown below for calculating properties from either the DETAIL, GROSS, or, GERG models.</t>
  </si>
  <si>
    <t xml:space="preserve">AMMONIA </t>
  </si>
  <si>
    <t xml:space="preserve">AMMONIUM CHLORIDE </t>
  </si>
  <si>
    <t xml:space="preserve">ANTHRACENE </t>
  </si>
  <si>
    <t xml:space="preserve">ARGON </t>
  </si>
  <si>
    <t xml:space="preserve">BENZENE </t>
  </si>
  <si>
    <t xml:space="preserve">BENZENEAMINE </t>
  </si>
  <si>
    <t xml:space="preserve">BROMINE </t>
  </si>
  <si>
    <t xml:space="preserve">BROMINE PENTAFLUORIDE </t>
  </si>
  <si>
    <t xml:space="preserve">BROMINE TRIFLUORIDE </t>
  </si>
  <si>
    <t xml:space="preserve">BROMOCHLORODIFLUOROMETHANE </t>
  </si>
  <si>
    <t xml:space="preserve">BROMODIFLUOROMETHANE </t>
  </si>
  <si>
    <t xml:space="preserve">BROMOETHANE </t>
  </si>
  <si>
    <t xml:space="preserve">BROMOTRIFLUOROMETHANE </t>
  </si>
  <si>
    <t xml:space="preserve">BUTANE </t>
  </si>
  <si>
    <t xml:space="preserve">BUTANOIC ACID </t>
  </si>
  <si>
    <t xml:space="preserve">BUTANONE </t>
  </si>
  <si>
    <t xml:space="preserve">BUTYL ETHANOATE </t>
  </si>
  <si>
    <t xml:space="preserve">BUTYLBENZENE </t>
  </si>
  <si>
    <t xml:space="preserve">CARBON MONOXIDE </t>
  </si>
  <si>
    <t xml:space="preserve">CHLORINE </t>
  </si>
  <si>
    <t xml:space="preserve">CHLORINE PENTAFLUORIDE </t>
  </si>
  <si>
    <t xml:space="preserve">CHLOROBENZENE </t>
  </si>
  <si>
    <t xml:space="preserve">CHLORODIFLUOROMETHANE </t>
  </si>
  <si>
    <t xml:space="preserve">CHLOROETHANE </t>
  </si>
  <si>
    <t xml:space="preserve">CHLOROMETHANE </t>
  </si>
  <si>
    <t xml:space="preserve">CHLOROTRIFLUOROMETHANE </t>
  </si>
  <si>
    <t xml:space="preserve">CIS-1,3-DIMETHYLCYCLOPENTANE </t>
  </si>
  <si>
    <t xml:space="preserve">CIS-2-BUTENE </t>
  </si>
  <si>
    <t xml:space="preserve">CIS-2-PENTENE </t>
  </si>
  <si>
    <t xml:space="preserve">CIS-BICYCLO[4,4,0]DECANE </t>
  </si>
  <si>
    <t xml:space="preserve">CYCLOBUTANE </t>
  </si>
  <si>
    <t xml:space="preserve">CYCLOHEPTANE </t>
  </si>
  <si>
    <t xml:space="preserve">CYCLOHEXANE </t>
  </si>
  <si>
    <t xml:space="preserve">CYCLOOCTANE </t>
  </si>
  <si>
    <t xml:space="preserve">CYCLOPENTANE </t>
  </si>
  <si>
    <t xml:space="preserve">CYCLOPROPANE </t>
  </si>
  <si>
    <t xml:space="preserve">DECANE </t>
  </si>
  <si>
    <t xml:space="preserve">DEUTERIUM </t>
  </si>
  <si>
    <t xml:space="preserve">DEUTERIUM BROMIDE </t>
  </si>
  <si>
    <t xml:space="preserve">DEUTERIUM CHLORIDE </t>
  </si>
  <si>
    <t xml:space="preserve">DEUTERIUM HYDRIDE </t>
  </si>
  <si>
    <t xml:space="preserve">DEUTERIUM IODIDE </t>
  </si>
  <si>
    <t xml:space="preserve">DEUTERIUM OXIDE </t>
  </si>
  <si>
    <t xml:space="preserve">DEUTERIUM, NORMAL </t>
  </si>
  <si>
    <t xml:space="preserve">DIBROMODIFLUOROMETHANE </t>
  </si>
  <si>
    <t xml:space="preserve">DICHLORODIFLUOROMETHANE </t>
  </si>
  <si>
    <t xml:space="preserve">DICHLOROFLUOROMETHANE </t>
  </si>
  <si>
    <t xml:space="preserve">DICHLOROMETHANE </t>
  </si>
  <si>
    <t xml:space="preserve">DIETHYL ETHER </t>
  </si>
  <si>
    <t xml:space="preserve">DIFLUOROMETHANE </t>
  </si>
  <si>
    <t xml:space="preserve">DIHYDROGEN DISULFIDE </t>
  </si>
  <si>
    <t xml:space="preserve">DIHYDROGEN PENTASULFIDE </t>
  </si>
  <si>
    <t xml:space="preserve">DIHYDROGEN TETRASULFIDE </t>
  </si>
  <si>
    <t xml:space="preserve">DIHYDROGEN TRISULFIDE </t>
  </si>
  <si>
    <t xml:space="preserve">DIMETHYL ETHER </t>
  </si>
  <si>
    <t xml:space="preserve">DINITROGEN OXIDE </t>
  </si>
  <si>
    <t xml:space="preserve">DINITROGEN TETROXIDE </t>
  </si>
  <si>
    <t xml:space="preserve">DIPHENYLMETHANE </t>
  </si>
  <si>
    <t xml:space="preserve">DODECANE </t>
  </si>
  <si>
    <t xml:space="preserve">EICOSANE </t>
  </si>
  <si>
    <t xml:space="preserve">ETHANAMINE </t>
  </si>
  <si>
    <t xml:space="preserve">ETHANE </t>
  </si>
  <si>
    <t xml:space="preserve">ETHANETHIOL </t>
  </si>
  <si>
    <t xml:space="preserve">ETHANOIC ACID </t>
  </si>
  <si>
    <t xml:space="preserve">ETHANOL </t>
  </si>
  <si>
    <t xml:space="preserve">ETHENE </t>
  </si>
  <si>
    <t xml:space="preserve">ETHYL BUTANOATE </t>
  </si>
  <si>
    <t xml:space="preserve">ETHYL ETHANOATE </t>
  </si>
  <si>
    <t xml:space="preserve">ETHYL METHANOATE </t>
  </si>
  <si>
    <t xml:space="preserve">ETHYL PROPANOATE </t>
  </si>
  <si>
    <t xml:space="preserve">ETHYL PROPYL ETHER </t>
  </si>
  <si>
    <t xml:space="preserve">ETHYLBENZENE </t>
  </si>
  <si>
    <t xml:space="preserve">ETHYLCYCLOPENTANE </t>
  </si>
  <si>
    <t xml:space="preserve">ETHYNE </t>
  </si>
  <si>
    <t xml:space="preserve">FLUORINE </t>
  </si>
  <si>
    <t xml:space="preserve">FLUOROETHANE </t>
  </si>
  <si>
    <t xml:space="preserve">FLUOROMETHANE </t>
  </si>
  <si>
    <t xml:space="preserve">HELIUM </t>
  </si>
  <si>
    <t xml:space="preserve">HELIUM-3 </t>
  </si>
  <si>
    <t xml:space="preserve">HEPTADECANE </t>
  </si>
  <si>
    <t xml:space="preserve">HEPTANE </t>
  </si>
  <si>
    <t xml:space="preserve">HEXADECANE </t>
  </si>
  <si>
    <t xml:space="preserve">HEXAFLUOROETHANE </t>
  </si>
  <si>
    <t xml:space="preserve">HEXANE </t>
  </si>
  <si>
    <t xml:space="preserve">HYDRAZINE </t>
  </si>
  <si>
    <t xml:space="preserve">HYDROGEN </t>
  </si>
  <si>
    <t xml:space="preserve">HYDROGEN BROMIDE </t>
  </si>
  <si>
    <t xml:space="preserve">HYDROGEN CHLORIDE </t>
  </si>
  <si>
    <t xml:space="preserve">HYDROGEN FLUORIDE </t>
  </si>
  <si>
    <t xml:space="preserve">HYDROGEN IODIDE </t>
  </si>
  <si>
    <t xml:space="preserve">HYDROGEN SELENIDE </t>
  </si>
  <si>
    <t xml:space="preserve">HYDROGEN SULFIDE </t>
  </si>
  <si>
    <t xml:space="preserve">HYDROGEN, NORMAL </t>
  </si>
  <si>
    <t xml:space="preserve">IODINE </t>
  </si>
  <si>
    <t xml:space="preserve">KRYPTON </t>
  </si>
  <si>
    <t xml:space="preserve">METHANAMINE </t>
  </si>
  <si>
    <t xml:space="preserve">METHANE </t>
  </si>
  <si>
    <t xml:space="preserve">METHANETHIOL </t>
  </si>
  <si>
    <t xml:space="preserve">METHANOL </t>
  </si>
  <si>
    <t xml:space="preserve">METHYL BUTANOATE </t>
  </si>
  <si>
    <t xml:space="preserve">METHYL ETHANOATE </t>
  </si>
  <si>
    <t xml:space="preserve">METHYL ETHYL ETHER </t>
  </si>
  <si>
    <t xml:space="preserve">METHYL METHANOATE </t>
  </si>
  <si>
    <t xml:space="preserve">METHYL PROPANOATE </t>
  </si>
  <si>
    <t xml:space="preserve">METHYLCYCLOHEXANE </t>
  </si>
  <si>
    <t xml:space="preserve">METHYLCYCLOPENTANE </t>
  </si>
  <si>
    <t xml:space="preserve">NAPHTHALENE </t>
  </si>
  <si>
    <t xml:space="preserve">NEON </t>
  </si>
  <si>
    <t xml:space="preserve">NITROGEN </t>
  </si>
  <si>
    <t xml:space="preserve">NITROGEN DIOXYFLUORIDE </t>
  </si>
  <si>
    <t xml:space="preserve">NITROGEN MONOXIDE </t>
  </si>
  <si>
    <t xml:space="preserve">NITROGEN OXYCHLORIDE </t>
  </si>
  <si>
    <t xml:space="preserve">NITROGEN TRIFLUORIDE </t>
  </si>
  <si>
    <t xml:space="preserve">NONADECANE </t>
  </si>
  <si>
    <t xml:space="preserve">NONANE </t>
  </si>
  <si>
    <t xml:space="preserve">OCTADECANE </t>
  </si>
  <si>
    <t xml:space="preserve">OCTANE </t>
  </si>
  <si>
    <t xml:space="preserve">OXYGEN </t>
  </si>
  <si>
    <t xml:space="preserve">OXYGEN DIFLUORIDE </t>
  </si>
  <si>
    <t xml:space="preserve">OZONE </t>
  </si>
  <si>
    <t xml:space="preserve">PENTADECANE </t>
  </si>
  <si>
    <t xml:space="preserve">PENTAFLUOROETHANE </t>
  </si>
  <si>
    <t xml:space="preserve">PENTANE </t>
  </si>
  <si>
    <t xml:space="preserve">PENTANOIC ACID </t>
  </si>
  <si>
    <t xml:space="preserve">PERCHLORYL FLUORIDE </t>
  </si>
  <si>
    <t xml:space="preserve">PHENANTHRENE </t>
  </si>
  <si>
    <t xml:space="preserve">PHENOL </t>
  </si>
  <si>
    <t xml:space="preserve">PHOSPHINE </t>
  </si>
  <si>
    <t xml:space="preserve">PROPANE </t>
  </si>
  <si>
    <t xml:space="preserve">PROPANOIC ACID </t>
  </si>
  <si>
    <t xml:space="preserve">PROPANONE </t>
  </si>
  <si>
    <t xml:space="preserve">PROPENE </t>
  </si>
  <si>
    <t xml:space="preserve">PROPYL BUTANOATE </t>
  </si>
  <si>
    <t xml:space="preserve">PROPYL ETHANOATE </t>
  </si>
  <si>
    <t xml:space="preserve">PROPYL METHANOATE </t>
  </si>
  <si>
    <t xml:space="preserve">PROPYL PROPANOATE </t>
  </si>
  <si>
    <t xml:space="preserve">PROPYLBENZENE </t>
  </si>
  <si>
    <t xml:space="preserve">PYRIDINE </t>
  </si>
  <si>
    <t xml:space="preserve">QUINOLINE </t>
  </si>
  <si>
    <t xml:space="preserve">RADON </t>
  </si>
  <si>
    <t xml:space="preserve">SELENIUM </t>
  </si>
  <si>
    <t xml:space="preserve">SULFUR </t>
  </si>
  <si>
    <t xml:space="preserve">SULFUR DIOXIDE </t>
  </si>
  <si>
    <t xml:space="preserve">SULFUR HEXAFLUORIDE </t>
  </si>
  <si>
    <t xml:space="preserve">SULFUR TETRAFLUORIDE </t>
  </si>
  <si>
    <t xml:space="preserve">SULFUR TRIOXIDE </t>
  </si>
  <si>
    <t xml:space="preserve">T-1,4-DIMETHYLCYCLOHEXANE </t>
  </si>
  <si>
    <t xml:space="preserve">TETRACHLOROMETHANE </t>
  </si>
  <si>
    <t xml:space="preserve">TETRADECANE </t>
  </si>
  <si>
    <t xml:space="preserve">TETRAFLUOROMETHANE </t>
  </si>
  <si>
    <t xml:space="preserve">TETRAHYDROFURAN </t>
  </si>
  <si>
    <t xml:space="preserve">THIOPHENE </t>
  </si>
  <si>
    <t xml:space="preserve">TOLUENE </t>
  </si>
  <si>
    <t xml:space="preserve">TRANS-1,3-DIMETHYLCYCLOPENTANE </t>
  </si>
  <si>
    <t xml:space="preserve">TRANS-2-BUTENE </t>
  </si>
  <si>
    <t xml:space="preserve">TRANS-BICYCLO[4,4,0]DECANE </t>
  </si>
  <si>
    <t xml:space="preserve">TRICHLOROFLUOROMETHANE </t>
  </si>
  <si>
    <t xml:space="preserve">TRICHLOROMETHANE </t>
  </si>
  <si>
    <t xml:space="preserve">TRIDECANE </t>
  </si>
  <si>
    <t xml:space="preserve">TRIDEUTEROAMMONIA </t>
  </si>
  <si>
    <t xml:space="preserve">TRIFLUOROMETHANE </t>
  </si>
  <si>
    <t xml:space="preserve">UNDECANE </t>
  </si>
  <si>
    <t xml:space="preserve">WATER </t>
  </si>
  <si>
    <t xml:space="preserve">XENON </t>
  </si>
  <si>
    <t>pascal</t>
  </si>
  <si>
    <t>hgmm</t>
  </si>
  <si>
    <t>Column1</t>
  </si>
  <si>
    <t>Column2</t>
  </si>
  <si>
    <t>Column6</t>
  </si>
  <si>
    <t>Chemical</t>
  </si>
  <si>
    <t>E</t>
  </si>
  <si>
    <t>Xenon</t>
  </si>
  <si>
    <t>Xe</t>
  </si>
  <si>
    <t>Krypton</t>
  </si>
  <si>
    <t>Kr</t>
  </si>
  <si>
    <t>Air</t>
  </si>
  <si>
    <t>Fluorine</t>
  </si>
  <si>
    <t>Chlorine</t>
  </si>
  <si>
    <t>C2l</t>
  </si>
  <si>
    <t>Bromine</t>
  </si>
  <si>
    <t>B2r</t>
  </si>
  <si>
    <t>Iodine</t>
  </si>
  <si>
    <t>2I</t>
  </si>
  <si>
    <t>Hydrogen fluoride</t>
  </si>
  <si>
    <t>HF</t>
  </si>
  <si>
    <t>Hydrogen chloride</t>
  </si>
  <si>
    <t>Hydrogen bromide</t>
  </si>
  <si>
    <t>HrB</t>
  </si>
  <si>
    <t>Hydrogen iodide</t>
  </si>
  <si>
    <t>HI</t>
  </si>
  <si>
    <t>Hydrogen cyanide</t>
  </si>
  <si>
    <t>HNC</t>
  </si>
  <si>
    <t>H2O</t>
  </si>
  <si>
    <t>Hydrogen sulfide</t>
  </si>
  <si>
    <t>Ammonia</t>
  </si>
  <si>
    <t>N3H</t>
  </si>
  <si>
    <t>Nitric oxide</t>
  </si>
  <si>
    <t>NO</t>
  </si>
  <si>
    <t>Nitrogen dioxide</t>
  </si>
  <si>
    <t>NO2</t>
  </si>
  <si>
    <t>Nitrous oxide</t>
  </si>
  <si>
    <t>Dinitrogentetroxide</t>
  </si>
  <si>
    <t>N2O4</t>
  </si>
  <si>
    <t>Cyanogen</t>
  </si>
  <si>
    <t>C2N2</t>
  </si>
  <si>
    <t>Phosphorus trichloride</t>
  </si>
  <si>
    <t>P3Cl</t>
  </si>
  <si>
    <t>Cyanogen chloride</t>
  </si>
  <si>
    <t>CCNl</t>
  </si>
  <si>
    <t>Silane</t>
  </si>
  <si>
    <t>S4iH</t>
  </si>
  <si>
    <t>Tetrachlorosilane</t>
  </si>
  <si>
    <t>SCli4</t>
  </si>
  <si>
    <t>Carbon monoxide</t>
  </si>
  <si>
    <t>Carbon dioxide</t>
  </si>
  <si>
    <t>C2O</t>
  </si>
  <si>
    <t>Carbon suboxide</t>
  </si>
  <si>
    <t>C3O2</t>
  </si>
  <si>
    <t>Carbonyl sulfide</t>
  </si>
  <si>
    <t>CSO</t>
  </si>
  <si>
    <t>Phosgene</t>
  </si>
  <si>
    <t>CC2lO</t>
  </si>
  <si>
    <t>Carbon disulfide</t>
  </si>
  <si>
    <t>CS2</t>
  </si>
  <si>
    <t>Sulfur dioxide</t>
  </si>
  <si>
    <t>Sulfur trioxide</t>
  </si>
  <si>
    <t>SO3</t>
  </si>
  <si>
    <t>Sulfuryl chloride</t>
  </si>
  <si>
    <t>Cl2SO2</t>
  </si>
  <si>
    <t>Sulfur hexafluoride</t>
  </si>
  <si>
    <t>SF6</t>
  </si>
  <si>
    <t>Methyl mercaptan</t>
  </si>
  <si>
    <t>CH4S</t>
  </si>
  <si>
    <t>Ethyl mercaptan</t>
  </si>
  <si>
    <t>C2H6S</t>
  </si>
  <si>
    <t>Dimethyl sulfide</t>
  </si>
  <si>
    <t>Diethyl sulfide</t>
  </si>
  <si>
    <t>C4H10S</t>
  </si>
  <si>
    <t>Thiophene</t>
  </si>
  <si>
    <t>C4H4S</t>
  </si>
  <si>
    <t>Fluoromethane (R41)</t>
  </si>
  <si>
    <t>CH3F</t>
  </si>
  <si>
    <t>Difluoromethane (R32)</t>
  </si>
  <si>
    <t>CH22F</t>
  </si>
  <si>
    <t>Trifluoromethane (R23)</t>
  </si>
  <si>
    <t>CHF3</t>
  </si>
  <si>
    <t>Tetrafluoromethane (R14)</t>
  </si>
  <si>
    <t>CF4</t>
  </si>
  <si>
    <t>Methyl chloride</t>
  </si>
  <si>
    <t>CH3lC</t>
  </si>
  <si>
    <t>Methylene chloride</t>
  </si>
  <si>
    <t>CH2lC2</t>
  </si>
  <si>
    <t>Chloroform</t>
  </si>
  <si>
    <t>CHC3l</t>
  </si>
  <si>
    <t>Carbon tetrachloride</t>
  </si>
  <si>
    <t>CC4l</t>
  </si>
  <si>
    <t>Bromomethane</t>
  </si>
  <si>
    <t>CH3rB</t>
  </si>
  <si>
    <t>Dibromomethane</t>
  </si>
  <si>
    <t>CH2Br2</t>
  </si>
  <si>
    <t>Tribromomethane</t>
  </si>
  <si>
    <t>CHB3r</t>
  </si>
  <si>
    <t>Tetrabromomethane</t>
  </si>
  <si>
    <t>CB4r</t>
  </si>
  <si>
    <t>Chlorodifluoromethane (R22)</t>
  </si>
  <si>
    <t>CHClF2</t>
  </si>
  <si>
    <t>Dichlorofluoromethane (R21)</t>
  </si>
  <si>
    <t>CHC2lF</t>
  </si>
  <si>
    <t>Chlorotrifluoromethane (R13)</t>
  </si>
  <si>
    <t>CClF3</t>
  </si>
  <si>
    <t>Dichlorodifluoromethane (R12)</t>
  </si>
  <si>
    <t>CC2l2F</t>
  </si>
  <si>
    <t>Trichlorofluoromethane (R11)</t>
  </si>
  <si>
    <t>CC3lF</t>
  </si>
  <si>
    <t>Ethyl fluoride (R161)</t>
  </si>
  <si>
    <t>C2H5F</t>
  </si>
  <si>
    <t>Ethyl chloride</t>
  </si>
  <si>
    <t>C2H5Cl</t>
  </si>
  <si>
    <t>Ethyl bromide</t>
  </si>
  <si>
    <t>C2H5Br</t>
  </si>
  <si>
    <t>1,1-Dichloroethane</t>
  </si>
  <si>
    <t>C2H4Cl2</t>
  </si>
  <si>
    <t>1,2-Dichloroethane</t>
  </si>
  <si>
    <t>1,2-Dibromoethane</t>
  </si>
  <si>
    <t>C2H4Br2</t>
  </si>
  <si>
    <t>1,1,1-Trifluoroethane (R143a)</t>
  </si>
  <si>
    <t>C2H3F3</t>
  </si>
  <si>
    <t>1,1,1-Trichloroethane</t>
  </si>
  <si>
    <t>C2H3C3l</t>
  </si>
  <si>
    <t>1,1,2,2-Tetrachloroethane</t>
  </si>
  <si>
    <t>C2H2C4l</t>
  </si>
  <si>
    <t>Pentachloroethane</t>
  </si>
  <si>
    <t>C2HlC5</t>
  </si>
  <si>
    <t>Hexachloroethane</t>
  </si>
  <si>
    <t>C2Cl6</t>
  </si>
  <si>
    <t>1,1,2,2-Tetrachlorodifluoroethane</t>
  </si>
  <si>
    <t>C2Cl4F2</t>
  </si>
  <si>
    <t>1,1,2-trichlorotrifluoroethane</t>
  </si>
  <si>
    <t>C2Cl3F3</t>
  </si>
  <si>
    <t>1,2-Dichlorotetrafluoroethane</t>
  </si>
  <si>
    <t>C2Cl2F4</t>
  </si>
  <si>
    <t>1-Chloropropane</t>
  </si>
  <si>
    <t>C3H7Cl</t>
  </si>
  <si>
    <t>1-Chlorobutane</t>
  </si>
  <si>
    <t>C4H9Cl</t>
  </si>
  <si>
    <t>1-Chloropentane</t>
  </si>
  <si>
    <t>C5H11lC</t>
  </si>
  <si>
    <t>Chlorotrifluoroethene</t>
  </si>
  <si>
    <t>C2Cl3F</t>
  </si>
  <si>
    <t>Vinyl chloride</t>
  </si>
  <si>
    <t>C2H3Cl</t>
  </si>
  <si>
    <t>1,1-Dichloroethene</t>
  </si>
  <si>
    <t>C2H2C2l</t>
  </si>
  <si>
    <t>Trichloroethene</t>
  </si>
  <si>
    <t>C2HlC3</t>
  </si>
  <si>
    <t>Tetrachloroethene</t>
  </si>
  <si>
    <t>C2Cl4</t>
  </si>
  <si>
    <t>Fluorobenzene</t>
  </si>
  <si>
    <t>C6H5F</t>
  </si>
  <si>
    <t>Chlorobenzene</t>
  </si>
  <si>
    <t>C6H5Cl</t>
  </si>
  <si>
    <t>Bromobenzene</t>
  </si>
  <si>
    <t>C6H5Br</t>
  </si>
  <si>
    <t>Iodobenzene</t>
  </si>
  <si>
    <t>C6H5I</t>
  </si>
  <si>
    <t>m-Chlorotoluene</t>
  </si>
  <si>
    <t>C7H7Cl</t>
  </si>
  <si>
    <t>Benzyl chloride</t>
  </si>
  <si>
    <t>Methane</t>
  </si>
  <si>
    <t>n-Butane</t>
  </si>
  <si>
    <t>n-Pentane</t>
  </si>
  <si>
    <t>C5H12</t>
  </si>
  <si>
    <t>n-Hexane</t>
  </si>
  <si>
    <t>C6H14</t>
  </si>
  <si>
    <t>n-Heptane</t>
  </si>
  <si>
    <t>C7H16</t>
  </si>
  <si>
    <t>n-Octane</t>
  </si>
  <si>
    <t>C8H18</t>
  </si>
  <si>
    <t>n-Nonane</t>
  </si>
  <si>
    <t>C9H20</t>
  </si>
  <si>
    <t>n-Decane</t>
  </si>
  <si>
    <t>C10H22</t>
  </si>
  <si>
    <t>n-Undecane</t>
  </si>
  <si>
    <t>C11H24</t>
  </si>
  <si>
    <t>n-Dodecane</t>
  </si>
  <si>
    <t>C12H26</t>
  </si>
  <si>
    <t>n-Tridecane</t>
  </si>
  <si>
    <t>C13H28</t>
  </si>
  <si>
    <t>n-Tetradecane</t>
  </si>
  <si>
    <t>C14H30</t>
  </si>
  <si>
    <t>n-Pentadecane</t>
  </si>
  <si>
    <t>C15H32</t>
  </si>
  <si>
    <t>n-Hexadecane</t>
  </si>
  <si>
    <t>C16H34</t>
  </si>
  <si>
    <t>n-Heptadecane</t>
  </si>
  <si>
    <t>C17H36</t>
  </si>
  <si>
    <t>n-Octadecane</t>
  </si>
  <si>
    <t>C18H38</t>
  </si>
  <si>
    <t>n-Nonadecane</t>
  </si>
  <si>
    <t>C19H40</t>
  </si>
  <si>
    <t>n-Eicosane</t>
  </si>
  <si>
    <t>C20H42</t>
  </si>
  <si>
    <t>2-Methyl butane</t>
  </si>
  <si>
    <t>2,2-Dimethyl propane</t>
  </si>
  <si>
    <t>2-Methyl pentane</t>
  </si>
  <si>
    <t>3-Methyl pentane</t>
  </si>
  <si>
    <t>2,2-Dimethyl butane</t>
  </si>
  <si>
    <t>2,3-Dimethyl butane</t>
  </si>
  <si>
    <t>Ethylene</t>
  </si>
  <si>
    <t>Propylene</t>
  </si>
  <si>
    <t>1-Butene</t>
  </si>
  <si>
    <t>1-Pentene</t>
  </si>
  <si>
    <t>C5H10</t>
  </si>
  <si>
    <t>1-Hexene</t>
  </si>
  <si>
    <t>C6H12</t>
  </si>
  <si>
    <t>1-Heptene</t>
  </si>
  <si>
    <t>C7H14</t>
  </si>
  <si>
    <t>1-Octene</t>
  </si>
  <si>
    <t>C8H16</t>
  </si>
  <si>
    <t>Propadiene</t>
  </si>
  <si>
    <t>C3H4</t>
  </si>
  <si>
    <t>1,2-Butadiene</t>
  </si>
  <si>
    <t>C4H6</t>
  </si>
  <si>
    <t>1,3-Butadiene</t>
  </si>
  <si>
    <t>1,2-Pentadiene</t>
  </si>
  <si>
    <t>C5H8</t>
  </si>
  <si>
    <t>trans-1,3-Pentadiene</t>
  </si>
  <si>
    <t>1,4-Pentadiene</t>
  </si>
  <si>
    <t>2,3-Pentadiene</t>
  </si>
  <si>
    <t>Propyne</t>
  </si>
  <si>
    <t>2-Butyne</t>
  </si>
  <si>
    <t>1-Butyne</t>
  </si>
  <si>
    <t>Cyclopropane</t>
  </si>
  <si>
    <t>Cyclobutane</t>
  </si>
  <si>
    <t>Cyclopentane</t>
  </si>
  <si>
    <t>Methyl cyclopentane</t>
  </si>
  <si>
    <t>Ethyl cyclopentane</t>
  </si>
  <si>
    <t>Propyl cyclopentane</t>
  </si>
  <si>
    <t>Butyl cyclopentane</t>
  </si>
  <si>
    <t>C9H18</t>
  </si>
  <si>
    <t>Pentyl cyclopentane</t>
  </si>
  <si>
    <t>C10H20</t>
  </si>
  <si>
    <t>hexyl cyclopentane</t>
  </si>
  <si>
    <t>C11H22</t>
  </si>
  <si>
    <t>Cyclohexane</t>
  </si>
  <si>
    <t>Methyl cyclohexane</t>
  </si>
  <si>
    <t>Ethyl cyclohexane</t>
  </si>
  <si>
    <t>Propyl cyclohexane</t>
  </si>
  <si>
    <t>Butyl cyclohexane</t>
  </si>
  <si>
    <t>Pentyl cyclohexane</t>
  </si>
  <si>
    <t>Hexyl cyclohexane</t>
  </si>
  <si>
    <t>C12H24</t>
  </si>
  <si>
    <t>Cyclopentene</t>
  </si>
  <si>
    <t>Cyclohexene</t>
  </si>
  <si>
    <t>C6H10</t>
  </si>
  <si>
    <t>Benzene</t>
  </si>
  <si>
    <t>Toluene</t>
  </si>
  <si>
    <t>C7H8</t>
  </si>
  <si>
    <t>Ethyl benzene</t>
  </si>
  <si>
    <t>C8H10</t>
  </si>
  <si>
    <t>Propyl benzene</t>
  </si>
  <si>
    <t>C9H12</t>
  </si>
  <si>
    <t>Butyl benzene</t>
  </si>
  <si>
    <t>C10H14</t>
  </si>
  <si>
    <t>Pentyl benzene</t>
  </si>
  <si>
    <t>C11H16</t>
  </si>
  <si>
    <t>Hexyl benzene</t>
  </si>
  <si>
    <t>C12H18</t>
  </si>
  <si>
    <t>o-Xylene</t>
  </si>
  <si>
    <t>m-Xylene</t>
  </si>
  <si>
    <t>p-Xylene</t>
  </si>
  <si>
    <t>1,2,3-Trimethyl benzene</t>
  </si>
  <si>
    <t>1,2,4-Trimethyl benzene</t>
  </si>
  <si>
    <t>1,3,5-Trimethyl benzene</t>
  </si>
  <si>
    <t>1,2,3,4-Tetramethyl benzene</t>
  </si>
  <si>
    <t>1,2,3,5-Tetramethyl benzene</t>
  </si>
  <si>
    <t>1,2,4,5-Tetramethyl benzene</t>
  </si>
  <si>
    <t>Pentamethyl benzene</t>
  </si>
  <si>
    <t>Hexamethyl benzene</t>
  </si>
  <si>
    <t>Styrene</t>
  </si>
  <si>
    <t>C8H8</t>
  </si>
  <si>
    <t>Isopropyl benzene</t>
  </si>
  <si>
    <t>Biphenyl</t>
  </si>
  <si>
    <t>C12H10</t>
  </si>
  <si>
    <t>Diphenyl methane</t>
  </si>
  <si>
    <t>C13H12</t>
  </si>
  <si>
    <t>Triphenyl methane</t>
  </si>
  <si>
    <t>C19H16</t>
  </si>
  <si>
    <t>Tetraphenyl methane</t>
  </si>
  <si>
    <t>C25H20</t>
  </si>
  <si>
    <t>Naphthalene</t>
  </si>
  <si>
    <t>C10H8</t>
  </si>
  <si>
    <t>1-Methylnaphthalene</t>
  </si>
  <si>
    <t>C11H10</t>
  </si>
  <si>
    <t>2-Methylnaphthalene</t>
  </si>
  <si>
    <t>1-Ethylnaphthalene</t>
  </si>
  <si>
    <t>C12H12</t>
  </si>
  <si>
    <t>2-Ethylnaphthalene</t>
  </si>
  <si>
    <t>Methanol</t>
  </si>
  <si>
    <t>Ethanol</t>
  </si>
  <si>
    <t>C2H6O</t>
  </si>
  <si>
    <t>1-Propanol</t>
  </si>
  <si>
    <t>C3H8O</t>
  </si>
  <si>
    <t>1-Butanol</t>
  </si>
  <si>
    <t>C4H10O</t>
  </si>
  <si>
    <t>1-Pentanol</t>
  </si>
  <si>
    <t>C5H12O</t>
  </si>
  <si>
    <t>1-Hexanol</t>
  </si>
  <si>
    <t>C6H14O</t>
  </si>
  <si>
    <t>1-Heptanol</t>
  </si>
  <si>
    <t>C7H16O</t>
  </si>
  <si>
    <t>1-Octanol</t>
  </si>
  <si>
    <t>C8H18O</t>
  </si>
  <si>
    <t>Isopropanol</t>
  </si>
  <si>
    <t>2-Methyl-1-propanol</t>
  </si>
  <si>
    <t>3-Methyl-1-butanol</t>
  </si>
  <si>
    <t>Ethylene glycol</t>
  </si>
  <si>
    <t>C2H6O2</t>
  </si>
  <si>
    <t>1,3-Propylene glycol</t>
  </si>
  <si>
    <t>C3H8O2</t>
  </si>
  <si>
    <t>Glycerol</t>
  </si>
  <si>
    <t>C3H8O3</t>
  </si>
  <si>
    <t>Cyclohexanol</t>
  </si>
  <si>
    <t>C6H12O</t>
  </si>
  <si>
    <t>Benzyl alcohol</t>
  </si>
  <si>
    <t>C7H8O</t>
  </si>
  <si>
    <t>o-Cresol</t>
  </si>
  <si>
    <t>m-Cresol</t>
  </si>
  <si>
    <t>p-Cresol</t>
  </si>
  <si>
    <t>Phenol</t>
  </si>
  <si>
    <t>C6H6O</t>
  </si>
  <si>
    <t>Formic acid</t>
  </si>
  <si>
    <t>CH2O2</t>
  </si>
  <si>
    <t>Acetic acid</t>
  </si>
  <si>
    <t>C2H4O2</t>
  </si>
  <si>
    <t>Propionic acid</t>
  </si>
  <si>
    <t>C3H6O2</t>
  </si>
  <si>
    <t>Butyric acid</t>
  </si>
  <si>
    <t>C4H8O2</t>
  </si>
  <si>
    <t>Valeric acid</t>
  </si>
  <si>
    <t>C5H10O2</t>
  </si>
  <si>
    <t>Caproic acid</t>
  </si>
  <si>
    <t>C6H12O2</t>
  </si>
  <si>
    <t>Acetic anhydride</t>
  </si>
  <si>
    <t>C4H6O3</t>
  </si>
  <si>
    <t>Propionic anhydride</t>
  </si>
  <si>
    <t>C6H10O3</t>
  </si>
  <si>
    <t>Chloroacetic acid</t>
  </si>
  <si>
    <t>C2H3ClO2</t>
  </si>
  <si>
    <t>Dichloroacetic acid</t>
  </si>
  <si>
    <t>C2H2Cl2O2</t>
  </si>
  <si>
    <t>Trichloroacetic acid</t>
  </si>
  <si>
    <t>C2HCl3O2</t>
  </si>
  <si>
    <t>Ketene</t>
  </si>
  <si>
    <t>C2H2O</t>
  </si>
  <si>
    <t>Acetone</t>
  </si>
  <si>
    <t>C3H6O</t>
  </si>
  <si>
    <t>Methyl ethyl ketone</t>
  </si>
  <si>
    <t>C4H8O</t>
  </si>
  <si>
    <t>Diethyl ketone</t>
  </si>
  <si>
    <t>C5H10O</t>
  </si>
  <si>
    <t>Dipropyl ketone</t>
  </si>
  <si>
    <t>C7H14O</t>
  </si>
  <si>
    <t>Acetophenone</t>
  </si>
  <si>
    <t>C8H8O</t>
  </si>
  <si>
    <t>Benzophenone</t>
  </si>
  <si>
    <t>C13H10O</t>
  </si>
  <si>
    <t>Dimethyl ether</t>
  </si>
  <si>
    <t>Diethyl ether</t>
  </si>
  <si>
    <t>Dipropyl ether</t>
  </si>
  <si>
    <t>Methyl propyl ether</t>
  </si>
  <si>
    <t>Ethyl propyl ether</t>
  </si>
  <si>
    <t>Ethylene oxide</t>
  </si>
  <si>
    <t>C2H4O</t>
  </si>
  <si>
    <t>Furane</t>
  </si>
  <si>
    <t>C4H4O</t>
  </si>
  <si>
    <t>1,4-Dioxane</t>
  </si>
  <si>
    <t>Formaldehyde</t>
  </si>
  <si>
    <t>CH2O</t>
  </si>
  <si>
    <t>Acetaldehyde</t>
  </si>
  <si>
    <t>Paraldehyde</t>
  </si>
  <si>
    <t>C6H12O3</t>
  </si>
  <si>
    <t>Furfural</t>
  </si>
  <si>
    <t>C5H4O2</t>
  </si>
  <si>
    <t>Benzaldehyde</t>
  </si>
  <si>
    <t>C7H6O</t>
  </si>
  <si>
    <t>Salicylaldehyde</t>
  </si>
  <si>
    <t>C7H6O2</t>
  </si>
  <si>
    <t>Methyl formate</t>
  </si>
  <si>
    <t>Ethyl formate</t>
  </si>
  <si>
    <t>Propyl formate</t>
  </si>
  <si>
    <t>Methyl acetate</t>
  </si>
  <si>
    <t>Ethyl acetate</t>
  </si>
  <si>
    <t>Propyl acetate</t>
  </si>
  <si>
    <t>Methyl propionate</t>
  </si>
  <si>
    <t>Ethyl propionate</t>
  </si>
  <si>
    <t>Propyl propionate</t>
  </si>
  <si>
    <t>Methyl butyrate</t>
  </si>
  <si>
    <t>Ethyl butyrate</t>
  </si>
  <si>
    <t>Methyl benzoate</t>
  </si>
  <si>
    <t>C8H8O2</t>
  </si>
  <si>
    <t>Ethyl benzoate</t>
  </si>
  <si>
    <t>C9H10O2</t>
  </si>
  <si>
    <t>Methyl salicylate</t>
  </si>
  <si>
    <t>C8H8O3</t>
  </si>
  <si>
    <t>Methyl amine</t>
  </si>
  <si>
    <t>CH5N</t>
  </si>
  <si>
    <t>Ethyl amine</t>
  </si>
  <si>
    <t>C2H7N</t>
  </si>
  <si>
    <t>Propyl amine</t>
  </si>
  <si>
    <t>C3H9N</t>
  </si>
  <si>
    <t>n-butyl amine</t>
  </si>
  <si>
    <t>C6H15N</t>
  </si>
  <si>
    <t>Dimethyl amine</t>
  </si>
  <si>
    <t>Trimethyl amine</t>
  </si>
  <si>
    <t>Diethyl amine</t>
  </si>
  <si>
    <t>Triethyl amine</t>
  </si>
  <si>
    <t>Piperidine</t>
  </si>
  <si>
    <t>C5H11N</t>
  </si>
  <si>
    <t>Pyridine</t>
  </si>
  <si>
    <t>C6H7N</t>
  </si>
  <si>
    <t>Aniline</t>
  </si>
  <si>
    <t>N-Methyl aniline</t>
  </si>
  <si>
    <t>C7H9N</t>
  </si>
  <si>
    <t>N,N-dimethyl aniline</t>
  </si>
  <si>
    <t>C8H11N</t>
  </si>
  <si>
    <t>N,N-diethyl aniline</t>
  </si>
  <si>
    <t>C10H15N</t>
  </si>
  <si>
    <t>Phenylhydrazine</t>
  </si>
  <si>
    <t>C6H8N2</t>
  </si>
  <si>
    <t>Diphenyl amine</t>
  </si>
  <si>
    <t>C12H11N</t>
  </si>
  <si>
    <t>Acetonitrile</t>
  </si>
  <si>
    <t>C2H3N</t>
  </si>
  <si>
    <t>Propionitrile</t>
  </si>
  <si>
    <t>C3H5N</t>
  </si>
  <si>
    <t>Butyronitrile</t>
  </si>
  <si>
    <t>C4H7N</t>
  </si>
  <si>
    <t>Benzonitrile</t>
  </si>
  <si>
    <t>C7H5N</t>
  </si>
  <si>
    <t>Formamide</t>
  </si>
  <si>
    <t>CH3NO</t>
  </si>
  <si>
    <t>Nitromethane</t>
  </si>
  <si>
    <t>CH3NO2</t>
  </si>
  <si>
    <t>Nitrobenzene</t>
  </si>
  <si>
    <t>C6H5NO2</t>
  </si>
  <si>
    <t>o-Nitrotoluene</t>
  </si>
  <si>
    <t>C7H7NO2</t>
  </si>
  <si>
    <t>m-Nitrotoluene</t>
  </si>
  <si>
    <t>p-Nitrotoluene</t>
  </si>
  <si>
    <t>Corrected noise:</t>
  </si>
  <si>
    <t>Perforato</t>
  </si>
  <si>
    <t>DN 250/200</t>
  </si>
  <si>
    <t>Globo</t>
  </si>
  <si>
    <t>DN 250/150</t>
  </si>
  <si>
    <t>DN 250/125</t>
  </si>
  <si>
    <t>DN 200/150</t>
  </si>
  <si>
    <t>DN 200/125</t>
  </si>
  <si>
    <t>DN 200/100</t>
  </si>
  <si>
    <t>DN 150/130</t>
  </si>
  <si>
    <t>DN 150/105</t>
  </si>
  <si>
    <t>DN 150/84</t>
  </si>
  <si>
    <t>DN 100/100</t>
  </si>
  <si>
    <t>DN 100/84</t>
  </si>
  <si>
    <t>DN 100/67</t>
  </si>
  <si>
    <t>DN 80/80</t>
  </si>
  <si>
    <t>DN 80/67</t>
  </si>
  <si>
    <t>DN 80/53</t>
  </si>
  <si>
    <t>DN 65/67</t>
  </si>
  <si>
    <t>DN 65/53</t>
  </si>
  <si>
    <t>DN 65/42</t>
  </si>
  <si>
    <t>DN 50/50</t>
  </si>
  <si>
    <t>DN 50/42</t>
  </si>
  <si>
    <t>DN 50/34</t>
  </si>
  <si>
    <t>DN 50/25</t>
  </si>
  <si>
    <t>DN 40/40</t>
  </si>
  <si>
    <t>DN 40/34</t>
  </si>
  <si>
    <t>DN 40/25</t>
  </si>
  <si>
    <t>DN 40/20</t>
  </si>
  <si>
    <t>DN 25/25</t>
  </si>
  <si>
    <t>DN 15-25/20</t>
  </si>
  <si>
    <t>100%</t>
  </si>
  <si>
    <t>75%</t>
  </si>
  <si>
    <t>50%</t>
  </si>
  <si>
    <t>25%</t>
  </si>
  <si>
    <t>10%</t>
  </si>
  <si>
    <t>APERTURA</t>
  </si>
  <si>
    <t>DN/SEDE</t>
  </si>
  <si>
    <t>TIPO</t>
  </si>
  <si>
    <t>PERFORATED PLUG 1 STAGE</t>
  </si>
  <si>
    <r>
      <t>Δp &lt; (x</t>
    </r>
    <r>
      <rPr>
        <i/>
        <vertAlign val="subscript"/>
        <sz val="10"/>
        <rFont val="Arial"/>
        <family val="2"/>
      </rPr>
      <t>FZ</t>
    </r>
    <r>
      <rPr>
        <i/>
        <sz val="10"/>
        <rFont val="Arial"/>
        <family val="2"/>
      </rPr>
      <t>+0,40)•(p</t>
    </r>
    <r>
      <rPr>
        <i/>
        <vertAlign val="subscript"/>
        <sz val="10"/>
        <rFont val="Arial"/>
        <family val="2"/>
      </rPr>
      <t>1</t>
    </r>
    <r>
      <rPr>
        <i/>
        <sz val="10"/>
        <rFont val="Arial"/>
        <family val="2"/>
      </rPr>
      <t>-p</t>
    </r>
    <r>
      <rPr>
        <i/>
        <vertAlign val="subscript"/>
        <sz val="10"/>
        <rFont val="Arial"/>
        <family val="2"/>
      </rPr>
      <t>v</t>
    </r>
    <r>
      <rPr>
        <i/>
        <sz val="10"/>
        <rFont val="Arial"/>
        <family val="2"/>
      </rPr>
      <t>)</t>
    </r>
  </si>
  <si>
    <t>MultiStream (PHK)</t>
  </si>
  <si>
    <t>MultiStream (PFK)</t>
  </si>
  <si>
    <t>MultiStream (PDK)</t>
  </si>
  <si>
    <t>DN 150/67</t>
  </si>
  <si>
    <t>DN 100/53</t>
  </si>
  <si>
    <t>DN 80/42</t>
  </si>
  <si>
    <t>DN 65/34</t>
  </si>
  <si>
    <t>DN 50/20</t>
  </si>
  <si>
    <t>DN 40/16</t>
  </si>
  <si>
    <t>DN 20-25/20</t>
  </si>
  <si>
    <t>DN 15-25/16</t>
  </si>
  <si>
    <t>PERFORATED PLUG 2 AND ABOVE STAGES</t>
  </si>
  <si>
    <t>Full stellited (POK)</t>
  </si>
  <si>
    <t>Stellited (POD)</t>
  </si>
  <si>
    <t>Std. (PON)</t>
  </si>
  <si>
    <t>DN 15-25/12</t>
  </si>
  <si>
    <t>DN 15-25/10</t>
  </si>
  <si>
    <t>DN 15-25/8</t>
  </si>
  <si>
    <t>DN 15-25/6</t>
  </si>
  <si>
    <t>DN 15-25/4</t>
  </si>
  <si>
    <t>DN 15-25/3</t>
  </si>
  <si>
    <t>STANDARD PLUG</t>
  </si>
  <si>
    <r>
      <t>Δp &lt; (x</t>
    </r>
    <r>
      <rPr>
        <i/>
        <vertAlign val="subscript"/>
        <sz val="10"/>
        <rFont val="Arial"/>
        <family val="2"/>
      </rPr>
      <t>FZ</t>
    </r>
    <r>
      <rPr>
        <i/>
        <sz val="10"/>
        <rFont val="Arial"/>
        <family val="2"/>
      </rPr>
      <t>+0,20)•(p</t>
    </r>
    <r>
      <rPr>
        <i/>
        <vertAlign val="subscript"/>
        <sz val="10"/>
        <rFont val="Arial"/>
        <family val="2"/>
      </rPr>
      <t>1</t>
    </r>
    <r>
      <rPr>
        <i/>
        <sz val="10"/>
        <rFont val="Arial"/>
        <family val="2"/>
      </rPr>
      <t>-p</t>
    </r>
    <r>
      <rPr>
        <i/>
        <vertAlign val="subscript"/>
        <sz val="10"/>
        <rFont val="Arial"/>
        <family val="2"/>
      </rPr>
      <t>v</t>
    </r>
    <r>
      <rPr>
        <i/>
        <sz val="10"/>
        <rFont val="Arial"/>
        <family val="2"/>
      </rPr>
      <t>)</t>
    </r>
  </si>
  <si>
    <r>
      <t>Δp &lt; (x</t>
    </r>
    <r>
      <rPr>
        <i/>
        <vertAlign val="subscript"/>
        <sz val="10"/>
        <rFont val="Arial"/>
        <family val="2"/>
      </rPr>
      <t>FZ</t>
    </r>
    <r>
      <rPr>
        <i/>
        <sz val="10"/>
        <rFont val="Arial"/>
        <family val="2"/>
      </rPr>
      <t>+0,16)•(p</t>
    </r>
    <r>
      <rPr>
        <i/>
        <vertAlign val="subscript"/>
        <sz val="10"/>
        <rFont val="Arial"/>
        <family val="2"/>
      </rPr>
      <t>1</t>
    </r>
    <r>
      <rPr>
        <i/>
        <sz val="10"/>
        <rFont val="Arial"/>
        <family val="2"/>
      </rPr>
      <t>-p</t>
    </r>
    <r>
      <rPr>
        <i/>
        <vertAlign val="subscript"/>
        <sz val="10"/>
        <rFont val="Arial"/>
        <family val="2"/>
      </rPr>
      <t>v</t>
    </r>
    <r>
      <rPr>
        <i/>
        <sz val="10"/>
        <rFont val="Arial"/>
        <family val="2"/>
      </rPr>
      <t>)</t>
    </r>
  </si>
  <si>
    <r>
      <t>Δp &lt; (x</t>
    </r>
    <r>
      <rPr>
        <i/>
        <vertAlign val="subscript"/>
        <sz val="10"/>
        <rFont val="Arial"/>
        <family val="2"/>
      </rPr>
      <t>FZ</t>
    </r>
    <r>
      <rPr>
        <i/>
        <sz val="10"/>
        <rFont val="Arial"/>
        <family val="2"/>
      </rPr>
      <t>+0,12)•(p</t>
    </r>
    <r>
      <rPr>
        <i/>
        <vertAlign val="subscript"/>
        <sz val="10"/>
        <rFont val="Arial"/>
        <family val="2"/>
      </rPr>
      <t>1</t>
    </r>
    <r>
      <rPr>
        <i/>
        <sz val="10"/>
        <rFont val="Arial"/>
        <family val="2"/>
      </rPr>
      <t>-p</t>
    </r>
    <r>
      <rPr>
        <i/>
        <vertAlign val="subscript"/>
        <sz val="10"/>
        <rFont val="Arial"/>
        <family val="2"/>
      </rPr>
      <t>v</t>
    </r>
    <r>
      <rPr>
        <i/>
        <sz val="10"/>
        <rFont val="Arial"/>
        <family val="2"/>
      </rPr>
      <t>)</t>
    </r>
  </si>
  <si>
    <t>σ</t>
  </si>
  <si>
    <r>
      <t>x</t>
    </r>
    <r>
      <rPr>
        <vertAlign val="subscript"/>
        <sz val="10"/>
        <rFont val="Arial"/>
        <family val="2"/>
      </rPr>
      <t>FZ</t>
    </r>
  </si>
  <si>
    <t>Pv</t>
  </si>
  <si>
    <t>P2</t>
  </si>
  <si>
    <t>bar a (max 40)</t>
  </si>
  <si>
    <t>P1</t>
  </si>
  <si>
    <t>Always convert to bar a</t>
  </si>
  <si>
    <t>NOTES</t>
  </si>
  <si>
    <t>Units always convert to F and Psia</t>
  </si>
  <si>
    <t>Nomi</t>
  </si>
  <si>
    <t>NOM SIZE;</t>
  </si>
  <si>
    <t>SHUTOFF:</t>
  </si>
  <si>
    <t>Balancing Plug Required</t>
  </si>
  <si>
    <t>INDEX COLUMN:</t>
  </si>
  <si>
    <t>Row Index</t>
  </si>
  <si>
    <t>NAA</t>
  </si>
  <si>
    <t>0,4 - 2,0  (6 - 30)</t>
  </si>
  <si>
    <t>S200B-130 (20) 0,4 - 2,0  (6 - 30)</t>
  </si>
  <si>
    <t>Selected:</t>
  </si>
  <si>
    <t>Contact company</t>
  </si>
  <si>
    <t>YES</t>
  </si>
  <si>
    <t>CL600</t>
  </si>
  <si>
    <t>CL300</t>
  </si>
  <si>
    <t>CL150</t>
  </si>
  <si>
    <t>PN100</t>
  </si>
  <si>
    <t>PN63</t>
  </si>
  <si>
    <t>PN40</t>
  </si>
  <si>
    <t>PN25</t>
  </si>
  <si>
    <t>PN16</t>
  </si>
  <si>
    <t>480.77</t>
  </si>
  <si>
    <t>Converter E/P 3-15 PSI / 4-20mA -  24VDC , display 1/4", Safe Area IP65 (ITV1030-01F1BN4)</t>
  </si>
  <si>
    <t>ITV1030-01F1BN4</t>
  </si>
  <si>
    <t>57.69</t>
  </si>
  <si>
    <t>Flow controller Aluminium -5°C/+60°C 1/4"</t>
  </si>
  <si>
    <t>0FCA-0560-14</t>
  </si>
  <si>
    <t>Yes</t>
  </si>
  <si>
    <t>403.85</t>
  </si>
  <si>
    <t>Lock-up device Aluminium -30°C/+60°C 1/4"</t>
  </si>
  <si>
    <t>LOCK-3060-14</t>
  </si>
  <si>
    <t>Cryogenic</t>
  </si>
  <si>
    <t>1203.85</t>
  </si>
  <si>
    <t>Volume Booster Steel -40°C/+60°C Inox 1/4" 700l/min</t>
  </si>
  <si>
    <t>VB-4060-700L</t>
  </si>
  <si>
    <t>Cryogenic Light</t>
  </si>
  <si>
    <t>296.15</t>
  </si>
  <si>
    <t>Volume Booster Aluminium -30°C/+60°C 1/4" 700l/min</t>
  </si>
  <si>
    <t>VB-3040-700L</t>
  </si>
  <si>
    <t>High Temp</t>
  </si>
  <si>
    <t>307.69</t>
  </si>
  <si>
    <t>1x Inductive imit Switches  -25°C/+80°C IFM Mod. NF5004 w/LED 24VDC - ATEX Z 1 II2G Exia IIC T6</t>
  </si>
  <si>
    <t>0NF-5504N-001</t>
  </si>
  <si>
    <t>Standard</t>
  </si>
  <si>
    <t>269.23</t>
  </si>
  <si>
    <t>1x Inductive imit Switches  -25°C/+80°C IFM Mod. IF5597 w/ LED 24VDC -  IP67</t>
  </si>
  <si>
    <t>0IF-5597N-001</t>
  </si>
  <si>
    <t>Bellow seal</t>
  </si>
  <si>
    <t>bonnet:</t>
  </si>
  <si>
    <t>461.54</t>
  </si>
  <si>
    <t>2x Inductive imit Switches  -25°C/+80°C IFM Mod. NF5004 w/LED 24VDC - ATEX Z 1 II2G Exia IIC T6</t>
  </si>
  <si>
    <t>0NF-5504N-000</t>
  </si>
  <si>
    <t>384.62</t>
  </si>
  <si>
    <t>2x Inductive imit Switches  -25°C/+80°C IFM Mod. IF5597 w/ LED 24VDC -  IP67</t>
  </si>
  <si>
    <t>0IF-5597N-000</t>
  </si>
  <si>
    <t>PFTE</t>
  </si>
  <si>
    <t>338.46</t>
  </si>
  <si>
    <t>1x limit Switches SPDT -20°C/+40°C Coelbo  Mod. PS-531N 230VAC - ATEX Zone 1-2 II2G Exd IIC T6</t>
  </si>
  <si>
    <t>0PS-5311N-001</t>
  </si>
  <si>
    <t>250.00</t>
  </si>
  <si>
    <t>1x limit Switches SPDT -40°C/+80°C Omron  Mod. D4B-1111N 230VAC - IP67</t>
  </si>
  <si>
    <t>D4B-1111N-001</t>
  </si>
  <si>
    <t>Euro</t>
  </si>
  <si>
    <t>523.08</t>
  </si>
  <si>
    <t>2x limit Switches SPDT -20°C/+40°C Coelbo  Mod. PS-531N 230VAC - ATEX Zone 1-2 II2G Exd IIC T6</t>
  </si>
  <si>
    <t>0PS-5311N-000</t>
  </si>
  <si>
    <t>357.69</t>
  </si>
  <si>
    <t>2x limit Switches SPDT -40°C/+80°C Omron  Mod. D4B-1111N 230VAC - IP67</t>
  </si>
  <si>
    <t>D4B-1111N-000</t>
  </si>
  <si>
    <t>1269.23</t>
  </si>
  <si>
    <t>Solenoid Valve mod. 30334 Brass body 1/4" 3/2 UNI -30°C/+75°C M20x1,5, 24 VDC - ATEX Zone 1 II2G Exia IIC T6 - SIL3</t>
  </si>
  <si>
    <t>SV-30334-003</t>
  </si>
  <si>
    <t>packing</t>
  </si>
  <si>
    <t>max</t>
  </si>
  <si>
    <t>min</t>
  </si>
  <si>
    <t>538.46</t>
  </si>
  <si>
    <t>Solenoid Valve mod. 30334 Brass body 1/4" 3/2 UNI -30°C/+75°C M20x1,5, 24 VDC - ATEX Zone 2 II3G Exd IIC T6 - SIL3</t>
  </si>
  <si>
    <t>SV-30334-002</t>
  </si>
  <si>
    <t>134.62</t>
  </si>
  <si>
    <t>Solenoid Valve mod. A306, Brass/Aluminium body, 1/4" N.C. -10°C/+95°C , 1/2" NPTF, 24 VDC , IP65</t>
  </si>
  <si>
    <t>SV-A306-001</t>
  </si>
  <si>
    <t>130.77</t>
  </si>
  <si>
    <t>Solenoid Valve mod. A306, Brass/Aluminium body, 1/4" N.C. -10°C/+95°C conn. PG9, 24 VDC , IP65</t>
  </si>
  <si>
    <t>SV-A306-000</t>
  </si>
  <si>
    <t>Stainless Steel Air Filter Regulator -40/+80°C 1/4"  Mod. AW30K w/Gauge (Low Ambient Temperature)</t>
  </si>
  <si>
    <t>AAFR-AW30K-001</t>
  </si>
  <si>
    <t>Alluminium Air Filter Regulator -40/+60°C 1/4"  Mod.AW20K w/Gauge (Low Ambient Temperature)</t>
  </si>
  <si>
    <t>AAFR-AW20K-001</t>
  </si>
  <si>
    <t>171.15</t>
  </si>
  <si>
    <t>Alluminium Air Filter Regulator  -5/+60°C 1/2"  Mod.AW40K w/Gauge</t>
  </si>
  <si>
    <t>AAFR-AW40K-000</t>
  </si>
  <si>
    <t>76.92</t>
  </si>
  <si>
    <t>Alluminium Air Filter Regulator -5/+60°C 1/4"  Mod. AW20K w/Gauge (Ns Standard)</t>
  </si>
  <si>
    <t>AAFR-AW20K-000</t>
  </si>
  <si>
    <t>Fluid state</t>
  </si>
  <si>
    <t>#600</t>
  </si>
  <si>
    <t>1307.69</t>
  </si>
  <si>
    <t>Digital Hart Positioner Mod. IP8001 w/Gauge ATEX Zone 1 II2G Exia IIC T4</t>
  </si>
  <si>
    <t>IP8001-10-1</t>
  </si>
  <si>
    <t>material</t>
  </si>
  <si>
    <t>#300</t>
  </si>
  <si>
    <t>1173.08</t>
  </si>
  <si>
    <t>Digital Positioner Mod.IP8001 without/Gauge Safe Area IP66 Armstrong Brand</t>
  </si>
  <si>
    <t>IP8001-10-0</t>
  </si>
  <si>
    <t>Rating</t>
  </si>
  <si>
    <t>#150</t>
  </si>
  <si>
    <t>Digital Positioner Mod.YT-3300L without/Gauge Safe Area IP66</t>
  </si>
  <si>
    <t>YT3300-L0-0</t>
  </si>
  <si>
    <t>bonnet</t>
  </si>
  <si>
    <t>1038.46</t>
  </si>
  <si>
    <t>Electro-Pneumatic Analogic Positioner Mod. IP8000 w/Gauge ATEX Zone 1 II2G Exib IIC T5/T6</t>
  </si>
  <si>
    <t>IP8000-10-1</t>
  </si>
  <si>
    <t xml:space="preserve">Crygenic </t>
  </si>
  <si>
    <t>826.92</t>
  </si>
  <si>
    <t xml:space="preserve">Electro-Pneumatic Analogic Positioner Mod. IP8000 </t>
  </si>
  <si>
    <t>IP8000-10-0</t>
  </si>
  <si>
    <t>Pressure:</t>
  </si>
  <si>
    <t>ASTM A351</t>
  </si>
  <si>
    <t>Crygenic lite</t>
  </si>
  <si>
    <t>615.38</t>
  </si>
  <si>
    <t>Pneumatic Analogic Positioner  Mod. IP5000 w/Gauge</t>
  </si>
  <si>
    <t>IP5000-10-0</t>
  </si>
  <si>
    <t>Temp:</t>
  </si>
  <si>
    <t>ASTM A216</t>
  </si>
  <si>
    <t>PL€</t>
  </si>
  <si>
    <t>Accessories Description</t>
  </si>
  <si>
    <t>CODE</t>
  </si>
  <si>
    <t>value</t>
  </si>
  <si>
    <t>category</t>
  </si>
  <si>
    <t>ASTM A395</t>
  </si>
  <si>
    <t>Column12</t>
  </si>
  <si>
    <t>Material</t>
  </si>
  <si>
    <t>pn</t>
  </si>
  <si>
    <t>Bonnet</t>
  </si>
  <si>
    <t>Recomended Valve size :</t>
  </si>
  <si>
    <t>yes</t>
  </si>
  <si>
    <t>Row number</t>
  </si>
  <si>
    <t>Suggested</t>
  </si>
  <si>
    <t>Valve CV</t>
  </si>
  <si>
    <t xml:space="preserve">RegadaST01PA                                    </t>
  </si>
  <si>
    <t>ROW</t>
  </si>
  <si>
    <t>Electric</t>
  </si>
  <si>
    <t>Positioner</t>
  </si>
  <si>
    <t>Air Filter Reg</t>
  </si>
  <si>
    <t>Solenoid Valve Mod</t>
  </si>
  <si>
    <t>Limit Switches</t>
  </si>
  <si>
    <t>Volume Booster</t>
  </si>
  <si>
    <t>Lock-UP</t>
  </si>
  <si>
    <t>Flow Controler</t>
  </si>
  <si>
    <t>Converter</t>
  </si>
  <si>
    <t>Selection</t>
  </si>
  <si>
    <t>Velocity status</t>
  </si>
  <si>
    <t>Sound Status</t>
  </si>
  <si>
    <t>Suggested Valve Size</t>
  </si>
  <si>
    <t>Suggested Valve CV</t>
  </si>
  <si>
    <t>Valve Body</t>
  </si>
  <si>
    <t>Packing</t>
  </si>
  <si>
    <t>S200</t>
  </si>
  <si>
    <t>S275</t>
  </si>
  <si>
    <t>S335</t>
  </si>
  <si>
    <t>S430</t>
  </si>
  <si>
    <t>S430S</t>
  </si>
  <si>
    <t>S500</t>
  </si>
  <si>
    <t>Column7</t>
  </si>
  <si>
    <t>Column8</t>
  </si>
  <si>
    <t xml:space="preserve">Options </t>
  </si>
  <si>
    <t>Action</t>
  </si>
  <si>
    <t>Pillar Yoke 210mm</t>
  </si>
  <si>
    <t>Pillar Yoke 245mm</t>
  </si>
  <si>
    <t>Actuator stainless Steel</t>
  </si>
  <si>
    <t>Handwheel</t>
  </si>
  <si>
    <t>Accessories</t>
  </si>
  <si>
    <t>Selected Valve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</si>
</sst>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 #,##0.00\ &quot;€&quot;_-;\-* #,##0.00\ &quot;€&quot;_-;_-* &quot;-&quot;??\ &quot;€&quot;_-;_-@_-"/>
    <numFmt numFmtId="164" formatCode="0.0000"/>
    <numFmt numFmtId="165" formatCode="0.0000E+00"/>
    <numFmt numFmtId="166" formatCode="0.0"/>
    <numFmt numFmtId="167" formatCode="0.000"/>
    <numFmt numFmtId="168" formatCode="0.0%"/>
    <numFmt numFmtId="169" formatCode="#,##0.000"/>
    <numFmt numFmtId="170" formatCode="0.000000000"/>
    <numFmt numFmtId="171" formatCode="#,##0.00\ &quot;€&quot;"/>
    <numFmt numFmtId="172" formatCode="0.000%"/>
  </numFmts>
  <fonts count="70" x14ac:knownFonts="1">
    <font>
      <sz val="10"/>
      <name val="Arial"/>
    </font>
    <font>
      <b/>
      <sz val="10"/>
      <name val="Arial"/>
      <family val="2"/>
    </font>
    <font>
      <sz val="10"/>
      <name val="Arial"/>
      <family val="2"/>
    </font>
    <font>
      <u/>
      <sz val="10"/>
      <color indexed="12"/>
      <name val="Arial"/>
      <family val="2"/>
    </font>
    <font>
      <b/>
      <sz val="14"/>
      <name val="Arial"/>
      <family val="2"/>
    </font>
    <font>
      <sz val="8"/>
      <name val="Arial"/>
      <family val="2"/>
    </font>
    <font>
      <b/>
      <sz val="8"/>
      <name val="Arial"/>
      <family val="2"/>
    </font>
    <font>
      <b/>
      <i/>
      <sz val="10"/>
      <name val="Arial"/>
      <family val="2"/>
    </font>
    <font>
      <i/>
      <sz val="10"/>
      <name val="Arial"/>
      <family val="2"/>
    </font>
    <font>
      <u/>
      <sz val="8"/>
      <color indexed="12"/>
      <name val="Arial"/>
      <family val="2"/>
    </font>
    <font>
      <sz val="14"/>
      <name val="Arial"/>
      <family val="2"/>
    </font>
    <font>
      <b/>
      <u/>
      <sz val="8"/>
      <color indexed="12"/>
      <name val="Arial"/>
      <family val="2"/>
    </font>
    <font>
      <u/>
      <sz val="8"/>
      <color indexed="12"/>
      <name val="Arial"/>
      <family val="2"/>
    </font>
    <font>
      <b/>
      <i/>
      <sz val="12"/>
      <name val="Arial"/>
      <family val="2"/>
    </font>
    <font>
      <sz val="10"/>
      <name val="Calibri"/>
      <family val="2"/>
    </font>
    <font>
      <u/>
      <sz val="10"/>
      <name val="Arial"/>
      <family val="2"/>
    </font>
    <font>
      <b/>
      <sz val="12"/>
      <color indexed="10"/>
      <name val="Arial"/>
      <family val="2"/>
    </font>
    <font>
      <sz val="10"/>
      <color indexed="10"/>
      <name val="Arial"/>
      <family val="2"/>
    </font>
    <font>
      <b/>
      <u/>
      <sz val="16"/>
      <color indexed="10"/>
      <name val="Arial"/>
      <family val="2"/>
    </font>
    <font>
      <b/>
      <sz val="11"/>
      <name val="Arial"/>
      <family val="2"/>
    </font>
    <font>
      <b/>
      <sz val="12"/>
      <name val="Arial"/>
      <family val="2"/>
    </font>
    <font>
      <b/>
      <sz val="11"/>
      <color indexed="10"/>
      <name val="Arial"/>
      <family val="2"/>
    </font>
    <font>
      <b/>
      <sz val="10"/>
      <color indexed="10"/>
      <name val="Arial"/>
      <family val="2"/>
    </font>
    <font>
      <b/>
      <u/>
      <sz val="12"/>
      <color indexed="10"/>
      <name val="Arial"/>
      <family val="2"/>
    </font>
    <font>
      <b/>
      <sz val="9"/>
      <color indexed="81"/>
      <name val="Tahoma"/>
      <family val="2"/>
    </font>
    <font>
      <sz val="9"/>
      <color indexed="81"/>
      <name val="Tahoma"/>
      <family val="2"/>
    </font>
    <font>
      <sz val="10"/>
      <color indexed="10"/>
      <name val="Calibri"/>
      <family val="2"/>
    </font>
    <font>
      <u/>
      <sz val="10"/>
      <color indexed="10"/>
      <name val="Arial"/>
      <family val="2"/>
    </font>
    <font>
      <vertAlign val="subscript"/>
      <sz val="10"/>
      <name val="Arial"/>
      <family val="2"/>
    </font>
    <font>
      <b/>
      <sz val="10"/>
      <name val="Calibri"/>
      <family val="2"/>
    </font>
    <font>
      <b/>
      <sz val="11"/>
      <color indexed="8"/>
      <name val="Calibri"/>
      <family val="2"/>
    </font>
    <font>
      <sz val="10"/>
      <color indexed="10"/>
      <name val="Arial"/>
      <family val="2"/>
    </font>
    <font>
      <b/>
      <sz val="10"/>
      <color indexed="10"/>
      <name val="Arial"/>
      <family val="2"/>
    </font>
    <font>
      <sz val="8"/>
      <name val="Arial"/>
      <family val="2"/>
    </font>
    <font>
      <sz val="10"/>
      <color indexed="10"/>
      <name val="Arial"/>
      <family val="2"/>
    </font>
    <font>
      <b/>
      <sz val="9"/>
      <color indexed="10"/>
      <name val="Arial"/>
      <family val="2"/>
    </font>
    <font>
      <b/>
      <sz val="18"/>
      <name val="Arial"/>
      <family val="2"/>
    </font>
    <font>
      <b/>
      <sz val="9"/>
      <name val="Arial"/>
      <family val="2"/>
    </font>
    <font>
      <b/>
      <sz val="9"/>
      <color indexed="9"/>
      <name val="Arial"/>
      <family val="2"/>
    </font>
    <font>
      <sz val="9"/>
      <name val="Arial"/>
      <family val="2"/>
    </font>
    <font>
      <vertAlign val="superscript"/>
      <sz val="11"/>
      <color indexed="8"/>
      <name val="Calibri"/>
      <family val="2"/>
    </font>
    <font>
      <vertAlign val="superscript"/>
      <sz val="10"/>
      <name val="Arial"/>
      <family val="2"/>
    </font>
    <font>
      <sz val="10"/>
      <color indexed="12"/>
      <name val="Arial"/>
      <family val="2"/>
    </font>
    <font>
      <sz val="9"/>
      <color indexed="8"/>
      <name val="Arial"/>
      <family val="2"/>
    </font>
    <font>
      <sz val="7"/>
      <name val="Arial"/>
      <family val="2"/>
    </font>
    <font>
      <sz val="10"/>
      <name val="Arial"/>
      <family val="2"/>
    </font>
    <font>
      <sz val="11"/>
      <name val="Calibri"/>
      <family val="2"/>
    </font>
    <font>
      <i/>
      <vertAlign val="subscript"/>
      <sz val="10"/>
      <name val="Arial"/>
      <family val="2"/>
    </font>
    <font>
      <sz val="12"/>
      <name val="Arial"/>
      <family val="2"/>
    </font>
    <font>
      <b/>
      <sz val="12"/>
      <name val="Arial"/>
      <family val="2"/>
    </font>
    <font>
      <sz val="12"/>
      <name val="Arial"/>
      <family val="2"/>
    </font>
    <font>
      <sz val="11"/>
      <color theme="1"/>
      <name val="Calibri"/>
      <family val="2"/>
      <scheme val="minor"/>
    </font>
    <font>
      <sz val="10"/>
      <color rgb="FFFF0000"/>
      <name val="Calibri"/>
      <family val="2"/>
    </font>
    <font>
      <sz val="10"/>
      <color rgb="FFFF0000"/>
      <name val="Arial"/>
      <family val="2"/>
    </font>
    <font>
      <sz val="11"/>
      <color rgb="FF1F497D"/>
      <name val="Calibri"/>
      <family val="2"/>
    </font>
    <font>
      <b/>
      <sz val="11"/>
      <color rgb="FFFF0000"/>
      <name val="Arial"/>
      <family val="2"/>
    </font>
    <font>
      <b/>
      <sz val="10"/>
      <color rgb="FFFF0000"/>
      <name val="Arial"/>
      <family val="2"/>
    </font>
    <font>
      <b/>
      <sz val="11"/>
      <color theme="1"/>
      <name val="Calibri"/>
      <family val="2"/>
      <scheme val="minor"/>
    </font>
    <font>
      <sz val="10"/>
      <color rgb="FFFBDE2D"/>
      <name val="Courier New"/>
      <family val="3"/>
    </font>
    <font>
      <sz val="10"/>
      <color theme="1"/>
      <name val="Times New Roman"/>
      <family val="1"/>
    </font>
    <font>
      <b/>
      <sz val="9"/>
      <color theme="0"/>
      <name val="Arial"/>
      <family val="2"/>
    </font>
    <font>
      <sz val="9"/>
      <color rgb="FF1F497D"/>
      <name val="Courier New"/>
      <family val="3"/>
    </font>
    <font>
      <b/>
      <sz val="9"/>
      <color rgb="FF7030A0"/>
      <name val="Arial"/>
      <family val="2"/>
    </font>
    <font>
      <b/>
      <sz val="9"/>
      <color rgb="FFFFFFFF"/>
      <name val="Arial"/>
      <family val="2"/>
    </font>
    <font>
      <b/>
      <sz val="9"/>
      <color rgb="FF24292E"/>
      <name val="Segoe UI"/>
      <family val="2"/>
    </font>
    <font>
      <sz val="9"/>
      <color rgb="FF24292E"/>
      <name val="Segoe UI"/>
      <family val="2"/>
    </font>
    <font>
      <b/>
      <u/>
      <sz val="10"/>
      <color rgb="FFFF0000"/>
      <name val="Arial"/>
      <family val="2"/>
    </font>
    <font>
      <b/>
      <sz val="11"/>
      <color theme="0"/>
      <name val="Calibri"/>
      <family val="2"/>
      <scheme val="minor"/>
    </font>
    <font>
      <b/>
      <u/>
      <sz val="11"/>
      <color rgb="FFFF0000"/>
      <name val="Arial"/>
      <family val="2"/>
    </font>
    <font>
      <sz val="8"/>
      <name val="Arial"/>
    </font>
  </fonts>
  <fills count="33">
    <fill>
      <patternFill patternType="none"/>
    </fill>
    <fill>
      <patternFill patternType="gray125"/>
    </fill>
    <fill>
      <patternFill patternType="solid">
        <fgColor indexed="41"/>
        <bgColor indexed="64"/>
      </patternFill>
    </fill>
    <fill>
      <patternFill patternType="lightGray">
        <fgColor indexed="9"/>
        <bgColor indexed="41"/>
      </patternFill>
    </fill>
    <fill>
      <patternFill patternType="solid">
        <fgColor indexed="55"/>
        <bgColor indexed="64"/>
      </patternFill>
    </fill>
    <fill>
      <patternFill patternType="solid">
        <fgColor indexed="51"/>
        <bgColor indexed="64"/>
      </patternFill>
    </fill>
    <fill>
      <patternFill patternType="solid">
        <fgColor indexed="40"/>
        <bgColor indexed="64"/>
      </patternFill>
    </fill>
    <fill>
      <patternFill patternType="solid">
        <fgColor indexed="50"/>
        <bgColor indexed="64"/>
      </patternFill>
    </fill>
    <fill>
      <patternFill patternType="solid">
        <fgColor indexed="13"/>
        <bgColor indexed="64"/>
      </patternFill>
    </fill>
    <fill>
      <patternFill patternType="solid">
        <fgColor indexed="44"/>
        <bgColor indexed="64"/>
      </patternFill>
    </fill>
    <fill>
      <patternFill patternType="solid">
        <fgColor indexed="11"/>
        <bgColor indexed="64"/>
      </patternFill>
    </fill>
    <fill>
      <patternFill patternType="solid">
        <fgColor indexed="53"/>
        <bgColor indexed="64"/>
      </patternFill>
    </fill>
    <fill>
      <patternFill patternType="solid">
        <fgColor indexed="17"/>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theme="8"/>
        <bgColor indexed="64"/>
      </patternFill>
    </fill>
    <fill>
      <patternFill patternType="solid">
        <fgColor theme="8" tint="0.39997558519241921"/>
        <bgColor indexed="64"/>
      </patternFill>
    </fill>
    <fill>
      <patternFill patternType="solid">
        <fgColor rgb="FFB8BABC"/>
      </patternFill>
    </fill>
    <fill>
      <patternFill patternType="solid">
        <fgColor rgb="FF000000"/>
      </patternFill>
    </fill>
    <fill>
      <patternFill patternType="solid">
        <fgColor rgb="FFFFC0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6F8FA"/>
        <bgColor indexed="64"/>
      </patternFill>
    </fill>
    <fill>
      <patternFill patternType="solid">
        <fgColor rgb="FFFFFFFF"/>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8" tint="0.79998168889431442"/>
        <bgColor indexed="64"/>
      </patternFill>
    </fill>
    <fill>
      <patternFill patternType="solid">
        <fgColor rgb="FF92D050"/>
        <bgColor indexed="64"/>
      </patternFill>
    </fill>
  </fills>
  <borders count="1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bottom/>
      <diagonal/>
    </border>
    <border>
      <left/>
      <right style="medium">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bottom style="hair">
        <color indexed="64"/>
      </bottom>
      <diagonal/>
    </border>
    <border>
      <left style="medium">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medium">
        <color indexed="64"/>
      </left>
      <right style="hair">
        <color indexed="64"/>
      </right>
      <top style="hair">
        <color indexed="64"/>
      </top>
      <bottom/>
      <diagonal/>
    </border>
    <border>
      <left style="medium">
        <color indexed="64"/>
      </left>
      <right style="medium">
        <color indexed="64"/>
      </right>
      <top style="hair">
        <color indexed="64"/>
      </top>
      <bottom style="hair">
        <color indexed="64"/>
      </bottom>
      <diagonal/>
    </border>
    <border>
      <left style="medium">
        <color indexed="64"/>
      </left>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style="thin">
        <color indexed="64"/>
      </top>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right style="double">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FFFFFF"/>
      </left>
      <right/>
      <top/>
      <bottom style="thin">
        <color rgb="FFFFFFFF"/>
      </bottom>
      <diagonal/>
    </border>
    <border>
      <left/>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FFFFFF"/>
      </right>
      <top/>
      <bottom/>
      <diagonal/>
    </border>
    <border>
      <left/>
      <right/>
      <top style="thin">
        <color rgb="FF000000"/>
      </top>
      <bottom style="thin">
        <color rgb="FF000000"/>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000000"/>
      </bottom>
      <diagonal/>
    </border>
    <border>
      <left style="thin">
        <color rgb="FFFFFFFF"/>
      </left>
      <right/>
      <top style="thin">
        <color rgb="FFFFFFFF"/>
      </top>
      <bottom style="thin">
        <color rgb="FF000000"/>
      </bottom>
      <diagonal/>
    </border>
    <border>
      <left/>
      <right style="thin">
        <color rgb="FFFFFFFF"/>
      </right>
      <top style="thin">
        <color rgb="FFFFFFFF"/>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medium">
        <color rgb="FFDFE2E5"/>
      </right>
      <top/>
      <bottom style="medium">
        <color rgb="FFDFE2E5"/>
      </bottom>
      <diagonal/>
    </border>
    <border>
      <left/>
      <right style="medium">
        <color rgb="FFDFE2E5"/>
      </right>
      <top style="medium">
        <color rgb="FFDFE2E5"/>
      </top>
      <bottom style="medium">
        <color rgb="FFDFE2E5"/>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5">
    <xf numFmtId="0" fontId="0" fillId="0" borderId="0"/>
    <xf numFmtId="0" fontId="3" fillId="0" borderId="0" applyNumberFormat="0" applyFill="0" applyBorder="0" applyAlignment="0" applyProtection="0">
      <alignment vertical="top"/>
      <protection locked="0"/>
    </xf>
    <xf numFmtId="0" fontId="2" fillId="0" borderId="0"/>
    <xf numFmtId="0" fontId="51" fillId="0" borderId="0"/>
    <xf numFmtId="9" fontId="45" fillId="0" borderId="0" applyFont="0" applyFill="0" applyBorder="0" applyAlignment="0" applyProtection="0"/>
  </cellStyleXfs>
  <cellXfs count="865">
    <xf numFmtId="0" fontId="0" fillId="0" borderId="0" xfId="0"/>
    <xf numFmtId="0" fontId="1" fillId="0" borderId="0" xfId="0" applyFont="1"/>
    <xf numFmtId="0" fontId="2" fillId="0" borderId="0" xfId="0" applyFont="1"/>
    <xf numFmtId="0" fontId="0" fillId="0" borderId="1" xfId="0" applyBorder="1"/>
    <xf numFmtId="0" fontId="1" fillId="0" borderId="1" xfId="0" applyFont="1" applyBorder="1"/>
    <xf numFmtId="0" fontId="0" fillId="0" borderId="2" xfId="0" applyBorder="1"/>
    <xf numFmtId="0" fontId="4" fillId="0" borderId="0" xfId="0" applyFont="1"/>
    <xf numFmtId="0" fontId="0" fillId="0" borderId="0" xfId="0" applyBorder="1"/>
    <xf numFmtId="164" fontId="1" fillId="0" borderId="0" xfId="0" applyNumberFormat="1" applyFont="1"/>
    <xf numFmtId="0" fontId="5" fillId="0" borderId="0" xfId="0" applyFont="1"/>
    <xf numFmtId="165" fontId="1" fillId="0" borderId="0" xfId="0" applyNumberFormat="1" applyFont="1"/>
    <xf numFmtId="0" fontId="6" fillId="0" borderId="0" xfId="0" applyFont="1"/>
    <xf numFmtId="0" fontId="7" fillId="0" borderId="0" xfId="0" applyFont="1"/>
    <xf numFmtId="0" fontId="8" fillId="0" borderId="0" xfId="0" applyFont="1"/>
    <xf numFmtId="0" fontId="10" fillId="0" borderId="0" xfId="0" applyFont="1"/>
    <xf numFmtId="0" fontId="11" fillId="0" borderId="0" xfId="1" applyFont="1" applyAlignment="1" applyProtection="1"/>
    <xf numFmtId="0" fontId="12" fillId="0" borderId="0" xfId="1" applyFont="1" applyAlignment="1" applyProtection="1"/>
    <xf numFmtId="0" fontId="0" fillId="2" borderId="1" xfId="0" applyFill="1" applyBorder="1"/>
    <xf numFmtId="0" fontId="0" fillId="2" borderId="2" xfId="0" applyFill="1" applyBorder="1"/>
    <xf numFmtId="0" fontId="0" fillId="0" borderId="3" xfId="0" applyBorder="1"/>
    <xf numFmtId="0" fontId="0" fillId="0" borderId="4" xfId="0" applyBorder="1"/>
    <xf numFmtId="0" fontId="0" fillId="0" borderId="5" xfId="0" applyBorder="1"/>
    <xf numFmtId="0" fontId="0" fillId="0" borderId="1" xfId="0" applyFill="1" applyBorder="1"/>
    <xf numFmtId="0" fontId="0" fillId="0" borderId="0" xfId="0" applyFill="1" applyBorder="1"/>
    <xf numFmtId="0" fontId="0" fillId="0" borderId="2" xfId="0" applyFill="1" applyBorder="1"/>
    <xf numFmtId="0" fontId="13" fillId="0" borderId="0" xfId="0" applyFont="1"/>
    <xf numFmtId="0" fontId="9" fillId="0" borderId="0" xfId="1" applyFont="1" applyAlignment="1" applyProtection="1"/>
    <xf numFmtId="0" fontId="3" fillId="0" borderId="0" xfId="1" applyAlignment="1" applyProtection="1"/>
    <xf numFmtId="0" fontId="1" fillId="0" borderId="0" xfId="0" applyFont="1" applyFill="1" applyBorder="1"/>
    <xf numFmtId="167" fontId="0" fillId="0" borderId="0" xfId="0" applyNumberFormat="1" applyBorder="1"/>
    <xf numFmtId="2" fontId="0" fillId="0" borderId="0" xfId="0" applyNumberFormat="1" applyBorder="1"/>
    <xf numFmtId="166" fontId="0" fillId="0" borderId="0" xfId="0" applyNumberFormat="1" applyBorder="1"/>
    <xf numFmtId="0" fontId="1" fillId="0" borderId="1" xfId="0" applyFont="1" applyFill="1" applyBorder="1"/>
    <xf numFmtId="166" fontId="0" fillId="0" borderId="4" xfId="0" applyNumberFormat="1" applyBorder="1"/>
    <xf numFmtId="0" fontId="1" fillId="0" borderId="0" xfId="0" applyFont="1" applyBorder="1" applyAlignment="1">
      <alignment horizontal="center"/>
    </xf>
    <xf numFmtId="0" fontId="0" fillId="2" borderId="6" xfId="0" applyFill="1" applyBorder="1"/>
    <xf numFmtId="2" fontId="1" fillId="3" borderId="7" xfId="0" applyNumberFormat="1" applyFont="1" applyFill="1" applyBorder="1"/>
    <xf numFmtId="0" fontId="0" fillId="2" borderId="8" xfId="0" applyFill="1" applyBorder="1"/>
    <xf numFmtId="2" fontId="1" fillId="3" borderId="0" xfId="0" applyNumberFormat="1" applyFont="1" applyFill="1" applyBorder="1"/>
    <xf numFmtId="167" fontId="1" fillId="3" borderId="7" xfId="0" applyNumberFormat="1" applyFont="1" applyFill="1" applyBorder="1"/>
    <xf numFmtId="0" fontId="2" fillId="0" borderId="0" xfId="0" applyFont="1" applyBorder="1"/>
    <xf numFmtId="0" fontId="8" fillId="0" borderId="0" xfId="0" applyFont="1" applyBorder="1"/>
    <xf numFmtId="0" fontId="2" fillId="0" borderId="0" xfId="2"/>
    <xf numFmtId="0" fontId="2" fillId="0" borderId="0" xfId="2" applyFont="1"/>
    <xf numFmtId="0" fontId="15" fillId="0" borderId="0" xfId="2" applyFont="1"/>
    <xf numFmtId="0" fontId="1" fillId="0" borderId="0" xfId="2" applyFont="1" applyAlignment="1">
      <alignment wrapText="1"/>
    </xf>
    <xf numFmtId="0" fontId="1" fillId="0" borderId="0" xfId="2" applyFont="1"/>
    <xf numFmtId="0" fontId="16" fillId="0" borderId="0" xfId="2" applyFont="1"/>
    <xf numFmtId="0" fontId="2" fillId="0" borderId="9" xfId="2" applyFill="1" applyBorder="1" applyAlignment="1">
      <alignment horizontal="center" vertical="center"/>
    </xf>
    <xf numFmtId="0" fontId="2" fillId="0" borderId="10" xfId="2" applyFill="1" applyBorder="1" applyAlignment="1">
      <alignment horizontal="center" vertical="center"/>
    </xf>
    <xf numFmtId="0" fontId="2" fillId="0" borderId="11" xfId="2" applyFill="1" applyBorder="1" applyAlignment="1">
      <alignment horizontal="center" vertical="center"/>
    </xf>
    <xf numFmtId="166" fontId="2" fillId="0" borderId="12" xfId="2" applyNumberFormat="1" applyFill="1" applyBorder="1" applyAlignment="1">
      <alignment horizontal="center" vertical="center"/>
    </xf>
    <xf numFmtId="0" fontId="2" fillId="0" borderId="13" xfId="2" applyFill="1" applyBorder="1" applyAlignment="1">
      <alignment horizontal="center" vertical="center"/>
    </xf>
    <xf numFmtId="0" fontId="2" fillId="0" borderId="14" xfId="2" applyFill="1" applyBorder="1" applyAlignment="1">
      <alignment horizontal="center" vertical="center"/>
    </xf>
    <xf numFmtId="0" fontId="2" fillId="0" borderId="15" xfId="2" applyFill="1" applyBorder="1" applyAlignment="1">
      <alignment horizontal="center" vertical="center"/>
    </xf>
    <xf numFmtId="0" fontId="2" fillId="0" borderId="16" xfId="2" applyFill="1" applyBorder="1" applyAlignment="1">
      <alignment horizontal="center" vertical="center"/>
    </xf>
    <xf numFmtId="0" fontId="2" fillId="0" borderId="17" xfId="2" applyFill="1" applyBorder="1" applyAlignment="1">
      <alignment horizontal="center" vertical="center"/>
    </xf>
    <xf numFmtId="166" fontId="2" fillId="0" borderId="5" xfId="2" applyNumberFormat="1" applyFill="1" applyBorder="1" applyAlignment="1">
      <alignment horizontal="center" vertical="center"/>
    </xf>
    <xf numFmtId="0" fontId="2" fillId="0" borderId="18" xfId="2" applyFill="1" applyBorder="1" applyAlignment="1">
      <alignment horizontal="center" vertical="center"/>
    </xf>
    <xf numFmtId="0" fontId="2" fillId="0" borderId="19" xfId="2" applyFill="1" applyBorder="1" applyAlignment="1">
      <alignment horizontal="center" vertical="center"/>
    </xf>
    <xf numFmtId="0" fontId="17" fillId="0" borderId="16" xfId="2" applyFont="1" applyFill="1" applyBorder="1" applyAlignment="1">
      <alignment horizontal="center" vertical="center"/>
    </xf>
    <xf numFmtId="0" fontId="17" fillId="0" borderId="17" xfId="2" applyFont="1" applyFill="1" applyBorder="1" applyAlignment="1">
      <alignment horizontal="center" vertical="center"/>
    </xf>
    <xf numFmtId="0" fontId="2" fillId="0" borderId="0" xfId="2" applyFont="1" applyAlignment="1">
      <alignment wrapText="1"/>
    </xf>
    <xf numFmtId="0" fontId="14" fillId="0" borderId="0" xfId="2" applyFont="1"/>
    <xf numFmtId="0" fontId="2" fillId="0" borderId="0" xfId="2" applyFont="1" applyAlignment="1"/>
    <xf numFmtId="0" fontId="2" fillId="0" borderId="15" xfId="2" applyFont="1" applyFill="1" applyBorder="1" applyAlignment="1">
      <alignment horizontal="center" vertical="center"/>
    </xf>
    <xf numFmtId="0" fontId="2" fillId="0" borderId="20" xfId="2" applyFont="1" applyFill="1" applyBorder="1" applyAlignment="1">
      <alignment horizontal="center" vertical="center"/>
    </xf>
    <xf numFmtId="0" fontId="17" fillId="0" borderId="20" xfId="2" applyFont="1" applyFill="1" applyBorder="1" applyAlignment="1">
      <alignment horizontal="center" vertical="center"/>
    </xf>
    <xf numFmtId="0" fontId="2" fillId="0" borderId="20" xfId="2" applyFill="1" applyBorder="1" applyAlignment="1">
      <alignment horizontal="center" vertical="center"/>
    </xf>
    <xf numFmtId="0" fontId="2" fillId="0" borderId="21" xfId="2" applyFill="1" applyBorder="1" applyAlignment="1">
      <alignment horizontal="center" vertical="center"/>
    </xf>
    <xf numFmtId="0" fontId="2" fillId="0" borderId="3" xfId="2" applyFill="1" applyBorder="1" applyAlignment="1">
      <alignment horizontal="center" vertical="center"/>
    </xf>
    <xf numFmtId="0" fontId="1" fillId="0" borderId="19" xfId="2" applyFont="1" applyFill="1" applyBorder="1" applyAlignment="1">
      <alignment horizontal="center" vertical="center"/>
    </xf>
    <xf numFmtId="166" fontId="6" fillId="0" borderId="11" xfId="2" applyNumberFormat="1" applyFont="1" applyFill="1" applyBorder="1" applyAlignment="1">
      <alignment horizontal="center" vertical="center"/>
    </xf>
    <xf numFmtId="0" fontId="6" fillId="0" borderId="11" xfId="2" applyFont="1" applyFill="1" applyBorder="1" applyAlignment="1">
      <alignment horizontal="center" vertical="center"/>
    </xf>
    <xf numFmtId="0" fontId="6" fillId="0" borderId="11" xfId="2" applyFont="1" applyFill="1" applyBorder="1" applyAlignment="1">
      <alignment horizontal="center" vertical="center" wrapText="1"/>
    </xf>
    <xf numFmtId="0" fontId="6" fillId="0" borderId="12" xfId="2" applyFont="1" applyFill="1" applyBorder="1" applyAlignment="1">
      <alignment horizontal="center" vertical="center" wrapText="1"/>
    </xf>
    <xf numFmtId="0" fontId="6" fillId="0" borderId="13" xfId="2" applyFont="1" applyFill="1" applyBorder="1" applyAlignment="1">
      <alignment horizontal="center" vertical="center" wrapText="1"/>
    </xf>
    <xf numFmtId="0" fontId="6" fillId="0" borderId="14" xfId="2" applyFont="1" applyFill="1" applyBorder="1" applyAlignment="1">
      <alignment horizontal="center" vertical="center" wrapText="1"/>
    </xf>
    <xf numFmtId="0" fontId="18" fillId="0" borderId="0" xfId="2" applyFont="1" applyAlignment="1">
      <alignment horizontal="center"/>
    </xf>
    <xf numFmtId="0" fontId="1" fillId="0" borderId="20" xfId="2" applyFont="1" applyFill="1" applyBorder="1" applyAlignment="1">
      <alignment horizontal="center" vertical="center" wrapText="1"/>
    </xf>
    <xf numFmtId="0" fontId="21" fillId="0" borderId="0" xfId="2" applyFont="1"/>
    <xf numFmtId="0" fontId="2" fillId="0" borderId="9" xfId="2" applyBorder="1" applyAlignment="1">
      <alignment horizontal="center" vertical="center"/>
    </xf>
    <xf numFmtId="0" fontId="2" fillId="4" borderId="9" xfId="2" applyFill="1" applyBorder="1" applyAlignment="1">
      <alignment horizontal="center" vertical="center"/>
    </xf>
    <xf numFmtId="0" fontId="2" fillId="0" borderId="22" xfId="2" applyBorder="1" applyAlignment="1">
      <alignment horizontal="center" vertical="center"/>
    </xf>
    <xf numFmtId="0" fontId="2" fillId="5" borderId="9" xfId="2" applyFill="1" applyBorder="1" applyAlignment="1">
      <alignment horizontal="center" vertical="center"/>
    </xf>
    <xf numFmtId="0" fontId="2" fillId="6" borderId="20" xfId="2" applyFill="1" applyBorder="1" applyAlignment="1">
      <alignment horizontal="center" vertical="center"/>
    </xf>
    <xf numFmtId="0" fontId="2" fillId="6" borderId="11" xfId="2" applyFill="1" applyBorder="1" applyAlignment="1">
      <alignment horizontal="center" vertical="center"/>
    </xf>
    <xf numFmtId="166" fontId="2" fillId="6" borderId="12" xfId="2" applyNumberFormat="1" applyFill="1" applyBorder="1" applyAlignment="1">
      <alignment horizontal="center" vertical="center"/>
    </xf>
    <xf numFmtId="0" fontId="2" fillId="7" borderId="13" xfId="2" applyFill="1" applyBorder="1" applyAlignment="1">
      <alignment horizontal="center" vertical="center"/>
    </xf>
    <xf numFmtId="0" fontId="2" fillId="7" borderId="14" xfId="2" applyFill="1" applyBorder="1" applyAlignment="1">
      <alignment horizontal="center" vertical="center"/>
    </xf>
    <xf numFmtId="0" fontId="2" fillId="0" borderId="10" xfId="2" applyBorder="1" applyAlignment="1">
      <alignment horizontal="center" vertical="center"/>
    </xf>
    <xf numFmtId="0" fontId="2" fillId="0" borderId="11" xfId="2" applyBorder="1" applyAlignment="1">
      <alignment horizontal="center" vertical="center"/>
    </xf>
    <xf numFmtId="0" fontId="2" fillId="0" borderId="15" xfId="2" applyBorder="1" applyAlignment="1">
      <alignment horizontal="center" vertical="center"/>
    </xf>
    <xf numFmtId="0" fontId="2" fillId="0" borderId="23" xfId="2" applyBorder="1" applyAlignment="1">
      <alignment horizontal="center" vertical="center"/>
    </xf>
    <xf numFmtId="0" fontId="2" fillId="4" borderId="23" xfId="2" applyFill="1" applyBorder="1" applyAlignment="1">
      <alignment horizontal="center" vertical="center"/>
    </xf>
    <xf numFmtId="0" fontId="2" fillId="0" borderId="24" xfId="2" applyBorder="1" applyAlignment="1">
      <alignment horizontal="center" vertical="center"/>
    </xf>
    <xf numFmtId="0" fontId="2" fillId="5" borderId="15" xfId="2" applyFill="1" applyBorder="1" applyAlignment="1">
      <alignment horizontal="center" vertical="center"/>
    </xf>
    <xf numFmtId="0" fontId="2" fillId="6" borderId="17" xfId="2" applyFill="1" applyBorder="1" applyAlignment="1">
      <alignment horizontal="center" vertical="center"/>
    </xf>
    <xf numFmtId="166" fontId="2" fillId="6" borderId="5" xfId="2" applyNumberFormat="1" applyFill="1" applyBorder="1" applyAlignment="1">
      <alignment horizontal="center" vertical="center"/>
    </xf>
    <xf numFmtId="0" fontId="2" fillId="7" borderId="18" xfId="2" applyFill="1" applyBorder="1" applyAlignment="1">
      <alignment horizontal="center" vertical="center"/>
    </xf>
    <xf numFmtId="0" fontId="2" fillId="7" borderId="19" xfId="2" applyFill="1" applyBorder="1" applyAlignment="1">
      <alignment horizontal="center" vertical="center"/>
    </xf>
    <xf numFmtId="0" fontId="2" fillId="0" borderId="16" xfId="2" applyBorder="1" applyAlignment="1">
      <alignment horizontal="center" vertical="center"/>
    </xf>
    <xf numFmtId="0" fontId="2" fillId="0" borderId="17" xfId="2" applyBorder="1" applyAlignment="1">
      <alignment horizontal="center" vertical="center"/>
    </xf>
    <xf numFmtId="0" fontId="2" fillId="0" borderId="15" xfId="2" applyFont="1" applyBorder="1" applyAlignment="1">
      <alignment horizontal="center" vertical="center"/>
    </xf>
    <xf numFmtId="0" fontId="17" fillId="8" borderId="0" xfId="2" applyFont="1" applyFill="1"/>
    <xf numFmtId="0" fontId="2" fillId="8" borderId="0" xfId="2" applyFill="1"/>
    <xf numFmtId="0" fontId="2" fillId="5" borderId="15" xfId="2" applyFont="1" applyFill="1" applyBorder="1" applyAlignment="1">
      <alignment horizontal="center" vertical="center"/>
    </xf>
    <xf numFmtId="0" fontId="22" fillId="8" borderId="0" xfId="2" applyFont="1" applyFill="1" applyAlignment="1">
      <alignment horizontal="center" vertical="center"/>
    </xf>
    <xf numFmtId="0" fontId="2" fillId="0" borderId="25" xfId="2" applyFont="1" applyBorder="1" applyAlignment="1">
      <alignment horizontal="center" vertical="center"/>
    </xf>
    <xf numFmtId="0" fontId="2" fillId="5" borderId="21" xfId="2" applyFill="1" applyBorder="1" applyAlignment="1">
      <alignment horizontal="center" vertical="center"/>
    </xf>
    <xf numFmtId="0" fontId="2" fillId="0" borderId="3" xfId="2" applyBorder="1" applyAlignment="1">
      <alignment horizontal="center" vertical="center"/>
    </xf>
    <xf numFmtId="0" fontId="2" fillId="0" borderId="20" xfId="2" applyBorder="1" applyAlignment="1">
      <alignment horizontal="center" vertical="center"/>
    </xf>
    <xf numFmtId="0" fontId="1" fillId="0" borderId="19" xfId="2" applyFont="1" applyBorder="1" applyAlignment="1">
      <alignment horizontal="center" vertical="center"/>
    </xf>
    <xf numFmtId="0" fontId="23" fillId="0" borderId="26" xfId="2" applyFont="1" applyBorder="1" applyAlignment="1">
      <alignment horizontal="center" vertical="center"/>
    </xf>
    <xf numFmtId="0" fontId="1" fillId="0" borderId="27" xfId="2" applyFont="1" applyBorder="1" applyAlignment="1">
      <alignment horizontal="center" vertical="center" wrapText="1"/>
    </xf>
    <xf numFmtId="166" fontId="6" fillId="6" borderId="11" xfId="2" applyNumberFormat="1" applyFont="1" applyFill="1" applyBorder="1" applyAlignment="1">
      <alignment horizontal="center" vertical="center"/>
    </xf>
    <xf numFmtId="0" fontId="6" fillId="6" borderId="11" xfId="2" applyFont="1" applyFill="1" applyBorder="1" applyAlignment="1">
      <alignment horizontal="center" vertical="center"/>
    </xf>
    <xf numFmtId="0" fontId="6" fillId="6" borderId="11" xfId="2" applyFont="1" applyFill="1" applyBorder="1" applyAlignment="1">
      <alignment horizontal="center" vertical="center" wrapText="1"/>
    </xf>
    <xf numFmtId="0" fontId="6" fillId="6" borderId="12" xfId="2" applyFont="1" applyFill="1" applyBorder="1" applyAlignment="1">
      <alignment horizontal="center" vertical="center" wrapText="1"/>
    </xf>
    <xf numFmtId="0" fontId="6" fillId="7" borderId="13" xfId="2" applyFont="1" applyFill="1" applyBorder="1" applyAlignment="1">
      <alignment horizontal="center" vertical="center" wrapText="1"/>
    </xf>
    <xf numFmtId="0" fontId="6" fillId="7" borderId="14" xfId="2" applyFont="1" applyFill="1" applyBorder="1" applyAlignment="1">
      <alignment horizontal="center" vertical="center" wrapText="1"/>
    </xf>
    <xf numFmtId="0" fontId="2" fillId="0" borderId="14" xfId="2" applyBorder="1" applyAlignment="1">
      <alignment horizontal="center" vertical="center"/>
    </xf>
    <xf numFmtId="0" fontId="1" fillId="0" borderId="20" xfId="2" applyFont="1" applyBorder="1" applyAlignment="1">
      <alignment horizontal="center" vertical="center" wrapText="1"/>
    </xf>
    <xf numFmtId="0" fontId="4" fillId="0" borderId="0" xfId="2" applyFont="1"/>
    <xf numFmtId="0" fontId="31" fillId="8" borderId="16" xfId="2" applyFont="1" applyFill="1" applyBorder="1" applyAlignment="1">
      <alignment horizontal="center" vertical="center"/>
    </xf>
    <xf numFmtId="0" fontId="31" fillId="8" borderId="17" xfId="2" applyFont="1" applyFill="1" applyBorder="1" applyAlignment="1">
      <alignment horizontal="center" vertical="center"/>
    </xf>
    <xf numFmtId="0" fontId="31" fillId="0" borderId="0" xfId="2" applyFont="1"/>
    <xf numFmtId="0" fontId="2" fillId="8" borderId="16" xfId="2" applyFill="1" applyBorder="1" applyAlignment="1">
      <alignment horizontal="center" vertical="center"/>
    </xf>
    <xf numFmtId="0" fontId="2" fillId="8" borderId="17" xfId="2" applyFont="1" applyFill="1" applyBorder="1" applyAlignment="1">
      <alignment horizontal="center" vertical="center"/>
    </xf>
    <xf numFmtId="0" fontId="2" fillId="9" borderId="5" xfId="2" applyFill="1" applyBorder="1" applyAlignment="1">
      <alignment horizontal="left"/>
    </xf>
    <xf numFmtId="0" fontId="2" fillId="9" borderId="3" xfId="2" applyFill="1" applyBorder="1"/>
    <xf numFmtId="0" fontId="2" fillId="9" borderId="2" xfId="2" applyFill="1" applyBorder="1" applyAlignment="1">
      <alignment horizontal="left"/>
    </xf>
    <xf numFmtId="0" fontId="2" fillId="9" borderId="1" xfId="2" applyFill="1" applyBorder="1"/>
    <xf numFmtId="0" fontId="2" fillId="9" borderId="8" xfId="2" applyFill="1" applyBorder="1"/>
    <xf numFmtId="0" fontId="2" fillId="9" borderId="6" xfId="2" applyFill="1" applyBorder="1"/>
    <xf numFmtId="0" fontId="2" fillId="9" borderId="5" xfId="2" applyFont="1" applyFill="1" applyBorder="1" applyAlignment="1">
      <alignment horizontal="left"/>
    </xf>
    <xf numFmtId="0" fontId="2" fillId="9" borderId="3" xfId="2" applyFont="1" applyFill="1" applyBorder="1"/>
    <xf numFmtId="0" fontId="2" fillId="9" borderId="2" xfId="2" applyFont="1" applyFill="1" applyBorder="1" applyAlignment="1">
      <alignment horizontal="left"/>
    </xf>
    <xf numFmtId="0" fontId="2" fillId="9" borderId="1" xfId="2" applyFont="1" applyFill="1" applyBorder="1"/>
    <xf numFmtId="0" fontId="2" fillId="8" borderId="16" xfId="2" applyFont="1" applyFill="1" applyBorder="1" applyAlignment="1">
      <alignment horizontal="center" vertical="center"/>
    </xf>
    <xf numFmtId="0" fontId="2" fillId="9" borderId="8" xfId="2" applyFont="1" applyFill="1" applyBorder="1"/>
    <xf numFmtId="0" fontId="26" fillId="0" borderId="0" xfId="2" applyFont="1"/>
    <xf numFmtId="0" fontId="17" fillId="0" borderId="0" xfId="2" applyFont="1" applyAlignment="1">
      <alignment horizontal="left" vertical="center"/>
    </xf>
    <xf numFmtId="0" fontId="2" fillId="0" borderId="0" xfId="2" applyAlignment="1">
      <alignment horizontal="center" vertical="center"/>
    </xf>
    <xf numFmtId="0" fontId="2" fillId="8" borderId="17" xfId="2" applyFill="1" applyBorder="1" applyAlignment="1">
      <alignment horizontal="center" vertical="center"/>
    </xf>
    <xf numFmtId="0" fontId="17" fillId="0" borderId="0" xfId="2" applyFont="1"/>
    <xf numFmtId="0" fontId="2" fillId="6" borderId="28" xfId="2" applyFont="1" applyFill="1" applyBorder="1" applyAlignment="1">
      <alignment horizontal="center" vertical="center"/>
    </xf>
    <xf numFmtId="0" fontId="2" fillId="6" borderId="20" xfId="2" applyFont="1" applyFill="1" applyBorder="1" applyAlignment="1">
      <alignment horizontal="center" vertical="center"/>
    </xf>
    <xf numFmtId="0" fontId="2" fillId="6" borderId="28" xfId="2" applyFill="1" applyBorder="1" applyAlignment="1">
      <alignment horizontal="center" vertical="center"/>
    </xf>
    <xf numFmtId="0" fontId="1" fillId="6" borderId="28" xfId="2" applyFont="1" applyFill="1" applyBorder="1" applyAlignment="1">
      <alignment horizontal="center" vertical="center"/>
    </xf>
    <xf numFmtId="0" fontId="2" fillId="0" borderId="0" xfId="2" applyBorder="1" applyAlignment="1">
      <alignment horizontal="center" vertical="center"/>
    </xf>
    <xf numFmtId="0" fontId="2" fillId="7" borderId="20" xfId="2" applyFill="1" applyBorder="1" applyAlignment="1">
      <alignment horizontal="center" vertical="center"/>
    </xf>
    <xf numFmtId="0" fontId="2" fillId="7" borderId="28" xfId="2" applyFill="1" applyBorder="1" applyAlignment="1">
      <alignment horizontal="center" vertical="center"/>
    </xf>
    <xf numFmtId="0" fontId="17" fillId="0" borderId="0" xfId="2" applyFont="1" applyAlignment="1">
      <alignment horizontal="center" vertical="center"/>
    </xf>
    <xf numFmtId="0" fontId="2" fillId="7" borderId="28" xfId="2" applyFont="1" applyFill="1" applyBorder="1" applyAlignment="1">
      <alignment horizontal="center" vertical="center"/>
    </xf>
    <xf numFmtId="0" fontId="26" fillId="0" borderId="0" xfId="2" applyFont="1" applyAlignment="1">
      <alignment horizontal="center"/>
    </xf>
    <xf numFmtId="0" fontId="2" fillId="0" borderId="0" xfId="2" applyAlignment="1">
      <alignment horizontal="left" vertical="center"/>
    </xf>
    <xf numFmtId="0" fontId="1" fillId="7" borderId="28" xfId="2" applyFont="1" applyFill="1" applyBorder="1" applyAlignment="1">
      <alignment horizontal="center" vertical="center"/>
    </xf>
    <xf numFmtId="0" fontId="2" fillId="10" borderId="0" xfId="2" applyFill="1"/>
    <xf numFmtId="0" fontId="17" fillId="0" borderId="0" xfId="2" applyFont="1" applyAlignment="1">
      <alignment horizontal="left"/>
    </xf>
    <xf numFmtId="0" fontId="2" fillId="9" borderId="20" xfId="2" applyFill="1" applyBorder="1" applyAlignment="1">
      <alignment horizontal="center" vertical="center"/>
    </xf>
    <xf numFmtId="0" fontId="2" fillId="9" borderId="29" xfId="2" applyFill="1" applyBorder="1" applyAlignment="1">
      <alignment horizontal="center" vertical="center"/>
    </xf>
    <xf numFmtId="0" fontId="22" fillId="9" borderId="5" xfId="2" applyFont="1" applyFill="1" applyBorder="1" applyAlignment="1">
      <alignment horizontal="center" vertical="center"/>
    </xf>
    <xf numFmtId="0" fontId="2" fillId="9" borderId="20" xfId="2" applyFont="1" applyFill="1" applyBorder="1" applyAlignment="1">
      <alignment horizontal="center" vertical="center"/>
    </xf>
    <xf numFmtId="0" fontId="17" fillId="9" borderId="3" xfId="2" applyFont="1" applyFill="1" applyBorder="1" applyAlignment="1">
      <alignment horizontal="center" vertical="center"/>
    </xf>
    <xf numFmtId="0" fontId="2" fillId="0" borderId="0" xfId="2" applyFont="1" applyFill="1" applyBorder="1" applyAlignment="1">
      <alignment horizontal="center" vertical="center"/>
    </xf>
    <xf numFmtId="0" fontId="22" fillId="9" borderId="2" xfId="2" applyFont="1" applyFill="1" applyBorder="1" applyAlignment="1">
      <alignment horizontal="center" vertical="center"/>
    </xf>
    <xf numFmtId="0" fontId="2" fillId="9" borderId="29" xfId="2" applyFont="1" applyFill="1" applyBorder="1" applyAlignment="1">
      <alignment horizontal="center" vertical="center"/>
    </xf>
    <xf numFmtId="0" fontId="17" fillId="9" borderId="1" xfId="2" applyFont="1" applyFill="1" applyBorder="1" applyAlignment="1">
      <alignment horizontal="center" vertical="center"/>
    </xf>
    <xf numFmtId="0" fontId="2" fillId="9" borderId="28" xfId="2" applyFont="1" applyFill="1" applyBorder="1" applyAlignment="1">
      <alignment horizontal="center" vertical="center"/>
    </xf>
    <xf numFmtId="0" fontId="1" fillId="9" borderId="17" xfId="2" applyFont="1" applyFill="1" applyBorder="1" applyAlignment="1">
      <alignment horizontal="center" vertical="center"/>
    </xf>
    <xf numFmtId="0" fontId="2" fillId="0" borderId="0" xfId="2" applyFill="1" applyBorder="1" applyAlignment="1">
      <alignment horizontal="center" vertical="center"/>
    </xf>
    <xf numFmtId="0" fontId="2" fillId="0" borderId="0" xfId="2" applyFont="1" applyAlignment="1">
      <alignment horizontal="right"/>
    </xf>
    <xf numFmtId="0" fontId="2" fillId="0" borderId="0" xfId="2" applyAlignment="1">
      <alignment horizontal="right"/>
    </xf>
    <xf numFmtId="0" fontId="2" fillId="10" borderId="30" xfId="2" applyFill="1" applyBorder="1" applyAlignment="1">
      <alignment horizontal="center" vertical="center"/>
    </xf>
    <xf numFmtId="0" fontId="1" fillId="10" borderId="31" xfId="2" applyFont="1" applyFill="1" applyBorder="1" applyAlignment="1">
      <alignment horizontal="center" vertical="center"/>
    </xf>
    <xf numFmtId="0" fontId="2" fillId="8" borderId="29" xfId="2" applyFill="1" applyBorder="1" applyAlignment="1">
      <alignment horizontal="center" vertical="center"/>
    </xf>
    <xf numFmtId="0" fontId="2" fillId="10" borderId="29" xfId="2" applyFill="1" applyBorder="1" applyAlignment="1">
      <alignment horizontal="center"/>
    </xf>
    <xf numFmtId="0" fontId="2" fillId="8" borderId="17" xfId="2" applyFill="1" applyBorder="1"/>
    <xf numFmtId="0" fontId="1" fillId="10" borderId="28" xfId="2" applyFont="1" applyFill="1" applyBorder="1" applyAlignment="1">
      <alignment horizontal="center"/>
    </xf>
    <xf numFmtId="0" fontId="2" fillId="8" borderId="20" xfId="2" applyFill="1" applyBorder="1" applyAlignment="1">
      <alignment horizontal="center" vertical="center"/>
    </xf>
    <xf numFmtId="0" fontId="2" fillId="10" borderId="20" xfId="2" applyFill="1" applyBorder="1" applyAlignment="1">
      <alignment horizontal="center" vertical="center"/>
    </xf>
    <xf numFmtId="0" fontId="27" fillId="0" borderId="0" xfId="2" applyFont="1"/>
    <xf numFmtId="0" fontId="1" fillId="10" borderId="29" xfId="2" applyFont="1" applyFill="1" applyBorder="1" applyAlignment="1">
      <alignment horizontal="center" vertical="center"/>
    </xf>
    <xf numFmtId="0" fontId="2" fillId="10" borderId="20" xfId="2" applyFill="1" applyBorder="1"/>
    <xf numFmtId="0" fontId="1" fillId="10" borderId="28" xfId="2" applyFont="1" applyFill="1" applyBorder="1" applyAlignment="1">
      <alignment horizontal="center" vertical="center"/>
    </xf>
    <xf numFmtId="0" fontId="2" fillId="8" borderId="28" xfId="2" applyFill="1" applyBorder="1"/>
    <xf numFmtId="0" fontId="2" fillId="8" borderId="17" xfId="2" applyFill="1" applyBorder="1" applyAlignment="1">
      <alignment horizontal="center"/>
    </xf>
    <xf numFmtId="0" fontId="2" fillId="0" borderId="0" xfId="2" applyAlignment="1">
      <alignment horizontal="center"/>
    </xf>
    <xf numFmtId="0" fontId="2" fillId="0" borderId="0" xfId="2" applyFont="1" applyAlignment="1">
      <alignment horizontal="center"/>
    </xf>
    <xf numFmtId="0" fontId="2" fillId="8" borderId="20" xfId="2" applyFill="1" applyBorder="1" applyAlignment="1">
      <alignment horizontal="center"/>
    </xf>
    <xf numFmtId="0" fontId="2" fillId="10" borderId="20" xfId="2" applyFill="1" applyBorder="1" applyAlignment="1">
      <alignment horizontal="center"/>
    </xf>
    <xf numFmtId="0" fontId="22" fillId="0" borderId="0" xfId="2" applyFont="1" applyAlignment="1">
      <alignment horizontal="center"/>
    </xf>
    <xf numFmtId="0" fontId="27" fillId="0" borderId="0" xfId="2" applyFont="1" applyAlignment="1">
      <alignment horizontal="left"/>
    </xf>
    <xf numFmtId="0" fontId="2" fillId="0" borderId="17" xfId="2" applyBorder="1" applyAlignment="1">
      <alignment horizontal="center"/>
    </xf>
    <xf numFmtId="0" fontId="17" fillId="10" borderId="20" xfId="2" applyFont="1" applyFill="1" applyBorder="1" applyAlignment="1">
      <alignment horizontal="center"/>
    </xf>
    <xf numFmtId="0" fontId="2" fillId="8" borderId="17" xfId="2" applyFont="1" applyFill="1" applyBorder="1" applyAlignment="1">
      <alignment horizontal="center" wrapText="1"/>
    </xf>
    <xf numFmtId="0" fontId="22" fillId="10" borderId="28" xfId="2" applyFont="1" applyFill="1" applyBorder="1" applyAlignment="1">
      <alignment horizontal="center"/>
    </xf>
    <xf numFmtId="168" fontId="22" fillId="8" borderId="32" xfId="2" applyNumberFormat="1" applyFont="1" applyFill="1" applyBorder="1" applyAlignment="1">
      <alignment horizontal="center"/>
    </xf>
    <xf numFmtId="0" fontId="17" fillId="8" borderId="17" xfId="2" applyFont="1" applyFill="1" applyBorder="1" applyAlignment="1">
      <alignment horizontal="center"/>
    </xf>
    <xf numFmtId="0" fontId="17" fillId="0" borderId="17" xfId="2" applyFont="1" applyBorder="1" applyAlignment="1">
      <alignment horizontal="center"/>
    </xf>
    <xf numFmtId="2" fontId="2" fillId="8" borderId="17" xfId="2" applyNumberFormat="1" applyFont="1" applyFill="1" applyBorder="1" applyAlignment="1">
      <alignment horizontal="center"/>
    </xf>
    <xf numFmtId="0" fontId="22" fillId="0" borderId="0" xfId="2" applyFont="1"/>
    <xf numFmtId="0" fontId="21" fillId="0" borderId="0" xfId="2" applyFont="1" applyFill="1" applyBorder="1" applyAlignment="1">
      <alignment horizontal="center"/>
    </xf>
    <xf numFmtId="0" fontId="2" fillId="0" borderId="17" xfId="2" applyFont="1" applyBorder="1" applyAlignment="1">
      <alignment horizontal="center"/>
    </xf>
    <xf numFmtId="0" fontId="2" fillId="0" borderId="0" xfId="2" applyFont="1" applyAlignment="1">
      <alignment horizontal="center" vertical="center"/>
    </xf>
    <xf numFmtId="0" fontId="2" fillId="8" borderId="16" xfId="2" applyFill="1" applyBorder="1" applyAlignment="1">
      <alignment horizontal="center"/>
    </xf>
    <xf numFmtId="0" fontId="2" fillId="10" borderId="0" xfId="2" applyFill="1" applyAlignment="1">
      <alignment horizontal="center"/>
    </xf>
    <xf numFmtId="0" fontId="4" fillId="0" borderId="0" xfId="2" applyFont="1" applyAlignment="1"/>
    <xf numFmtId="0" fontId="2" fillId="0" borderId="0" xfId="2" applyFill="1" applyAlignment="1">
      <alignment horizontal="center"/>
    </xf>
    <xf numFmtId="0" fontId="2" fillId="8" borderId="9" xfId="2" applyFill="1" applyBorder="1" applyAlignment="1">
      <alignment horizontal="center" vertical="center"/>
    </xf>
    <xf numFmtId="0" fontId="2" fillId="8" borderId="9" xfId="2" applyFont="1" applyFill="1" applyBorder="1" applyAlignment="1">
      <alignment horizontal="center" vertical="center"/>
    </xf>
    <xf numFmtId="0" fontId="2" fillId="8" borderId="21" xfId="2" applyFill="1" applyBorder="1" applyAlignment="1">
      <alignment horizontal="center" vertical="center"/>
    </xf>
    <xf numFmtId="0" fontId="2" fillId="8" borderId="21" xfId="2" applyFont="1" applyFill="1" applyBorder="1" applyAlignment="1">
      <alignment horizontal="center" vertical="center"/>
    </xf>
    <xf numFmtId="0" fontId="2" fillId="0" borderId="21" xfId="2" applyBorder="1" applyAlignment="1">
      <alignment horizontal="center" vertical="center"/>
    </xf>
    <xf numFmtId="2" fontId="2" fillId="0" borderId="13" xfId="2" applyNumberFormat="1" applyBorder="1" applyAlignment="1">
      <alignment horizontal="center"/>
    </xf>
    <xf numFmtId="2" fontId="2" fillId="0" borderId="11" xfId="2" applyNumberFormat="1" applyBorder="1" applyAlignment="1">
      <alignment horizontal="center"/>
    </xf>
    <xf numFmtId="0" fontId="2" fillId="0" borderId="14" xfId="2" applyFont="1" applyBorder="1" applyAlignment="1">
      <alignment horizontal="center"/>
    </xf>
    <xf numFmtId="2" fontId="2" fillId="0" borderId="33" xfId="2" applyNumberFormat="1" applyBorder="1" applyAlignment="1">
      <alignment horizontal="center"/>
    </xf>
    <xf numFmtId="2" fontId="2" fillId="0" borderId="17" xfId="2" applyNumberFormat="1" applyBorder="1" applyAlignment="1">
      <alignment horizontal="center"/>
    </xf>
    <xf numFmtId="0" fontId="2" fillId="0" borderId="34" xfId="2" applyFont="1" applyBorder="1" applyAlignment="1">
      <alignment horizontal="center"/>
    </xf>
    <xf numFmtId="0" fontId="2" fillId="0" borderId="7" xfId="2" applyBorder="1" applyAlignment="1" applyProtection="1">
      <alignment vertical="center"/>
    </xf>
    <xf numFmtId="0" fontId="2" fillId="0" borderId="20" xfId="2" applyBorder="1" applyAlignment="1" applyProtection="1">
      <alignment vertical="center"/>
    </xf>
    <xf numFmtId="0" fontId="2" fillId="0" borderId="29" xfId="2" applyBorder="1" applyAlignment="1" applyProtection="1">
      <alignment vertical="center"/>
    </xf>
    <xf numFmtId="0" fontId="2" fillId="0" borderId="35" xfId="2" applyBorder="1" applyAlignment="1" applyProtection="1">
      <alignment vertical="center"/>
    </xf>
    <xf numFmtId="0" fontId="2" fillId="0" borderId="36" xfId="2" applyBorder="1" applyAlignment="1" applyProtection="1">
      <alignment vertical="center"/>
    </xf>
    <xf numFmtId="2" fontId="2" fillId="0" borderId="17" xfId="2" applyNumberFormat="1" applyFont="1" applyBorder="1" applyAlignment="1">
      <alignment horizontal="center"/>
    </xf>
    <xf numFmtId="0" fontId="2" fillId="0" borderId="0" xfId="2" applyBorder="1" applyAlignment="1" applyProtection="1">
      <alignment vertical="center"/>
    </xf>
    <xf numFmtId="0" fontId="2" fillId="0" borderId="1" xfId="2" applyBorder="1" applyAlignment="1" applyProtection="1">
      <alignment vertical="center"/>
    </xf>
    <xf numFmtId="0" fontId="2" fillId="0" borderId="5" xfId="2" applyBorder="1" applyAlignment="1">
      <alignment horizontal="center" vertical="center"/>
    </xf>
    <xf numFmtId="0" fontId="2" fillId="0" borderId="4" xfId="2" applyBorder="1" applyAlignment="1">
      <alignment horizontal="center" vertical="center"/>
    </xf>
    <xf numFmtId="0" fontId="2" fillId="0" borderId="3" xfId="2" applyBorder="1" applyAlignment="1">
      <alignment horizontal="left" vertical="center"/>
    </xf>
    <xf numFmtId="0" fontId="2" fillId="0" borderId="0" xfId="2" applyAlignment="1" applyProtection="1">
      <alignment horizontal="right" vertical="center"/>
      <protection locked="0"/>
    </xf>
    <xf numFmtId="0" fontId="2" fillId="0" borderId="0" xfId="2" applyAlignment="1" applyProtection="1">
      <alignment vertical="center"/>
    </xf>
    <xf numFmtId="0" fontId="2" fillId="0" borderId="2" xfId="2" applyBorder="1" applyAlignment="1">
      <alignment horizontal="center" vertical="center"/>
    </xf>
    <xf numFmtId="0" fontId="2" fillId="0" borderId="1" xfId="2" applyBorder="1" applyAlignment="1">
      <alignment horizontal="left" vertical="center"/>
    </xf>
    <xf numFmtId="16" fontId="2" fillId="0" borderId="34" xfId="2" applyNumberFormat="1" applyFont="1" applyBorder="1" applyAlignment="1">
      <alignment horizontal="center"/>
    </xf>
    <xf numFmtId="0" fontId="2" fillId="0" borderId="0" xfId="2" applyBorder="1" applyAlignment="1" applyProtection="1">
      <alignment horizontal="right" vertical="center"/>
    </xf>
    <xf numFmtId="0" fontId="2" fillId="0" borderId="8" xfId="2" applyBorder="1" applyAlignment="1">
      <alignment horizontal="center" vertical="center"/>
    </xf>
    <xf numFmtId="0" fontId="2" fillId="0" borderId="7" xfId="2" applyBorder="1" applyAlignment="1">
      <alignment horizontal="center" vertical="center"/>
    </xf>
    <xf numFmtId="0" fontId="1" fillId="0" borderId="6" xfId="2" applyFont="1" applyBorder="1" applyAlignment="1">
      <alignment horizontal="left" vertical="center"/>
    </xf>
    <xf numFmtId="0" fontId="2" fillId="8" borderId="8" xfId="2" applyFill="1" applyBorder="1"/>
    <xf numFmtId="0" fontId="2" fillId="8" borderId="7" xfId="2" applyFill="1" applyBorder="1"/>
    <xf numFmtId="0" fontId="1" fillId="8" borderId="6" xfId="2" applyFont="1" applyFill="1" applyBorder="1"/>
    <xf numFmtId="0" fontId="1" fillId="0" borderId="18" xfId="2" applyFont="1" applyBorder="1" applyAlignment="1">
      <alignment horizontal="center" vertical="center"/>
    </xf>
    <xf numFmtId="0" fontId="1" fillId="0" borderId="20" xfId="2" applyFont="1" applyBorder="1" applyAlignment="1">
      <alignment horizontal="center" vertical="center"/>
    </xf>
    <xf numFmtId="0" fontId="2" fillId="0" borderId="29" xfId="2" applyFont="1" applyBorder="1" applyAlignment="1">
      <alignment horizontal="center" vertical="center"/>
    </xf>
    <xf numFmtId="0" fontId="2" fillId="0" borderId="28" xfId="2" applyFont="1" applyBorder="1" applyAlignment="1">
      <alignment horizontal="center" vertical="center"/>
    </xf>
    <xf numFmtId="0" fontId="2" fillId="0" borderId="37" xfId="2" applyBorder="1" applyAlignment="1">
      <alignment horizontal="center" vertical="center"/>
    </xf>
    <xf numFmtId="0" fontId="2" fillId="0" borderId="29" xfId="2" applyBorder="1" applyAlignment="1">
      <alignment horizontal="center" vertical="center"/>
    </xf>
    <xf numFmtId="0" fontId="2" fillId="0" borderId="28" xfId="2" applyBorder="1" applyAlignment="1">
      <alignment horizontal="center" vertical="center"/>
    </xf>
    <xf numFmtId="0" fontId="2" fillId="0" borderId="0" xfId="2" applyFill="1" applyAlignment="1" applyProtection="1">
      <alignment horizontal="center" vertical="center"/>
    </xf>
    <xf numFmtId="0" fontId="2" fillId="0" borderId="3" xfId="2" applyBorder="1" applyAlignment="1" applyProtection="1">
      <alignment horizontal="right" vertical="center"/>
    </xf>
    <xf numFmtId="0" fontId="2" fillId="0" borderId="0" xfId="2" applyFont="1" applyFill="1" applyBorder="1"/>
    <xf numFmtId="0" fontId="2" fillId="0" borderId="16" xfId="2" applyBorder="1" applyAlignment="1" applyProtection="1">
      <alignment horizontal="right" vertical="center"/>
    </xf>
    <xf numFmtId="0" fontId="1" fillId="0" borderId="0" xfId="2" applyFont="1" applyFill="1" applyBorder="1"/>
    <xf numFmtId="0" fontId="2" fillId="0" borderId="27" xfId="2" applyFont="1" applyFill="1" applyBorder="1" applyAlignment="1">
      <alignment horizontal="center" vertical="center" wrapText="1"/>
    </xf>
    <xf numFmtId="0" fontId="22" fillId="8" borderId="27" xfId="2" applyFont="1" applyFill="1" applyBorder="1" applyAlignment="1">
      <alignment horizontal="center" vertical="center"/>
    </xf>
    <xf numFmtId="0" fontId="2" fillId="0" borderId="27" xfId="2" applyFont="1" applyFill="1" applyBorder="1" applyAlignment="1">
      <alignment horizontal="center" vertical="center"/>
    </xf>
    <xf numFmtId="0" fontId="1" fillId="0" borderId="28" xfId="2" applyFont="1" applyBorder="1" applyAlignment="1">
      <alignment horizontal="center" vertical="center"/>
    </xf>
    <xf numFmtId="0" fontId="1" fillId="0" borderId="17" xfId="2" applyFont="1" applyBorder="1" applyAlignment="1">
      <alignment horizontal="center" vertical="center"/>
    </xf>
    <xf numFmtId="0" fontId="1" fillId="0" borderId="0" xfId="2" applyFont="1" applyAlignment="1">
      <alignment horizontal="center" vertical="center"/>
    </xf>
    <xf numFmtId="166" fontId="2" fillId="0" borderId="0" xfId="2" applyNumberFormat="1" applyAlignment="1">
      <alignment horizontal="center" vertical="center"/>
    </xf>
    <xf numFmtId="0" fontId="2" fillId="0" borderId="13" xfId="2" applyBorder="1"/>
    <xf numFmtId="166" fontId="2" fillId="0" borderId="14" xfId="2" applyNumberFormat="1" applyFont="1" applyBorder="1" applyAlignment="1">
      <alignment horizontal="center" vertical="center"/>
    </xf>
    <xf numFmtId="0" fontId="2" fillId="0" borderId="33" xfId="2" applyBorder="1"/>
    <xf numFmtId="166" fontId="2" fillId="0" borderId="34" xfId="2" applyNumberFormat="1" applyBorder="1" applyAlignment="1">
      <alignment horizontal="center" vertical="center"/>
    </xf>
    <xf numFmtId="166" fontId="2" fillId="0" borderId="34" xfId="2" applyNumberFormat="1" applyFont="1" applyBorder="1" applyAlignment="1">
      <alignment horizontal="center" vertical="center"/>
    </xf>
    <xf numFmtId="0" fontId="2" fillId="0" borderId="33" xfId="2" applyBorder="1" applyAlignment="1">
      <alignment horizontal="center"/>
    </xf>
    <xf numFmtId="0" fontId="2" fillId="0" borderId="33" xfId="2" applyFont="1" applyBorder="1" applyAlignment="1">
      <alignment horizontal="center" vertical="center"/>
    </xf>
    <xf numFmtId="0" fontId="2" fillId="0" borderId="33" xfId="2" applyBorder="1" applyAlignment="1">
      <alignment horizontal="center" vertical="center"/>
    </xf>
    <xf numFmtId="0" fontId="22" fillId="0" borderId="0" xfId="2" applyFont="1" applyBorder="1" applyAlignment="1">
      <alignment horizontal="center" vertical="center"/>
    </xf>
    <xf numFmtId="167" fontId="2" fillId="0" borderId="0" xfId="2" applyNumberFormat="1" applyBorder="1" applyAlignment="1">
      <alignment horizontal="center" vertical="center"/>
    </xf>
    <xf numFmtId="0" fontId="2" fillId="0" borderId="0" xfId="2" applyFont="1" applyBorder="1" applyAlignment="1">
      <alignment horizontal="center" vertical="center"/>
    </xf>
    <xf numFmtId="0" fontId="1" fillId="0" borderId="0" xfId="2" applyFont="1" applyBorder="1" applyAlignment="1">
      <alignment horizontal="center" vertical="center"/>
    </xf>
    <xf numFmtId="0" fontId="1" fillId="0" borderId="0" xfId="2" quotePrefix="1" applyFont="1" applyBorder="1" applyAlignment="1">
      <alignment horizontal="center" vertical="center"/>
    </xf>
    <xf numFmtId="167" fontId="2" fillId="0" borderId="33" xfId="2" applyNumberFormat="1" applyBorder="1" applyAlignment="1">
      <alignment horizontal="center" vertical="center"/>
    </xf>
    <xf numFmtId="0" fontId="1" fillId="0" borderId="0" xfId="2" applyFont="1" applyBorder="1" applyAlignment="1">
      <alignment vertical="center"/>
    </xf>
    <xf numFmtId="0" fontId="1" fillId="0" borderId="33" xfId="2" applyFont="1" applyBorder="1" applyAlignment="1">
      <alignment vertical="center"/>
    </xf>
    <xf numFmtId="0" fontId="1" fillId="0" borderId="34" xfId="2" applyFont="1" applyBorder="1" applyAlignment="1">
      <alignment vertical="center"/>
    </xf>
    <xf numFmtId="0" fontId="19" fillId="0" borderId="0" xfId="2" applyFont="1" applyBorder="1" applyAlignment="1">
      <alignment vertical="center"/>
    </xf>
    <xf numFmtId="0" fontId="2" fillId="0" borderId="17" xfId="2" applyBorder="1"/>
    <xf numFmtId="0" fontId="1" fillId="5" borderId="28" xfId="2" applyFont="1" applyFill="1" applyBorder="1" applyAlignment="1">
      <alignment horizontal="center" vertical="center"/>
    </xf>
    <xf numFmtId="0" fontId="2" fillId="5" borderId="28" xfId="2" applyFont="1" applyFill="1" applyBorder="1" applyAlignment="1">
      <alignment horizontal="center" vertical="center"/>
    </xf>
    <xf numFmtId="0" fontId="2" fillId="5" borderId="20" xfId="2" applyFill="1" applyBorder="1" applyAlignment="1">
      <alignment horizontal="center" vertical="center"/>
    </xf>
    <xf numFmtId="0" fontId="0" fillId="0" borderId="16" xfId="0" applyFont="1" applyFill="1" applyBorder="1"/>
    <xf numFmtId="0" fontId="0" fillId="0" borderId="38" xfId="0" applyBorder="1"/>
    <xf numFmtId="0" fontId="0" fillId="0" borderId="32" xfId="0" applyBorder="1"/>
    <xf numFmtId="0" fontId="2" fillId="9" borderId="2" xfId="2" applyFill="1" applyBorder="1" applyAlignment="1">
      <alignment horizontal="left" vertical="center"/>
    </xf>
    <xf numFmtId="0" fontId="2" fillId="9" borderId="5" xfId="2" applyFill="1" applyBorder="1" applyAlignment="1">
      <alignment horizontal="left" vertical="center"/>
    </xf>
    <xf numFmtId="10" fontId="2" fillId="0" borderId="0" xfId="2" applyNumberFormat="1"/>
    <xf numFmtId="0" fontId="1" fillId="0" borderId="0" xfId="2" applyFont="1" applyAlignment="1">
      <alignment horizontal="center"/>
    </xf>
    <xf numFmtId="0" fontId="32" fillId="0" borderId="29" xfId="2" applyFont="1" applyFill="1" applyBorder="1" applyAlignment="1">
      <alignment vertical="center" wrapText="1"/>
    </xf>
    <xf numFmtId="0" fontId="2" fillId="0" borderId="0" xfId="2" applyFill="1"/>
    <xf numFmtId="0" fontId="31" fillId="0" borderId="0" xfId="2" applyFont="1" applyFill="1"/>
    <xf numFmtId="0" fontId="2" fillId="9" borderId="7" xfId="2" applyFill="1" applyBorder="1"/>
    <xf numFmtId="0" fontId="2" fillId="9" borderId="0" xfId="2" applyFill="1" applyBorder="1" applyAlignment="1">
      <alignment horizontal="left" vertical="center"/>
    </xf>
    <xf numFmtId="0" fontId="2" fillId="9" borderId="4" xfId="2" applyFill="1" applyBorder="1" applyAlignment="1">
      <alignment horizontal="left" vertical="center"/>
    </xf>
    <xf numFmtId="0" fontId="2" fillId="9" borderId="0" xfId="2" applyFill="1" applyBorder="1"/>
    <xf numFmtId="0" fontId="2" fillId="9" borderId="2" xfId="2" applyFill="1" applyBorder="1"/>
    <xf numFmtId="0" fontId="2" fillId="9" borderId="4" xfId="2" applyFill="1" applyBorder="1"/>
    <xf numFmtId="0" fontId="2" fillId="9" borderId="5" xfId="2" applyFill="1" applyBorder="1"/>
    <xf numFmtId="0" fontId="1" fillId="0" borderId="0" xfId="2" applyFont="1" applyBorder="1" applyAlignment="1">
      <alignment horizontal="left" vertical="center"/>
    </xf>
    <xf numFmtId="0" fontId="31" fillId="0" borderId="0" xfId="2" applyFont="1" applyAlignment="1">
      <alignment wrapText="1"/>
    </xf>
    <xf numFmtId="0" fontId="2" fillId="0" borderId="0" xfId="2" applyFont="1" applyAlignment="1">
      <alignment horizontal="left"/>
    </xf>
    <xf numFmtId="0" fontId="2" fillId="0" borderId="0" xfId="2" applyAlignment="1">
      <alignment horizontal="left"/>
    </xf>
    <xf numFmtId="0" fontId="2" fillId="5" borderId="20" xfId="2" applyFont="1" applyFill="1" applyBorder="1" applyAlignment="1">
      <alignment horizontal="center" vertical="center"/>
    </xf>
    <xf numFmtId="0" fontId="1" fillId="8" borderId="17" xfId="2" applyFont="1" applyFill="1" applyBorder="1" applyAlignment="1">
      <alignment horizontal="center" vertical="center"/>
    </xf>
    <xf numFmtId="0" fontId="1" fillId="8" borderId="16" xfId="2" applyFont="1" applyFill="1" applyBorder="1" applyAlignment="1">
      <alignment horizontal="center" vertical="center"/>
    </xf>
    <xf numFmtId="0" fontId="2" fillId="11" borderId="28" xfId="2" applyFont="1" applyFill="1" applyBorder="1" applyAlignment="1">
      <alignment horizontal="center" vertical="center"/>
    </xf>
    <xf numFmtId="0" fontId="2" fillId="11" borderId="20" xfId="2" applyFill="1" applyBorder="1" applyAlignment="1">
      <alignment horizontal="center" vertical="center"/>
    </xf>
    <xf numFmtId="0" fontId="2" fillId="11" borderId="20" xfId="2" applyFont="1" applyFill="1" applyBorder="1" applyAlignment="1">
      <alignment horizontal="center" vertical="center"/>
    </xf>
    <xf numFmtId="0" fontId="2" fillId="9" borderId="1" xfId="2" applyFill="1" applyBorder="1" applyAlignment="1">
      <alignment horizontal="left"/>
    </xf>
    <xf numFmtId="0" fontId="2" fillId="9" borderId="3" xfId="2" applyFill="1" applyBorder="1" applyAlignment="1">
      <alignment horizontal="left"/>
    </xf>
    <xf numFmtId="0" fontId="2" fillId="0" borderId="0" xfId="2" applyBorder="1"/>
    <xf numFmtId="0" fontId="31" fillId="0" borderId="0" xfId="2" applyFont="1" applyBorder="1" applyAlignment="1">
      <alignment horizontal="center" vertical="center"/>
    </xf>
    <xf numFmtId="0" fontId="31" fillId="0" borderId="0" xfId="2" applyFont="1" applyBorder="1" applyAlignment="1">
      <alignment horizontal="left"/>
    </xf>
    <xf numFmtId="0" fontId="30" fillId="0" borderId="17" xfId="0" applyFont="1" applyBorder="1" applyAlignment="1">
      <alignment horizontal="center" vertical="center" wrapText="1"/>
    </xf>
    <xf numFmtId="0" fontId="0" fillId="0" borderId="17" xfId="0" applyBorder="1" applyAlignment="1">
      <alignment horizontal="center" vertical="center"/>
    </xf>
    <xf numFmtId="3" fontId="0" fillId="0" borderId="17" xfId="0" applyNumberFormat="1" applyBorder="1" applyAlignment="1">
      <alignment horizontal="center" vertical="center"/>
    </xf>
    <xf numFmtId="4" fontId="0" fillId="0" borderId="17" xfId="0" applyNumberFormat="1" applyBorder="1" applyAlignment="1">
      <alignment horizontal="center" vertical="center"/>
    </xf>
    <xf numFmtId="169" fontId="0" fillId="0" borderId="17" xfId="0" applyNumberFormat="1" applyBorder="1" applyAlignment="1">
      <alignment horizontal="center" vertical="center"/>
    </xf>
    <xf numFmtId="169" fontId="31" fillId="0" borderId="17" xfId="0" applyNumberFormat="1" applyFont="1" applyBorder="1" applyAlignment="1">
      <alignment horizontal="center" vertical="center"/>
    </xf>
    <xf numFmtId="0" fontId="2" fillId="0" borderId="17" xfId="0" applyFont="1" applyBorder="1" applyAlignment="1">
      <alignment horizontal="center" vertical="center"/>
    </xf>
    <xf numFmtId="0" fontId="31" fillId="0" borderId="0" xfId="2" applyFont="1" applyAlignment="1">
      <alignment horizontal="left" vertical="center"/>
    </xf>
    <xf numFmtId="0" fontId="31" fillId="0" borderId="17" xfId="0" applyFont="1" applyBorder="1" applyAlignment="1">
      <alignment horizontal="center" vertical="center"/>
    </xf>
    <xf numFmtId="167" fontId="0" fillId="0" borderId="17" xfId="0" applyNumberFormat="1" applyBorder="1" applyAlignment="1">
      <alignment horizontal="center" vertical="center"/>
    </xf>
    <xf numFmtId="167" fontId="2" fillId="0" borderId="17" xfId="0" applyNumberFormat="1" applyFont="1" applyBorder="1" applyAlignment="1">
      <alignment horizontal="center" vertical="center"/>
    </xf>
    <xf numFmtId="0" fontId="31" fillId="0" borderId="0" xfId="0" applyFont="1" applyBorder="1" applyAlignment="1">
      <alignment horizontal="center" vertical="center"/>
    </xf>
    <xf numFmtId="0" fontId="31" fillId="0" borderId="17" xfId="2" applyFont="1" applyBorder="1" applyAlignment="1">
      <alignment horizontal="center" vertical="center"/>
    </xf>
    <xf numFmtId="4" fontId="31" fillId="0" borderId="17" xfId="0" applyNumberFormat="1" applyFont="1" applyBorder="1" applyAlignment="1">
      <alignment horizontal="center" vertical="center"/>
    </xf>
    <xf numFmtId="2" fontId="2" fillId="0" borderId="17" xfId="0" applyNumberFormat="1" applyFont="1" applyBorder="1" applyAlignment="1">
      <alignment horizontal="center" vertical="center"/>
    </xf>
    <xf numFmtId="0" fontId="1" fillId="0" borderId="6" xfId="2" applyFont="1" applyBorder="1" applyAlignment="1">
      <alignment horizontal="center" vertical="center"/>
    </xf>
    <xf numFmtId="0" fontId="2" fillId="6" borderId="29" xfId="2" applyFill="1" applyBorder="1" applyAlignment="1">
      <alignment horizontal="center" vertical="center"/>
    </xf>
    <xf numFmtId="0" fontId="2" fillId="0" borderId="20" xfId="2" applyBorder="1" applyAlignment="1">
      <alignment horizontal="center"/>
    </xf>
    <xf numFmtId="0" fontId="1" fillId="6" borderId="20" xfId="2" applyFont="1" applyFill="1" applyBorder="1" applyAlignment="1">
      <alignment horizontal="center" vertical="center"/>
    </xf>
    <xf numFmtId="0" fontId="19" fillId="12" borderId="26" xfId="2" applyFont="1" applyFill="1" applyBorder="1" applyAlignment="1">
      <alignment horizontal="center" vertical="center"/>
    </xf>
    <xf numFmtId="0" fontId="19" fillId="12" borderId="21" xfId="2" applyFont="1" applyFill="1" applyBorder="1" applyAlignment="1">
      <alignment horizontal="center" vertical="center"/>
    </xf>
    <xf numFmtId="0" fontId="19" fillId="12" borderId="39" xfId="2" applyFont="1" applyFill="1" applyBorder="1" applyAlignment="1">
      <alignment horizontal="center" vertical="center"/>
    </xf>
    <xf numFmtId="0" fontId="19" fillId="12" borderId="40" xfId="2" applyFont="1" applyFill="1" applyBorder="1" applyAlignment="1">
      <alignment horizontal="center" vertical="center"/>
    </xf>
    <xf numFmtId="0" fontId="1" fillId="0" borderId="28" xfId="2" applyFont="1" applyBorder="1" applyAlignment="1">
      <alignment horizontal="center"/>
    </xf>
    <xf numFmtId="0" fontId="1" fillId="5" borderId="20" xfId="2" applyFont="1" applyFill="1" applyBorder="1" applyAlignment="1">
      <alignment horizontal="center" vertical="center"/>
    </xf>
    <xf numFmtId="0" fontId="34" fillId="8" borderId="16" xfId="2" applyFont="1" applyFill="1" applyBorder="1" applyAlignment="1">
      <alignment horizontal="center" vertical="center"/>
    </xf>
    <xf numFmtId="0" fontId="22" fillId="7" borderId="28" xfId="2" applyFont="1" applyFill="1" applyBorder="1" applyAlignment="1">
      <alignment horizontal="center" vertical="center"/>
    </xf>
    <xf numFmtId="0" fontId="22" fillId="7" borderId="20" xfId="2" applyFont="1" applyFill="1" applyBorder="1" applyAlignment="1">
      <alignment horizontal="center" vertical="center"/>
    </xf>
    <xf numFmtId="0" fontId="2" fillId="0" borderId="28" xfId="2" applyBorder="1"/>
    <xf numFmtId="0" fontId="17" fillId="8" borderId="17" xfId="2" applyFont="1" applyFill="1" applyBorder="1" applyAlignment="1">
      <alignment horizontal="center" vertical="center"/>
    </xf>
    <xf numFmtId="167" fontId="2" fillId="7" borderId="20" xfId="2" applyNumberFormat="1" applyFont="1" applyFill="1" applyBorder="1" applyAlignment="1">
      <alignment horizontal="center" vertical="center"/>
    </xf>
    <xf numFmtId="167" fontId="1" fillId="7" borderId="20" xfId="2" applyNumberFormat="1" applyFont="1" applyFill="1" applyBorder="1" applyAlignment="1">
      <alignment horizontal="center" vertical="center"/>
    </xf>
    <xf numFmtId="167" fontId="2" fillId="7" borderId="20" xfId="2" applyNumberFormat="1" applyFill="1" applyBorder="1" applyAlignment="1">
      <alignment horizontal="center" vertical="center"/>
    </xf>
    <xf numFmtId="0" fontId="2" fillId="0" borderId="0" xfId="0" applyFont="1" applyAlignment="1">
      <alignment wrapText="1"/>
    </xf>
    <xf numFmtId="0" fontId="19" fillId="0" borderId="0" xfId="0" applyFont="1"/>
    <xf numFmtId="0" fontId="1" fillId="0" borderId="0" xfId="0" applyFont="1" applyAlignment="1">
      <alignment wrapText="1"/>
    </xf>
    <xf numFmtId="0" fontId="35" fillId="8" borderId="27" xfId="2" applyFont="1" applyFill="1" applyBorder="1" applyAlignment="1">
      <alignment horizontal="center" vertical="center" wrapText="1"/>
    </xf>
    <xf numFmtId="0" fontId="2" fillId="0" borderId="0" xfId="0" applyFont="1" applyAlignment="1"/>
    <xf numFmtId="0" fontId="2" fillId="0" borderId="0" xfId="0" applyFont="1" applyAlignment="1">
      <alignment horizontal="left"/>
    </xf>
    <xf numFmtId="0" fontId="0" fillId="15" borderId="17" xfId="0" applyFill="1" applyBorder="1"/>
    <xf numFmtId="0" fontId="19" fillId="16" borderId="28" xfId="0" applyFont="1" applyFill="1" applyBorder="1" applyAlignment="1">
      <alignment horizontal="center"/>
    </xf>
    <xf numFmtId="0" fontId="0" fillId="16" borderId="20" xfId="0" applyFill="1" applyBorder="1" applyAlignment="1">
      <alignment horizontal="center" vertical="center"/>
    </xf>
    <xf numFmtId="0" fontId="1" fillId="16" borderId="28" xfId="0" applyFont="1" applyFill="1" applyBorder="1" applyAlignment="1">
      <alignment horizontal="center" vertical="center"/>
    </xf>
    <xf numFmtId="0" fontId="2" fillId="15" borderId="17" xfId="0" applyFont="1" applyFill="1" applyBorder="1"/>
    <xf numFmtId="0" fontId="52" fillId="0" borderId="0" xfId="2" applyFont="1"/>
    <xf numFmtId="2" fontId="1" fillId="16" borderId="28" xfId="0" applyNumberFormat="1" applyFont="1" applyFill="1" applyBorder="1" applyAlignment="1">
      <alignment horizontal="center" vertical="center"/>
    </xf>
    <xf numFmtId="2" fontId="0" fillId="16" borderId="20" xfId="0" applyNumberFormat="1" applyFill="1" applyBorder="1" applyAlignment="1">
      <alignment horizontal="center" vertical="center"/>
    </xf>
    <xf numFmtId="2" fontId="0" fillId="15" borderId="16" xfId="0" applyNumberFormat="1" applyFill="1" applyBorder="1" applyAlignment="1">
      <alignment horizontal="center" vertical="center"/>
    </xf>
    <xf numFmtId="0" fontId="53" fillId="0" borderId="0" xfId="0" applyFont="1" applyAlignment="1">
      <alignment vertical="center"/>
    </xf>
    <xf numFmtId="0" fontId="53" fillId="0" borderId="0" xfId="0" applyFont="1" applyAlignment="1"/>
    <xf numFmtId="0" fontId="54" fillId="0" borderId="0" xfId="0" applyFont="1" applyAlignment="1">
      <alignment vertical="center"/>
    </xf>
    <xf numFmtId="0" fontId="55" fillId="8" borderId="41" xfId="2" applyFont="1" applyFill="1" applyBorder="1" applyAlignment="1">
      <alignment horizontal="center" vertical="center"/>
    </xf>
    <xf numFmtId="0" fontId="56" fillId="8" borderId="42" xfId="2" applyFont="1" applyFill="1" applyBorder="1"/>
    <xf numFmtId="2" fontId="2" fillId="0" borderId="20" xfId="2" applyNumberFormat="1" applyBorder="1" applyAlignment="1">
      <alignment horizontal="center" vertical="center"/>
    </xf>
    <xf numFmtId="0" fontId="31" fillId="17" borderId="17" xfId="2" applyFont="1" applyFill="1" applyBorder="1" applyAlignment="1">
      <alignment horizontal="left" vertical="center"/>
    </xf>
    <xf numFmtId="0" fontId="2" fillId="17" borderId="17" xfId="2" applyFill="1" applyBorder="1" applyAlignment="1">
      <alignment horizontal="center" vertical="center"/>
    </xf>
    <xf numFmtId="0" fontId="56" fillId="0" borderId="0" xfId="2" quotePrefix="1" applyFont="1" applyAlignment="1">
      <alignment horizontal="center" vertical="center"/>
    </xf>
    <xf numFmtId="0" fontId="56" fillId="0" borderId="0" xfId="2" applyFont="1" applyAlignment="1">
      <alignment horizontal="center" vertical="center"/>
    </xf>
    <xf numFmtId="0" fontId="2" fillId="17" borderId="17" xfId="2" applyFont="1" applyFill="1" applyBorder="1" applyAlignment="1">
      <alignment horizontal="left" vertical="center"/>
    </xf>
    <xf numFmtId="0" fontId="2" fillId="0" borderId="17" xfId="2" applyFill="1" applyBorder="1" applyAlignment="1" applyProtection="1">
      <alignment vertical="center"/>
      <protection locked="0"/>
    </xf>
    <xf numFmtId="0" fontId="2" fillId="0" borderId="29" xfId="2" applyFill="1" applyBorder="1" applyAlignment="1" applyProtection="1">
      <alignment vertical="center"/>
    </xf>
    <xf numFmtId="0" fontId="0" fillId="0" borderId="0" xfId="0" applyAlignment="1">
      <alignment horizontal="left" vertical="top"/>
    </xf>
    <xf numFmtId="0" fontId="39" fillId="0" borderId="98" xfId="0" applyFont="1" applyBorder="1" applyAlignment="1">
      <alignment horizontal="center" vertical="top" wrapText="1"/>
    </xf>
    <xf numFmtId="0" fontId="0" fillId="18" borderId="98" xfId="0" applyFill="1" applyBorder="1" applyAlignment="1">
      <alignment horizontal="left" vertical="center" wrapText="1"/>
    </xf>
    <xf numFmtId="0" fontId="0" fillId="0" borderId="98" xfId="0" applyBorder="1" applyAlignment="1">
      <alignment horizontal="left" vertical="center" wrapText="1"/>
    </xf>
    <xf numFmtId="0" fontId="37" fillId="19" borderId="99" xfId="0" applyFont="1" applyFill="1" applyBorder="1" applyAlignment="1">
      <alignment horizontal="center" vertical="top" wrapText="1"/>
    </xf>
    <xf numFmtId="0" fontId="37" fillId="19" borderId="100" xfId="0" applyFont="1" applyFill="1" applyBorder="1" applyAlignment="1">
      <alignment horizontal="center" vertical="top" wrapText="1"/>
    </xf>
    <xf numFmtId="0" fontId="0" fillId="18" borderId="101" xfId="0" applyFill="1" applyBorder="1" applyAlignment="1">
      <alignment horizontal="left" vertical="center" wrapText="1"/>
    </xf>
    <xf numFmtId="0" fontId="0" fillId="18" borderId="102" xfId="0" applyFill="1" applyBorder="1" applyAlignment="1">
      <alignment horizontal="left" vertical="center" wrapText="1"/>
    </xf>
    <xf numFmtId="0" fontId="37" fillId="19" borderId="103" xfId="0" applyFont="1" applyFill="1" applyBorder="1" applyAlignment="1">
      <alignment horizontal="center" vertical="top" wrapText="1"/>
    </xf>
    <xf numFmtId="0" fontId="37" fillId="19" borderId="103" xfId="0" applyFont="1" applyFill="1" applyBorder="1" applyAlignment="1">
      <alignment horizontal="left" vertical="center" wrapText="1"/>
    </xf>
    <xf numFmtId="0" fontId="0" fillId="0" borderId="101" xfId="0" applyBorder="1" applyAlignment="1">
      <alignment horizontal="left" vertical="center" wrapText="1"/>
    </xf>
    <xf numFmtId="0" fontId="0" fillId="0" borderId="102" xfId="0" applyBorder="1" applyAlignment="1">
      <alignment horizontal="left" vertical="center" wrapText="1"/>
    </xf>
    <xf numFmtId="0" fontId="0" fillId="19" borderId="0" xfId="0" applyFill="1" applyAlignment="1">
      <alignment horizontal="left" vertical="center" wrapText="1"/>
    </xf>
    <xf numFmtId="0" fontId="0" fillId="0" borderId="104" xfId="0" applyBorder="1" applyAlignment="1">
      <alignment horizontal="left" vertical="top" wrapText="1"/>
    </xf>
    <xf numFmtId="0" fontId="0" fillId="0" borderId="102" xfId="0" applyBorder="1" applyAlignment="1">
      <alignment horizontal="left" vertical="top" wrapText="1"/>
    </xf>
    <xf numFmtId="0" fontId="0" fillId="20" borderId="28" xfId="0" applyFill="1" applyBorder="1" applyAlignment="1">
      <alignment horizontal="center" vertical="center"/>
    </xf>
    <xf numFmtId="0" fontId="0" fillId="20" borderId="43" xfId="0" applyFill="1" applyBorder="1" applyAlignment="1">
      <alignment horizontal="center" vertical="center"/>
    </xf>
    <xf numFmtId="0" fontId="0" fillId="20" borderId="29" xfId="0" applyFill="1" applyBorder="1" applyAlignment="1">
      <alignment horizontal="center" vertical="center" wrapText="1"/>
    </xf>
    <xf numFmtId="0" fontId="0" fillId="20" borderId="29" xfId="0" applyFill="1" applyBorder="1" applyAlignment="1">
      <alignment horizontal="center" vertical="center"/>
    </xf>
    <xf numFmtId="0" fontId="0" fillId="20" borderId="44" xfId="0" applyFill="1" applyBorder="1" applyAlignment="1">
      <alignment horizontal="center" vertical="center"/>
    </xf>
    <xf numFmtId="0" fontId="0" fillId="20" borderId="1" xfId="0" applyFill="1" applyBorder="1" applyAlignment="1">
      <alignment horizontal="center" vertical="center" wrapText="1"/>
    </xf>
    <xf numFmtId="0" fontId="0" fillId="20" borderId="0" xfId="0" applyFill="1" applyAlignment="1">
      <alignment horizontal="center" vertical="center" wrapText="1"/>
    </xf>
    <xf numFmtId="0" fontId="0" fillId="20" borderId="45" xfId="0" applyFill="1" applyBorder="1" applyAlignment="1">
      <alignment horizontal="center" vertical="center" wrapText="1"/>
    </xf>
    <xf numFmtId="0" fontId="0" fillId="20" borderId="40" xfId="0" applyFill="1" applyBorder="1" applyAlignment="1">
      <alignment horizontal="center" vertical="center"/>
    </xf>
    <xf numFmtId="0" fontId="0" fillId="21" borderId="46" xfId="0" applyFill="1" applyBorder="1" applyAlignment="1">
      <alignment horizontal="center" vertical="center"/>
    </xf>
    <xf numFmtId="0" fontId="0" fillId="21" borderId="32" xfId="0" applyFill="1" applyBorder="1" applyAlignment="1">
      <alignment horizontal="center" vertical="center" wrapText="1"/>
    </xf>
    <xf numFmtId="0" fontId="0" fillId="21" borderId="47" xfId="0" applyFill="1" applyBorder="1" applyAlignment="1">
      <alignment horizontal="center" vertical="center"/>
    </xf>
    <xf numFmtId="0" fontId="0" fillId="21" borderId="47" xfId="0" applyFill="1" applyBorder="1" applyAlignment="1">
      <alignment horizontal="center" vertical="center" wrapText="1"/>
    </xf>
    <xf numFmtId="0" fontId="0" fillId="0" borderId="47" xfId="0" applyBorder="1" applyAlignment="1">
      <alignment horizontal="center" vertical="center"/>
    </xf>
    <xf numFmtId="4" fontId="57" fillId="22" borderId="29" xfId="0" applyNumberFormat="1" applyFont="1" applyFill="1" applyBorder="1" applyAlignment="1">
      <alignment horizontal="center" vertical="center"/>
    </xf>
    <xf numFmtId="2" fontId="0" fillId="0" borderId="25" xfId="0" applyNumberFormat="1" applyBorder="1" applyAlignment="1">
      <alignment horizontal="left" vertical="center" wrapText="1"/>
    </xf>
    <xf numFmtId="0" fontId="0" fillId="21" borderId="34" xfId="0" applyFill="1" applyBorder="1" applyAlignment="1">
      <alignment horizontal="center" vertical="center" wrapText="1"/>
    </xf>
    <xf numFmtId="0" fontId="0" fillId="21" borderId="17" xfId="0" applyFill="1" applyBorder="1" applyAlignment="1">
      <alignment horizontal="center" vertical="center"/>
    </xf>
    <xf numFmtId="0" fontId="0" fillId="21" borderId="17" xfId="0" applyFill="1" applyBorder="1" applyAlignment="1">
      <alignment horizontal="center" vertical="center" wrapText="1"/>
    </xf>
    <xf numFmtId="0" fontId="0" fillId="23" borderId="17" xfId="0" applyFill="1" applyBorder="1" applyAlignment="1">
      <alignment horizontal="center" vertical="center"/>
    </xf>
    <xf numFmtId="4" fontId="57" fillId="22" borderId="28" xfId="0" applyNumberFormat="1" applyFont="1" applyFill="1" applyBorder="1" applyAlignment="1">
      <alignment horizontal="center" vertical="center"/>
    </xf>
    <xf numFmtId="2" fontId="0" fillId="0" borderId="15" xfId="0" applyNumberFormat="1" applyBorder="1" applyAlignment="1">
      <alignment horizontal="left" vertical="center" wrapText="1"/>
    </xf>
    <xf numFmtId="44" fontId="0" fillId="0" borderId="15" xfId="0" applyNumberFormat="1" applyBorder="1"/>
    <xf numFmtId="2" fontId="0" fillId="0" borderId="15" xfId="0" applyNumberFormat="1" applyBorder="1" applyAlignment="1">
      <alignment horizontal="center" vertical="center" wrapText="1"/>
    </xf>
    <xf numFmtId="0" fontId="0" fillId="20" borderId="29" xfId="0" applyFill="1" applyBorder="1" applyAlignment="1">
      <alignment vertical="center"/>
    </xf>
    <xf numFmtId="0" fontId="0" fillId="23" borderId="47" xfId="0" applyFill="1" applyBorder="1" applyAlignment="1">
      <alignment horizontal="center" vertical="center"/>
    </xf>
    <xf numFmtId="0" fontId="0" fillId="21" borderId="14" xfId="0" applyFill="1" applyBorder="1" applyAlignment="1">
      <alignment horizontal="center" vertical="center"/>
    </xf>
    <xf numFmtId="0" fontId="0" fillId="21" borderId="11" xfId="0" applyFill="1" applyBorder="1" applyAlignment="1">
      <alignment horizontal="center" vertical="center" wrapText="1"/>
    </xf>
    <xf numFmtId="0" fontId="0" fillId="0" borderId="11" xfId="0" applyBorder="1" applyAlignment="1">
      <alignment horizontal="center" vertical="center"/>
    </xf>
    <xf numFmtId="0" fontId="0" fillId="23" borderId="11" xfId="0" applyFill="1" applyBorder="1" applyAlignment="1">
      <alignment horizontal="center" vertical="center"/>
    </xf>
    <xf numFmtId="0" fontId="58" fillId="0" borderId="0" xfId="0" applyFont="1" applyAlignment="1">
      <alignment horizontal="left" vertical="center" indent="1"/>
    </xf>
    <xf numFmtId="0" fontId="0" fillId="24" borderId="105" xfId="0" applyFill="1" applyBorder="1" applyAlignment="1">
      <alignment horizontal="left" vertical="top" wrapText="1"/>
    </xf>
    <xf numFmtId="0" fontId="0" fillId="24" borderId="106" xfId="0" applyFill="1" applyBorder="1" applyAlignment="1">
      <alignment horizontal="left" vertical="top" wrapText="1"/>
    </xf>
    <xf numFmtId="0" fontId="0" fillId="24" borderId="105" xfId="0" applyFill="1" applyBorder="1" applyAlignment="1">
      <alignment horizontal="left" vertical="top" wrapText="1" indent="1"/>
    </xf>
    <xf numFmtId="0" fontId="0" fillId="24" borderId="105" xfId="0" applyFill="1" applyBorder="1" applyAlignment="1">
      <alignment horizontal="center" vertical="top" wrapText="1"/>
    </xf>
    <xf numFmtId="0" fontId="59" fillId="24" borderId="105" xfId="0" applyFont="1" applyFill="1" applyBorder="1" applyAlignment="1">
      <alignment horizontal="left" vertical="top" wrapText="1"/>
    </xf>
    <xf numFmtId="0" fontId="37" fillId="19" borderId="107" xfId="0" applyFont="1" applyFill="1" applyBorder="1" applyAlignment="1">
      <alignment horizontal="center" vertical="top" wrapText="1"/>
    </xf>
    <xf numFmtId="0" fontId="37" fillId="19" borderId="107" xfId="0" applyFont="1" applyFill="1" applyBorder="1" applyAlignment="1">
      <alignment horizontal="left" vertical="center" wrapText="1"/>
    </xf>
    <xf numFmtId="0" fontId="0" fillId="24" borderId="108" xfId="0" applyFill="1" applyBorder="1" applyAlignment="1">
      <alignment horizontal="center" vertical="top" wrapText="1"/>
    </xf>
    <xf numFmtId="0" fontId="0" fillId="24" borderId="109" xfId="0" applyFill="1" applyBorder="1" applyAlignment="1">
      <alignment horizontal="center" vertical="top" wrapText="1"/>
    </xf>
    <xf numFmtId="0" fontId="0" fillId="24" borderId="108" xfId="0" applyFill="1" applyBorder="1" applyAlignment="1">
      <alignment horizontal="left" vertical="top" wrapText="1"/>
    </xf>
    <xf numFmtId="0" fontId="0" fillId="24" borderId="109" xfId="0" applyFill="1" applyBorder="1" applyAlignment="1">
      <alignment horizontal="left" vertical="top" wrapText="1"/>
    </xf>
    <xf numFmtId="0" fontId="0" fillId="19" borderId="101" xfId="0" applyFill="1" applyBorder="1" applyAlignment="1">
      <alignment horizontal="left" vertical="center" wrapText="1"/>
    </xf>
    <xf numFmtId="0" fontId="0" fillId="19" borderId="102" xfId="0" applyFill="1" applyBorder="1" applyAlignment="1">
      <alignment horizontal="left" vertical="center" wrapText="1"/>
    </xf>
    <xf numFmtId="0" fontId="60" fillId="19" borderId="0" xfId="0" applyFont="1" applyFill="1" applyAlignment="1">
      <alignment horizontal="left" wrapText="1"/>
    </xf>
    <xf numFmtId="0" fontId="36" fillId="0" borderId="0" xfId="0" applyFont="1" applyAlignment="1">
      <alignment horizontal="left"/>
    </xf>
    <xf numFmtId="0" fontId="60" fillId="19" borderId="110" xfId="0" applyFont="1" applyFill="1" applyBorder="1" applyAlignment="1">
      <alignment horizontal="left" wrapText="1"/>
    </xf>
    <xf numFmtId="0" fontId="0" fillId="0" borderId="101" xfId="0" applyBorder="1" applyAlignment="1">
      <alignment horizontal="left" wrapText="1"/>
    </xf>
    <xf numFmtId="0" fontId="39" fillId="0" borderId="101" xfId="0" applyFont="1" applyBorder="1" applyAlignment="1">
      <alignment horizontal="left" wrapText="1"/>
    </xf>
    <xf numFmtId="0" fontId="0" fillId="18" borderId="111" xfId="0" applyFill="1" applyBorder="1" applyAlignment="1">
      <alignment horizontal="left" wrapText="1"/>
    </xf>
    <xf numFmtId="0" fontId="0" fillId="19" borderId="0" xfId="0" applyFill="1" applyAlignment="1">
      <alignment horizontal="left" wrapText="1"/>
    </xf>
    <xf numFmtId="0" fontId="0" fillId="0" borderId="0" xfId="0" applyAlignment="1">
      <alignment horizontal="left"/>
    </xf>
    <xf numFmtId="0" fontId="2" fillId="0" borderId="16" xfId="0" applyFont="1" applyBorder="1"/>
    <xf numFmtId="0" fontId="42" fillId="0" borderId="32" xfId="0" applyFont="1" applyBorder="1" applyProtection="1"/>
    <xf numFmtId="0" fontId="39" fillId="0" borderId="0" xfId="0" applyFont="1" applyAlignment="1">
      <alignment horizontal="left"/>
    </xf>
    <xf numFmtId="170" fontId="61" fillId="0" borderId="0" xfId="0" applyNumberFormat="1" applyFont="1" applyAlignment="1">
      <alignment vertical="center"/>
    </xf>
    <xf numFmtId="0" fontId="2" fillId="0" borderId="0" xfId="0" applyFont="1" applyAlignment="1">
      <alignment horizontal="right"/>
    </xf>
    <xf numFmtId="0" fontId="39" fillId="13" borderId="0" xfId="0" applyFont="1" applyFill="1" applyAlignment="1">
      <alignment horizontal="left"/>
    </xf>
    <xf numFmtId="0" fontId="39" fillId="0" borderId="45" xfId="0" applyFont="1" applyBorder="1" applyAlignment="1">
      <alignment horizontal="left"/>
    </xf>
    <xf numFmtId="0" fontId="39" fillId="0" borderId="48" xfId="0" applyFont="1" applyBorder="1" applyAlignment="1">
      <alignment horizontal="left"/>
    </xf>
    <xf numFmtId="0" fontId="43" fillId="13" borderId="49" xfId="0" applyFont="1" applyFill="1" applyBorder="1" applyAlignment="1">
      <alignment horizontal="right" vertical="top"/>
    </xf>
    <xf numFmtId="0" fontId="39" fillId="0" borderId="50" xfId="0" applyFont="1" applyBorder="1" applyAlignment="1">
      <alignment horizontal="left"/>
    </xf>
    <xf numFmtId="0" fontId="39" fillId="0" borderId="49" xfId="0" applyFont="1" applyBorder="1" applyAlignment="1">
      <alignment horizontal="left"/>
    </xf>
    <xf numFmtId="0" fontId="39" fillId="13" borderId="49" xfId="0" applyFont="1" applyFill="1" applyBorder="1" applyAlignment="1">
      <alignment horizontal="right"/>
    </xf>
    <xf numFmtId="0" fontId="39" fillId="13" borderId="0" xfId="0" applyFont="1" applyFill="1" applyAlignment="1">
      <alignment horizontal="right"/>
    </xf>
    <xf numFmtId="0" fontId="39" fillId="0" borderId="51" xfId="0" applyFont="1" applyBorder="1" applyAlignment="1">
      <alignment horizontal="left"/>
    </xf>
    <xf numFmtId="0" fontId="39" fillId="0" borderId="52" xfId="0" applyFont="1" applyBorder="1" applyAlignment="1">
      <alignment horizontal="left"/>
    </xf>
    <xf numFmtId="0" fontId="39" fillId="9" borderId="0" xfId="0" applyFont="1" applyFill="1" applyAlignment="1">
      <alignment horizontal="left"/>
    </xf>
    <xf numFmtId="0" fontId="43" fillId="8" borderId="40" xfId="0" applyFont="1" applyFill="1" applyBorder="1" applyAlignment="1">
      <alignment horizontal="left" vertical="top"/>
    </xf>
    <xf numFmtId="0" fontId="43" fillId="8" borderId="53" xfId="0" applyFont="1" applyFill="1" applyBorder="1" applyAlignment="1">
      <alignment horizontal="left" vertical="top"/>
    </xf>
    <xf numFmtId="0" fontId="39" fillId="8" borderId="53" xfId="0" applyFont="1" applyFill="1" applyBorder="1" applyAlignment="1">
      <alignment horizontal="left"/>
    </xf>
    <xf numFmtId="0" fontId="39" fillId="8" borderId="26" xfId="0" applyFont="1" applyFill="1" applyBorder="1" applyAlignment="1">
      <alignment horizontal="left"/>
    </xf>
    <xf numFmtId="0" fontId="39" fillId="0" borderId="49" xfId="0" applyFont="1" applyBorder="1" applyAlignment="1">
      <alignment horizontal="right"/>
    </xf>
    <xf numFmtId="0" fontId="39" fillId="0" borderId="0" xfId="0" applyFont="1" applyAlignment="1">
      <alignment horizontal="right"/>
    </xf>
    <xf numFmtId="0" fontId="39" fillId="0" borderId="0" xfId="0" applyFont="1" applyAlignment="1">
      <alignment horizontal="center"/>
    </xf>
    <xf numFmtId="0" fontId="0" fillId="13" borderId="0" xfId="0" applyFill="1" applyAlignment="1">
      <alignment horizontal="left"/>
    </xf>
    <xf numFmtId="0" fontId="39" fillId="8" borderId="0" xfId="0" applyFont="1" applyFill="1" applyAlignment="1">
      <alignment horizontal="center"/>
    </xf>
    <xf numFmtId="0" fontId="39" fillId="8" borderId="45" xfId="0" applyFont="1" applyFill="1" applyBorder="1" applyAlignment="1">
      <alignment horizontal="left"/>
    </xf>
    <xf numFmtId="0" fontId="39" fillId="8" borderId="48" xfId="0" applyFont="1" applyFill="1" applyBorder="1" applyAlignment="1">
      <alignment horizontal="left"/>
    </xf>
    <xf numFmtId="0" fontId="39" fillId="13" borderId="45" xfId="0" applyFont="1" applyFill="1" applyBorder="1" applyAlignment="1">
      <alignment horizontal="left"/>
    </xf>
    <xf numFmtId="0" fontId="39" fillId="13" borderId="48" xfId="0" applyFont="1" applyFill="1" applyBorder="1" applyAlignment="1">
      <alignment horizontal="left"/>
    </xf>
    <xf numFmtId="0" fontId="39" fillId="13" borderId="51" xfId="0" applyFont="1" applyFill="1" applyBorder="1" applyAlignment="1">
      <alignment horizontal="left"/>
    </xf>
    <xf numFmtId="0" fontId="39" fillId="13" borderId="52" xfId="0" applyFont="1" applyFill="1" applyBorder="1" applyAlignment="1">
      <alignment horizontal="left"/>
    </xf>
    <xf numFmtId="0" fontId="44" fillId="0" borderId="0" xfId="0" applyFont="1" applyAlignment="1">
      <alignment horizontal="left"/>
    </xf>
    <xf numFmtId="0" fontId="62" fillId="0" borderId="0" xfId="0" applyFont="1" applyAlignment="1">
      <alignment horizontal="left"/>
    </xf>
    <xf numFmtId="0" fontId="39" fillId="0" borderId="40" xfId="0" applyFont="1" applyBorder="1" applyAlignment="1">
      <alignment horizontal="left"/>
    </xf>
    <xf numFmtId="0" fontId="39" fillId="8" borderId="54" xfId="0" applyFont="1" applyFill="1" applyBorder="1" applyAlignment="1">
      <alignment horizontal="left"/>
    </xf>
    <xf numFmtId="0" fontId="39" fillId="0" borderId="53" xfId="0" applyFont="1" applyBorder="1" applyAlignment="1">
      <alignment horizontal="left"/>
    </xf>
    <xf numFmtId="0" fontId="39" fillId="15" borderId="0" xfId="0" applyFont="1" applyFill="1" applyAlignment="1">
      <alignment horizontal="left"/>
    </xf>
    <xf numFmtId="172" fontId="39" fillId="0" borderId="40" xfId="4" applyNumberFormat="1" applyFont="1" applyBorder="1" applyAlignment="1">
      <alignment horizontal="left"/>
    </xf>
    <xf numFmtId="0" fontId="39" fillId="9" borderId="0" xfId="0" applyFont="1" applyFill="1" applyAlignment="1">
      <alignment horizontal="right"/>
    </xf>
    <xf numFmtId="172" fontId="39" fillId="0" borderId="53" xfId="4" applyNumberFormat="1" applyFont="1" applyBorder="1" applyAlignment="1">
      <alignment horizontal="left"/>
    </xf>
    <xf numFmtId="172" fontId="39" fillId="0" borderId="26" xfId="4" applyNumberFormat="1" applyFont="1" applyBorder="1" applyAlignment="1">
      <alignment horizontal="left"/>
    </xf>
    <xf numFmtId="0" fontId="39" fillId="0" borderId="54" xfId="0" applyFont="1" applyBorder="1" applyAlignment="1">
      <alignment horizontal="left"/>
    </xf>
    <xf numFmtId="0" fontId="39" fillId="0" borderId="55" xfId="0" applyFont="1" applyBorder="1" applyAlignment="1">
      <alignment horizontal="left"/>
    </xf>
    <xf numFmtId="0" fontId="39" fillId="0" borderId="26" xfId="0" applyFont="1" applyBorder="1" applyAlignment="1">
      <alignment horizontal="left"/>
    </xf>
    <xf numFmtId="0" fontId="39" fillId="0" borderId="56" xfId="0" applyFont="1" applyBorder="1" applyAlignment="1">
      <alignment horizontal="left"/>
    </xf>
    <xf numFmtId="0" fontId="39" fillId="0" borderId="57" xfId="0" applyFont="1" applyBorder="1" applyAlignment="1">
      <alignment horizontal="left"/>
    </xf>
    <xf numFmtId="0" fontId="39" fillId="0" borderId="27" xfId="0" applyFont="1" applyBorder="1" applyAlignment="1">
      <alignment horizontal="left"/>
    </xf>
    <xf numFmtId="0" fontId="39" fillId="8" borderId="56" xfId="0" applyFont="1" applyFill="1" applyBorder="1" applyAlignment="1">
      <alignment horizontal="left"/>
    </xf>
    <xf numFmtId="0" fontId="39" fillId="8" borderId="58" xfId="0" applyFont="1" applyFill="1" applyBorder="1" applyAlignment="1">
      <alignment horizontal="left"/>
    </xf>
    <xf numFmtId="0" fontId="44" fillId="9" borderId="0" xfId="0" applyFont="1" applyFill="1" applyAlignment="1">
      <alignment horizontal="left"/>
    </xf>
    <xf numFmtId="0" fontId="39" fillId="25" borderId="0" xfId="0" applyFont="1" applyFill="1" applyAlignment="1">
      <alignment horizontal="left"/>
    </xf>
    <xf numFmtId="0" fontId="63" fillId="25" borderId="0" xfId="0" applyFont="1" applyFill="1" applyAlignment="1">
      <alignment horizontal="left"/>
    </xf>
    <xf numFmtId="0" fontId="64" fillId="26" borderId="112" xfId="0" applyFont="1" applyFill="1" applyBorder="1" applyAlignment="1">
      <alignment vertical="center"/>
    </xf>
    <xf numFmtId="0" fontId="65" fillId="27" borderId="112" xfId="0" applyFont="1" applyFill="1" applyBorder="1" applyAlignment="1">
      <alignment vertical="center"/>
    </xf>
    <xf numFmtId="0" fontId="65" fillId="26" borderId="112" xfId="0" applyFont="1" applyFill="1" applyBorder="1" applyAlignment="1">
      <alignment vertical="center"/>
    </xf>
    <xf numFmtId="0" fontId="46" fillId="26" borderId="112" xfId="0" applyFont="1" applyFill="1" applyBorder="1" applyAlignment="1">
      <alignment vertical="center"/>
    </xf>
    <xf numFmtId="0" fontId="65" fillId="27" borderId="113" xfId="0" applyFont="1" applyFill="1" applyBorder="1" applyAlignment="1">
      <alignment vertical="center"/>
    </xf>
    <xf numFmtId="2" fontId="0" fillId="0" borderId="59" xfId="0" applyNumberFormat="1" applyBorder="1"/>
    <xf numFmtId="2" fontId="0" fillId="0" borderId="60" xfId="0" applyNumberFormat="1" applyBorder="1"/>
    <xf numFmtId="2" fontId="0" fillId="0" borderId="61" xfId="0" applyNumberFormat="1" applyBorder="1"/>
    <xf numFmtId="0" fontId="0" fillId="0" borderId="59" xfId="0" applyBorder="1"/>
    <xf numFmtId="0" fontId="0" fillId="0" borderId="60" xfId="0" applyBorder="1"/>
    <xf numFmtId="0" fontId="0" fillId="0" borderId="61" xfId="0" applyBorder="1"/>
    <xf numFmtId="2" fontId="0" fillId="0" borderId="62" xfId="0" applyNumberFormat="1" applyBorder="1"/>
    <xf numFmtId="2" fontId="0" fillId="0" borderId="63" xfId="0" applyNumberFormat="1" applyBorder="1"/>
    <xf numFmtId="2" fontId="0" fillId="0" borderId="64" xfId="0" applyNumberFormat="1" applyBorder="1"/>
    <xf numFmtId="0" fontId="0" fillId="0" borderId="62" xfId="0" applyBorder="1"/>
    <xf numFmtId="0" fontId="0" fillId="0" borderId="63" xfId="0" applyBorder="1"/>
    <xf numFmtId="0" fontId="0" fillId="0" borderId="64" xfId="0" applyBorder="1"/>
    <xf numFmtId="2" fontId="0" fillId="0" borderId="65" xfId="0" applyNumberFormat="1" applyBorder="1"/>
    <xf numFmtId="2" fontId="0" fillId="0" borderId="66" xfId="0" applyNumberFormat="1" applyBorder="1"/>
    <xf numFmtId="2" fontId="0" fillId="0" borderId="67" xfId="0" applyNumberFormat="1" applyBorder="1"/>
    <xf numFmtId="2" fontId="0" fillId="0" borderId="68" xfId="0" applyNumberFormat="1" applyBorder="1"/>
    <xf numFmtId="2" fontId="0" fillId="0" borderId="69" xfId="0" applyNumberFormat="1" applyBorder="1"/>
    <xf numFmtId="2" fontId="0" fillId="0" borderId="70" xfId="0" applyNumberFormat="1" applyBorder="1"/>
    <xf numFmtId="0" fontId="0" fillId="0" borderId="68" xfId="0" applyBorder="1"/>
    <xf numFmtId="0" fontId="0" fillId="0" borderId="69" xfId="0" applyBorder="1"/>
    <xf numFmtId="0" fontId="0" fillId="0" borderId="70" xfId="0" applyBorder="1"/>
    <xf numFmtId="0" fontId="1" fillId="0" borderId="59" xfId="0" quotePrefix="1" applyFont="1" applyBorder="1"/>
    <xf numFmtId="0" fontId="1" fillId="0" borderId="60" xfId="0" quotePrefix="1" applyFont="1" applyBorder="1"/>
    <xf numFmtId="0" fontId="56" fillId="0" borderId="0" xfId="0" applyFont="1" applyAlignment="1">
      <alignment horizontal="right"/>
    </xf>
    <xf numFmtId="0" fontId="0" fillId="0" borderId="71" xfId="0" applyBorder="1"/>
    <xf numFmtId="0" fontId="0" fillId="0" borderId="72" xfId="0" applyBorder="1"/>
    <xf numFmtId="0" fontId="0" fillId="0" borderId="62" xfId="0" quotePrefix="1" applyBorder="1"/>
    <xf numFmtId="0" fontId="0" fillId="0" borderId="63" xfId="0" quotePrefix="1" applyBorder="1"/>
    <xf numFmtId="0" fontId="0" fillId="0" borderId="64" xfId="0" quotePrefix="1" applyBorder="1"/>
    <xf numFmtId="0" fontId="0" fillId="0" borderId="65" xfId="0" quotePrefix="1" applyBorder="1"/>
    <xf numFmtId="0" fontId="0" fillId="0" borderId="66" xfId="0" quotePrefix="1" applyBorder="1"/>
    <xf numFmtId="0" fontId="0" fillId="0" borderId="67" xfId="0" quotePrefix="1" applyBorder="1"/>
    <xf numFmtId="2" fontId="0" fillId="0" borderId="73" xfId="0" applyNumberFormat="1" applyBorder="1"/>
    <xf numFmtId="2" fontId="0" fillId="0" borderId="74" xfId="0" applyNumberFormat="1" applyBorder="1"/>
    <xf numFmtId="2" fontId="0" fillId="0" borderId="75" xfId="0" applyNumberFormat="1" applyBorder="1"/>
    <xf numFmtId="0" fontId="0" fillId="0" borderId="76" xfId="0" applyBorder="1"/>
    <xf numFmtId="0" fontId="0" fillId="0" borderId="68" xfId="0" quotePrefix="1" applyBorder="1"/>
    <xf numFmtId="0" fontId="0" fillId="0" borderId="69" xfId="0" quotePrefix="1" applyBorder="1"/>
    <xf numFmtId="0" fontId="0" fillId="0" borderId="70" xfId="0" quotePrefix="1" applyBorder="1"/>
    <xf numFmtId="0" fontId="0" fillId="0" borderId="77" xfId="0" applyBorder="1"/>
    <xf numFmtId="0" fontId="0" fillId="0" borderId="78" xfId="0" applyBorder="1"/>
    <xf numFmtId="0" fontId="0" fillId="0" borderId="65" xfId="0" applyBorder="1"/>
    <xf numFmtId="0" fontId="0" fillId="0" borderId="66" xfId="0" applyBorder="1"/>
    <xf numFmtId="0" fontId="0" fillId="0" borderId="67" xfId="0" applyBorder="1"/>
    <xf numFmtId="0" fontId="0" fillId="0" borderId="79" xfId="0" applyBorder="1"/>
    <xf numFmtId="0" fontId="0" fillId="0" borderId="80" xfId="0" applyBorder="1"/>
    <xf numFmtId="167" fontId="0" fillId="0" borderId="0" xfId="0" applyNumberFormat="1"/>
    <xf numFmtId="0" fontId="48" fillId="0" borderId="0" xfId="0" applyFont="1"/>
    <xf numFmtId="0" fontId="20" fillId="14" borderId="0" xfId="0" applyFont="1" applyFill="1" applyProtection="1">
      <protection locked="0"/>
    </xf>
    <xf numFmtId="0" fontId="49" fillId="0" borderId="0" xfId="0" applyFont="1"/>
    <xf numFmtId="0" fontId="49" fillId="14" borderId="0" xfId="0" applyFont="1" applyFill="1" applyProtection="1">
      <protection locked="0"/>
    </xf>
    <xf numFmtId="0" fontId="50" fillId="0" borderId="0" xfId="0" applyFont="1"/>
    <xf numFmtId="0" fontId="66" fillId="0" borderId="0" xfId="0" applyFont="1"/>
    <xf numFmtId="0" fontId="0" fillId="20" borderId="1" xfId="0" applyFill="1" applyBorder="1" applyAlignment="1">
      <alignment horizontal="center" vertical="center"/>
    </xf>
    <xf numFmtId="0" fontId="0" fillId="23" borderId="1" xfId="0" applyFill="1" applyBorder="1" applyAlignment="1">
      <alignment horizontal="center" vertical="center"/>
    </xf>
    <xf numFmtId="0" fontId="0" fillId="0" borderId="1" xfId="0" applyFill="1" applyBorder="1" applyAlignment="1">
      <alignment horizontal="center" vertical="center"/>
    </xf>
    <xf numFmtId="0" fontId="0" fillId="21" borderId="43" xfId="0" applyFill="1" applyBorder="1" applyAlignment="1">
      <alignment horizontal="center" vertical="center"/>
    </xf>
    <xf numFmtId="0" fontId="0" fillId="23" borderId="29" xfId="0" applyFill="1" applyBorder="1" applyAlignment="1">
      <alignment horizontal="center" vertical="center"/>
    </xf>
    <xf numFmtId="0" fontId="0" fillId="28" borderId="0" xfId="0" applyFill="1"/>
    <xf numFmtId="0" fontId="51" fillId="0" borderId="0" xfId="3"/>
    <xf numFmtId="0" fontId="51" fillId="29" borderId="0" xfId="3" applyFill="1"/>
    <xf numFmtId="0" fontId="51" fillId="0" borderId="114" xfId="3" applyBorder="1"/>
    <xf numFmtId="0" fontId="51" fillId="29" borderId="114" xfId="3" applyFill="1" applyBorder="1"/>
    <xf numFmtId="0" fontId="51" fillId="29" borderId="115" xfId="3" applyFill="1" applyBorder="1"/>
    <xf numFmtId="0" fontId="51" fillId="29" borderId="116" xfId="3" applyFill="1" applyBorder="1"/>
    <xf numFmtId="0" fontId="51" fillId="29" borderId="117" xfId="3" applyFill="1" applyBorder="1"/>
    <xf numFmtId="0" fontId="51" fillId="0" borderId="117" xfId="3" applyBorder="1"/>
    <xf numFmtId="0" fontId="51" fillId="0" borderId="116" xfId="3" applyBorder="1"/>
    <xf numFmtId="0" fontId="67" fillId="30" borderId="114" xfId="3" applyFont="1" applyFill="1" applyBorder="1"/>
    <xf numFmtId="0" fontId="51" fillId="15" borderId="0" xfId="3" applyFill="1"/>
    <xf numFmtId="0" fontId="0" fillId="20" borderId="43" xfId="0" applyFill="1" applyBorder="1" applyAlignment="1">
      <alignment horizontal="center" vertical="center"/>
    </xf>
    <xf numFmtId="0" fontId="2" fillId="0" borderId="17" xfId="2" applyFill="1" applyBorder="1" applyAlignment="1">
      <alignment horizontal="center" vertical="center"/>
    </xf>
    <xf numFmtId="0" fontId="1" fillId="0" borderId="34" xfId="2" applyFont="1" applyFill="1" applyBorder="1" applyAlignment="1">
      <alignment horizontal="center" vertical="center"/>
    </xf>
    <xf numFmtId="0" fontId="1" fillId="0" borderId="14" xfId="2" applyFont="1" applyFill="1" applyBorder="1" applyAlignment="1">
      <alignment horizontal="center" vertical="center"/>
    </xf>
    <xf numFmtId="0" fontId="2" fillId="0" borderId="11" xfId="2" applyFill="1" applyBorder="1" applyAlignment="1">
      <alignment horizontal="center" vertical="center"/>
    </xf>
    <xf numFmtId="0" fontId="20" fillId="0" borderId="58" xfId="2" applyFont="1" applyFill="1" applyBorder="1" applyAlignment="1">
      <alignment horizontal="center"/>
    </xf>
    <xf numFmtId="0" fontId="20" fillId="0" borderId="57" xfId="2" applyFont="1" applyFill="1" applyBorder="1" applyAlignment="1">
      <alignment horizontal="center"/>
    </xf>
    <xf numFmtId="0" fontId="20" fillId="0" borderId="56" xfId="2" applyFont="1" applyFill="1" applyBorder="1" applyAlignment="1">
      <alignment horizontal="center"/>
    </xf>
    <xf numFmtId="0" fontId="1" fillId="0" borderId="3" xfId="2" applyFont="1" applyFill="1" applyBorder="1" applyAlignment="1">
      <alignment horizontal="center" vertical="center" wrapText="1"/>
    </xf>
    <xf numFmtId="0" fontId="1" fillId="0" borderId="4" xfId="2" applyFont="1" applyFill="1" applyBorder="1" applyAlignment="1">
      <alignment horizontal="center" vertical="center" wrapText="1"/>
    </xf>
    <xf numFmtId="0" fontId="1" fillId="0" borderId="81" xfId="2" applyFont="1" applyFill="1" applyBorder="1" applyAlignment="1">
      <alignment horizontal="center" vertical="center" wrapText="1"/>
    </xf>
    <xf numFmtId="0" fontId="1" fillId="0" borderId="82" xfId="2" applyFont="1" applyFill="1" applyBorder="1" applyAlignment="1">
      <alignment horizontal="center" vertical="center" wrapText="1"/>
    </xf>
    <xf numFmtId="0" fontId="1" fillId="0" borderId="4" xfId="2" applyFont="1" applyFill="1" applyBorder="1" applyAlignment="1">
      <alignment horizontal="center" vertical="center"/>
    </xf>
    <xf numFmtId="0" fontId="1" fillId="0" borderId="26" xfId="2" applyFont="1" applyFill="1" applyBorder="1" applyAlignment="1">
      <alignment horizontal="center" vertical="center" wrapText="1"/>
    </xf>
    <xf numFmtId="0" fontId="1" fillId="0" borderId="40" xfId="2" applyFont="1" applyFill="1" applyBorder="1" applyAlignment="1">
      <alignment horizontal="center" vertical="center" wrapText="1"/>
    </xf>
    <xf numFmtId="0" fontId="1" fillId="0" borderId="19" xfId="2" applyFont="1" applyFill="1" applyBorder="1" applyAlignment="1">
      <alignment horizontal="center" vertical="center"/>
    </xf>
    <xf numFmtId="0" fontId="2" fillId="0" borderId="20" xfId="2" applyFill="1" applyBorder="1" applyAlignment="1">
      <alignment horizontal="center" vertical="center"/>
    </xf>
    <xf numFmtId="0" fontId="1" fillId="0" borderId="34" xfId="2" applyFont="1" applyBorder="1" applyAlignment="1">
      <alignment horizontal="center" vertical="center"/>
    </xf>
    <xf numFmtId="0" fontId="20" fillId="0" borderId="58" xfId="2" applyFont="1" applyBorder="1" applyAlignment="1">
      <alignment horizontal="center" vertical="center" wrapText="1"/>
    </xf>
    <xf numFmtId="0" fontId="20" fillId="0" borderId="57" xfId="2" applyFont="1" applyBorder="1" applyAlignment="1">
      <alignment horizontal="center" vertical="center" wrapText="1"/>
    </xf>
    <xf numFmtId="0" fontId="20" fillId="0" borderId="56" xfId="2" applyFont="1" applyBorder="1" applyAlignment="1">
      <alignment horizontal="center" vertical="center" wrapText="1"/>
    </xf>
    <xf numFmtId="0" fontId="2" fillId="4" borderId="17" xfId="2" applyFill="1" applyBorder="1" applyAlignment="1">
      <alignment horizontal="center" vertical="center"/>
    </xf>
    <xf numFmtId="0" fontId="1" fillId="7" borderId="81" xfId="2" applyFont="1" applyFill="1" applyBorder="1" applyAlignment="1">
      <alignment horizontal="center" vertical="center" wrapText="1"/>
    </xf>
    <xf numFmtId="0" fontId="1" fillId="7" borderId="8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1" fillId="5" borderId="40" xfId="2" applyFont="1" applyFill="1" applyBorder="1" applyAlignment="1">
      <alignment horizontal="center" vertical="center" wrapText="1"/>
    </xf>
    <xf numFmtId="0" fontId="2" fillId="0" borderId="17" xfId="2" applyBorder="1" applyAlignment="1">
      <alignment horizontal="center" vertical="center"/>
    </xf>
    <xf numFmtId="0" fontId="2" fillId="4" borderId="20" xfId="2" applyFill="1" applyBorder="1" applyAlignment="1">
      <alignment horizontal="center" vertical="center"/>
    </xf>
    <xf numFmtId="0" fontId="1" fillId="0" borderId="3" xfId="2" applyFont="1" applyBorder="1" applyAlignment="1">
      <alignment horizontal="center" vertical="center" wrapText="1"/>
    </xf>
    <xf numFmtId="0" fontId="1" fillId="0" borderId="4" xfId="2" applyFont="1" applyBorder="1" applyAlignment="1">
      <alignment horizontal="center" vertical="center" wrapText="1"/>
    </xf>
    <xf numFmtId="0" fontId="1" fillId="6" borderId="4" xfId="2" applyFont="1" applyFill="1" applyBorder="1" applyAlignment="1">
      <alignment horizontal="center" vertical="center"/>
    </xf>
    <xf numFmtId="0" fontId="20" fillId="0" borderId="58" xfId="2" applyFont="1" applyBorder="1" applyAlignment="1">
      <alignment horizontal="center"/>
    </xf>
    <xf numFmtId="0" fontId="20" fillId="0" borderId="57" xfId="2" applyFont="1" applyBorder="1" applyAlignment="1">
      <alignment horizontal="center"/>
    </xf>
    <xf numFmtId="0" fontId="20" fillId="0" borderId="56" xfId="2" applyFont="1" applyBorder="1" applyAlignment="1">
      <alignment horizontal="center"/>
    </xf>
    <xf numFmtId="0" fontId="1" fillId="0" borderId="19" xfId="2" applyFont="1" applyBorder="1" applyAlignment="1">
      <alignment horizontal="center" vertical="center"/>
    </xf>
    <xf numFmtId="0" fontId="1" fillId="0" borderId="14" xfId="2" applyFont="1" applyBorder="1" applyAlignment="1">
      <alignment horizontal="center" vertical="center"/>
    </xf>
    <xf numFmtId="0" fontId="2" fillId="0" borderId="11" xfId="2" applyBorder="1" applyAlignment="1">
      <alignment horizontal="center" vertical="center"/>
    </xf>
    <xf numFmtId="0" fontId="68" fillId="0" borderId="0" xfId="2" applyFont="1" applyAlignment="1">
      <alignment horizontal="left" vertical="center" wrapText="1"/>
    </xf>
    <xf numFmtId="0" fontId="2" fillId="9" borderId="2" xfId="2" applyFill="1" applyBorder="1" applyAlignment="1">
      <alignment horizontal="left" vertical="center"/>
    </xf>
    <xf numFmtId="0" fontId="2" fillId="9" borderId="6" xfId="2" applyFill="1" applyBorder="1" applyAlignment="1">
      <alignment horizontal="left"/>
    </xf>
    <xf numFmtId="0" fontId="2" fillId="9" borderId="7" xfId="2" applyFill="1" applyBorder="1" applyAlignment="1">
      <alignment horizontal="left"/>
    </xf>
    <xf numFmtId="0" fontId="2" fillId="9" borderId="8" xfId="2" applyFill="1" applyBorder="1" applyAlignment="1">
      <alignment horizontal="left"/>
    </xf>
    <xf numFmtId="0" fontId="1" fillId="8" borderId="17" xfId="2" applyFont="1" applyFill="1" applyBorder="1" applyAlignment="1">
      <alignment horizontal="center" vertical="center"/>
    </xf>
    <xf numFmtId="0" fontId="1" fillId="8" borderId="16" xfId="2" applyFont="1" applyFill="1" applyBorder="1" applyAlignment="1">
      <alignment horizontal="center" vertical="center"/>
    </xf>
    <xf numFmtId="0" fontId="2" fillId="9" borderId="2" xfId="2" applyFill="1" applyBorder="1" applyAlignment="1">
      <alignment horizontal="left"/>
    </xf>
    <xf numFmtId="0" fontId="2" fillId="9" borderId="4" xfId="2" applyFill="1" applyBorder="1" applyAlignment="1">
      <alignment horizontal="left"/>
    </xf>
    <xf numFmtId="0" fontId="2" fillId="9" borderId="5" xfId="2" applyFill="1" applyBorder="1" applyAlignment="1">
      <alignment horizontal="left"/>
    </xf>
    <xf numFmtId="0" fontId="2" fillId="9" borderId="4" xfId="2" applyFill="1" applyBorder="1" applyAlignment="1">
      <alignment horizontal="left" vertical="center"/>
    </xf>
    <xf numFmtId="0" fontId="2" fillId="9" borderId="5" xfId="2" applyFill="1" applyBorder="1" applyAlignment="1">
      <alignment horizontal="left" vertical="center"/>
    </xf>
    <xf numFmtId="0" fontId="2" fillId="9" borderId="6" xfId="2" applyFill="1" applyBorder="1" applyAlignment="1">
      <alignment horizontal="center"/>
    </xf>
    <xf numFmtId="0" fontId="2" fillId="9" borderId="7" xfId="2" applyFill="1" applyBorder="1" applyAlignment="1">
      <alignment horizontal="center"/>
    </xf>
    <xf numFmtId="0" fontId="2" fillId="9" borderId="8" xfId="2" applyFill="1" applyBorder="1" applyAlignment="1">
      <alignment horizontal="center"/>
    </xf>
    <xf numFmtId="0" fontId="1" fillId="8" borderId="16" xfId="2" applyFont="1" applyFill="1" applyBorder="1" applyAlignment="1">
      <alignment horizontal="center"/>
    </xf>
    <xf numFmtId="0" fontId="1" fillId="8" borderId="32" xfId="2" applyFont="1" applyFill="1" applyBorder="1" applyAlignment="1">
      <alignment horizontal="center"/>
    </xf>
    <xf numFmtId="0" fontId="2" fillId="8" borderId="28" xfId="2" applyFill="1" applyBorder="1" applyAlignment="1">
      <alignment horizontal="center" vertical="center"/>
    </xf>
    <xf numFmtId="0" fontId="2" fillId="8" borderId="20" xfId="2" applyFill="1" applyBorder="1" applyAlignment="1">
      <alignment horizontal="center" vertical="center"/>
    </xf>
    <xf numFmtId="0" fontId="1" fillId="9" borderId="38" xfId="2" applyFont="1" applyFill="1" applyBorder="1" applyAlignment="1">
      <alignment horizontal="center" vertical="center"/>
    </xf>
    <xf numFmtId="0" fontId="1" fillId="9" borderId="32" xfId="2" applyFont="1" applyFill="1" applyBorder="1" applyAlignment="1">
      <alignment horizontal="center" vertical="center"/>
    </xf>
    <xf numFmtId="0" fontId="1" fillId="15" borderId="17" xfId="0" applyFont="1" applyFill="1" applyBorder="1" applyAlignment="1">
      <alignment horizontal="center"/>
    </xf>
    <xf numFmtId="0" fontId="1" fillId="15" borderId="16" xfId="0" applyFont="1" applyFill="1" applyBorder="1" applyAlignment="1">
      <alignment horizontal="center"/>
    </xf>
    <xf numFmtId="0" fontId="0" fillId="21" borderId="47" xfId="0" applyFill="1" applyBorder="1" applyAlignment="1">
      <alignment horizontal="center" vertical="center"/>
    </xf>
    <xf numFmtId="0" fontId="0" fillId="21" borderId="11" xfId="0" applyFill="1" applyBorder="1" applyAlignment="1">
      <alignment horizontal="center" vertical="center"/>
    </xf>
    <xf numFmtId="171" fontId="57" fillId="22" borderId="83" xfId="0" applyNumberFormat="1" applyFont="1" applyFill="1" applyBorder="1" applyAlignment="1">
      <alignment horizontal="center" vertical="center"/>
    </xf>
    <xf numFmtId="171" fontId="57" fillId="22" borderId="44" xfId="0" applyNumberFormat="1" applyFont="1" applyFill="1" applyBorder="1" applyAlignment="1">
      <alignment horizontal="center" vertical="center"/>
    </xf>
    <xf numFmtId="0" fontId="0" fillId="20" borderId="28" xfId="0" applyFill="1" applyBorder="1" applyAlignment="1">
      <alignment horizontal="center" vertical="center" wrapText="1"/>
    </xf>
    <xf numFmtId="0" fontId="0" fillId="20" borderId="44" xfId="0" applyFill="1" applyBorder="1" applyAlignment="1">
      <alignment horizontal="center" vertical="center" wrapText="1"/>
    </xf>
    <xf numFmtId="0" fontId="57" fillId="20" borderId="16" xfId="0" applyFont="1" applyFill="1" applyBorder="1" applyAlignment="1">
      <alignment horizontal="center" vertical="center" wrapText="1"/>
    </xf>
    <xf numFmtId="0" fontId="57" fillId="20" borderId="38" xfId="0" applyFont="1" applyFill="1" applyBorder="1" applyAlignment="1">
      <alignment horizontal="center" vertical="center" wrapText="1"/>
    </xf>
    <xf numFmtId="0" fontId="57" fillId="20" borderId="32" xfId="0" applyFont="1" applyFill="1" applyBorder="1" applyAlignment="1">
      <alignment horizontal="center" vertical="center" wrapText="1"/>
    </xf>
    <xf numFmtId="0" fontId="0" fillId="20" borderId="28" xfId="0" applyFill="1" applyBorder="1" applyAlignment="1">
      <alignment horizontal="center" vertical="center"/>
    </xf>
    <xf numFmtId="0" fontId="0" fillId="20" borderId="44" xfId="0" applyFill="1" applyBorder="1" applyAlignment="1">
      <alignment horizontal="center" vertical="center"/>
    </xf>
    <xf numFmtId="2" fontId="0" fillId="31" borderId="6" xfId="0" applyNumberFormat="1" applyFill="1" applyBorder="1" applyAlignment="1">
      <alignment horizontal="left" vertical="center" wrapText="1"/>
    </xf>
    <xf numFmtId="2" fontId="0" fillId="31" borderId="7" xfId="0" applyNumberFormat="1" applyFill="1" applyBorder="1" applyAlignment="1">
      <alignment horizontal="left" vertical="center" wrapText="1"/>
    </xf>
    <xf numFmtId="2" fontId="0" fillId="31" borderId="88" xfId="0" applyNumberFormat="1" applyFill="1" applyBorder="1" applyAlignment="1">
      <alignment horizontal="left" vertical="center" wrapText="1"/>
    </xf>
    <xf numFmtId="0" fontId="0" fillId="20" borderId="47" xfId="0" applyFill="1" applyBorder="1" applyAlignment="1">
      <alignment horizontal="center" vertical="center"/>
    </xf>
    <xf numFmtId="0" fontId="0" fillId="20" borderId="87" xfId="0" applyFill="1" applyBorder="1" applyAlignment="1">
      <alignment horizontal="center" vertical="center" wrapText="1"/>
    </xf>
    <xf numFmtId="0" fontId="0" fillId="20" borderId="55" xfId="0" applyFill="1" applyBorder="1" applyAlignment="1">
      <alignment horizontal="center" vertical="center" wrapText="1"/>
    </xf>
    <xf numFmtId="0" fontId="0" fillId="20" borderId="51" xfId="0" applyFill="1" applyBorder="1" applyAlignment="1">
      <alignment horizontal="center" vertical="center" wrapText="1"/>
    </xf>
    <xf numFmtId="0" fontId="0" fillId="20" borderId="1" xfId="0" applyFill="1" applyBorder="1" applyAlignment="1">
      <alignment horizontal="center" vertical="center" wrapText="1"/>
    </xf>
    <xf numFmtId="0" fontId="0" fillId="20" borderId="0" xfId="0" applyFill="1" applyAlignment="1">
      <alignment horizontal="center" vertical="center" wrapText="1"/>
    </xf>
    <xf numFmtId="0" fontId="0" fillId="20" borderId="50" xfId="0" applyFill="1" applyBorder="1" applyAlignment="1">
      <alignment horizontal="center" vertical="center" wrapText="1"/>
    </xf>
    <xf numFmtId="0" fontId="0" fillId="20" borderId="25" xfId="0" applyFill="1" applyBorder="1" applyAlignment="1">
      <alignment horizontal="center" vertical="center"/>
    </xf>
    <xf numFmtId="0" fontId="0" fillId="20" borderId="39" xfId="0" applyFill="1" applyBorder="1" applyAlignment="1">
      <alignment horizontal="center" vertical="center"/>
    </xf>
    <xf numFmtId="2" fontId="0" fillId="31" borderId="87" xfId="0" applyNumberFormat="1" applyFill="1" applyBorder="1" applyAlignment="1">
      <alignment horizontal="left" vertical="center" wrapText="1"/>
    </xf>
    <xf numFmtId="2" fontId="0" fillId="31" borderId="55" xfId="0" applyNumberFormat="1" applyFill="1" applyBorder="1" applyAlignment="1">
      <alignment horizontal="left" vertical="center" wrapText="1"/>
    </xf>
    <xf numFmtId="2" fontId="0" fillId="31" borderId="51" xfId="0" applyNumberFormat="1" applyFill="1" applyBorder="1" applyAlignment="1">
      <alignment horizontal="left" vertical="center" wrapText="1"/>
    </xf>
    <xf numFmtId="0" fontId="0" fillId="20" borderId="31" xfId="0" applyFill="1" applyBorder="1" applyAlignment="1">
      <alignment horizontal="center" vertical="center"/>
    </xf>
    <xf numFmtId="0" fontId="0" fillId="20" borderId="43" xfId="0" applyFill="1" applyBorder="1" applyAlignment="1">
      <alignment horizontal="center" vertical="center"/>
    </xf>
    <xf numFmtId="0" fontId="0" fillId="20" borderId="83" xfId="0" applyFill="1" applyBorder="1" applyAlignment="1">
      <alignment horizontal="center" vertical="center"/>
    </xf>
    <xf numFmtId="0" fontId="0" fillId="20" borderId="29" xfId="0" applyFill="1" applyBorder="1" applyAlignment="1">
      <alignment horizontal="center" vertical="center"/>
    </xf>
    <xf numFmtId="0" fontId="0" fillId="20" borderId="83" xfId="0" applyFill="1" applyBorder="1" applyAlignment="1">
      <alignment horizontal="center" vertical="center" wrapText="1"/>
    </xf>
    <xf numFmtId="0" fontId="0" fillId="20" borderId="29" xfId="0" applyFill="1" applyBorder="1" applyAlignment="1">
      <alignment horizontal="center" vertical="center" wrapText="1"/>
    </xf>
    <xf numFmtId="0" fontId="0" fillId="20" borderId="84" xfId="0" applyFill="1" applyBorder="1" applyAlignment="1">
      <alignment horizontal="center" vertical="center" wrapText="1"/>
    </xf>
    <xf numFmtId="0" fontId="0" fillId="20" borderId="85" xfId="0" applyFill="1" applyBorder="1" applyAlignment="1">
      <alignment horizontal="center" vertical="center" wrapText="1"/>
    </xf>
    <xf numFmtId="0" fontId="0" fillId="20" borderId="86" xfId="0" applyFill="1" applyBorder="1" applyAlignment="1">
      <alignment horizontal="center" vertical="center" wrapText="1"/>
    </xf>
    <xf numFmtId="0" fontId="2" fillId="0" borderId="0" xfId="0" applyFont="1"/>
    <xf numFmtId="0" fontId="0" fillId="0" borderId="0" xfId="0"/>
    <xf numFmtId="0" fontId="2" fillId="8" borderId="3" xfId="2" applyFill="1" applyBorder="1" applyAlignment="1">
      <alignment horizontal="center" vertical="center"/>
    </xf>
    <xf numFmtId="0" fontId="2" fillId="8" borderId="4" xfId="2" applyFill="1" applyBorder="1" applyAlignment="1">
      <alignment horizontal="center" vertical="center"/>
    </xf>
    <xf numFmtId="0" fontId="2" fillId="8" borderId="5" xfId="2" applyFill="1" applyBorder="1" applyAlignment="1">
      <alignment horizontal="center" vertical="center"/>
    </xf>
    <xf numFmtId="0" fontId="2" fillId="8" borderId="1" xfId="2" applyFill="1" applyBorder="1" applyAlignment="1">
      <alignment horizontal="center" vertical="center"/>
    </xf>
    <xf numFmtId="0" fontId="2" fillId="8" borderId="0" xfId="2" applyFill="1" applyBorder="1" applyAlignment="1">
      <alignment horizontal="center" vertical="center"/>
    </xf>
    <xf numFmtId="0" fontId="2" fillId="8" borderId="2" xfId="2" applyFill="1" applyBorder="1" applyAlignment="1">
      <alignment horizontal="center" vertical="center"/>
    </xf>
    <xf numFmtId="0" fontId="2" fillId="0" borderId="17" xfId="2" applyBorder="1" applyAlignment="1" applyProtection="1">
      <alignment vertical="center" textRotation="90"/>
    </xf>
    <xf numFmtId="0" fontId="2" fillId="0" borderId="1" xfId="2" applyBorder="1" applyAlignment="1" applyProtection="1">
      <alignment horizontal="left" vertical="center"/>
      <protection locked="0"/>
    </xf>
    <xf numFmtId="0" fontId="2" fillId="0" borderId="0" xfId="2" applyBorder="1" applyAlignment="1" applyProtection="1">
      <alignment horizontal="left" vertical="center"/>
      <protection locked="0"/>
    </xf>
    <xf numFmtId="0" fontId="2" fillId="0" borderId="94" xfId="2" applyBorder="1" applyAlignment="1" applyProtection="1">
      <alignment horizontal="left" vertical="center"/>
      <protection locked="0"/>
    </xf>
    <xf numFmtId="0" fontId="2" fillId="0" borderId="3" xfId="2" applyBorder="1" applyAlignment="1" applyProtection="1">
      <alignment horizontal="left" vertical="center"/>
      <protection locked="0"/>
    </xf>
    <xf numFmtId="0" fontId="2" fillId="0" borderId="4" xfId="2" applyBorder="1" applyAlignment="1" applyProtection="1">
      <alignment horizontal="left" vertical="center"/>
      <protection locked="0"/>
    </xf>
    <xf numFmtId="0" fontId="2" fillId="0" borderId="5" xfId="2" applyBorder="1" applyAlignment="1" applyProtection="1">
      <alignment horizontal="left" vertical="center"/>
      <protection locked="0"/>
    </xf>
    <xf numFmtId="0" fontId="2" fillId="0" borderId="7" xfId="2" applyBorder="1" applyAlignment="1" applyProtection="1">
      <alignment vertical="center"/>
      <protection locked="0"/>
    </xf>
    <xf numFmtId="0" fontId="2" fillId="0" borderId="8" xfId="2" applyBorder="1" applyAlignment="1" applyProtection="1">
      <alignment vertical="center"/>
      <protection locked="0"/>
    </xf>
    <xf numFmtId="0" fontId="2" fillId="0" borderId="6" xfId="2" applyBorder="1" applyAlignment="1" applyProtection="1">
      <alignment vertical="center"/>
    </xf>
    <xf numFmtId="0" fontId="2" fillId="0" borderId="7" xfId="2" applyBorder="1" applyAlignment="1" applyProtection="1">
      <alignment vertical="center"/>
    </xf>
    <xf numFmtId="0" fontId="2" fillId="0" borderId="17" xfId="2" applyBorder="1" applyAlignment="1" applyProtection="1">
      <alignment horizontal="center" vertical="center"/>
      <protection locked="0"/>
    </xf>
    <xf numFmtId="0" fontId="2" fillId="0" borderId="89" xfId="2" applyBorder="1" applyAlignment="1" applyProtection="1">
      <alignment horizontal="center" vertical="center"/>
    </xf>
    <xf numFmtId="0" fontId="2" fillId="0" borderId="17" xfId="2" applyBorder="1" applyAlignment="1" applyProtection="1">
      <alignment horizontal="center" vertical="center"/>
    </xf>
    <xf numFmtId="0" fontId="2" fillId="0" borderId="89" xfId="2" applyBorder="1" applyAlignment="1" applyProtection="1">
      <alignment horizontal="center" vertical="center"/>
      <protection locked="0"/>
    </xf>
    <xf numFmtId="0" fontId="19" fillId="0" borderId="95" xfId="2" applyFont="1" applyBorder="1" applyAlignment="1">
      <alignment horizontal="center" vertical="center"/>
    </xf>
    <xf numFmtId="0" fontId="19" fillId="0" borderId="96" xfId="2" applyFont="1" applyBorder="1" applyAlignment="1">
      <alignment horizontal="center" vertical="center"/>
    </xf>
    <xf numFmtId="0" fontId="19" fillId="0" borderId="97" xfId="2" applyFont="1" applyBorder="1" applyAlignment="1">
      <alignment horizontal="center" vertical="center"/>
    </xf>
    <xf numFmtId="0" fontId="19" fillId="0" borderId="58" xfId="2" applyFont="1" applyBorder="1" applyAlignment="1">
      <alignment horizontal="center" vertical="center"/>
    </xf>
    <xf numFmtId="0" fontId="19" fillId="0" borderId="57" xfId="2" applyFont="1" applyBorder="1" applyAlignment="1">
      <alignment horizontal="center" vertical="center"/>
    </xf>
    <xf numFmtId="0" fontId="19" fillId="0" borderId="56" xfId="2" applyFont="1" applyBorder="1" applyAlignment="1">
      <alignment horizontal="center" vertical="center"/>
    </xf>
    <xf numFmtId="0" fontId="2" fillId="0" borderId="0" xfId="2" applyBorder="1" applyAlignment="1" applyProtection="1">
      <alignment vertical="center"/>
    </xf>
    <xf numFmtId="0" fontId="2" fillId="0" borderId="0" xfId="2" applyBorder="1" applyAlignment="1" applyProtection="1">
      <alignment vertical="center"/>
      <protection locked="0"/>
    </xf>
    <xf numFmtId="0" fontId="2" fillId="0" borderId="0" xfId="2" applyAlignment="1" applyProtection="1">
      <alignment vertical="center"/>
      <protection locked="0"/>
    </xf>
    <xf numFmtId="0" fontId="2" fillId="0" borderId="2" xfId="2" applyBorder="1" applyAlignment="1" applyProtection="1">
      <alignment vertical="center"/>
      <protection locked="0"/>
    </xf>
    <xf numFmtId="0" fontId="2" fillId="0" borderId="0" xfId="2" applyAlignment="1" applyProtection="1">
      <alignment horizontal="left" vertical="center"/>
      <protection locked="0"/>
    </xf>
    <xf numFmtId="0" fontId="2" fillId="0" borderId="2" xfId="2" applyBorder="1" applyAlignment="1" applyProtection="1">
      <alignment horizontal="left" vertical="center"/>
      <protection locked="0"/>
    </xf>
    <xf numFmtId="0" fontId="2" fillId="8" borderId="0" xfId="2" applyFill="1" applyAlignment="1" applyProtection="1">
      <alignment horizontal="center" vertical="center"/>
      <protection locked="0"/>
    </xf>
    <xf numFmtId="0" fontId="2" fillId="8" borderId="2" xfId="2" applyFill="1" applyBorder="1" applyAlignment="1" applyProtection="1">
      <alignment horizontal="center" vertical="center"/>
      <protection locked="0"/>
    </xf>
    <xf numFmtId="0" fontId="2" fillId="0" borderId="1" xfId="2" applyBorder="1" applyAlignment="1" applyProtection="1">
      <alignment vertical="center"/>
    </xf>
    <xf numFmtId="0" fontId="2" fillId="0" borderId="0" xfId="2" applyAlignment="1">
      <alignment vertical="center"/>
    </xf>
    <xf numFmtId="0" fontId="2" fillId="0" borderId="93" xfId="2" applyBorder="1" applyAlignment="1" applyProtection="1">
      <alignment horizontal="left" vertical="center"/>
      <protection locked="0"/>
    </xf>
    <xf numFmtId="0" fontId="2" fillId="0" borderId="7" xfId="2" applyBorder="1" applyAlignment="1" applyProtection="1">
      <alignment horizontal="left" vertical="center"/>
      <protection locked="0"/>
    </xf>
    <xf numFmtId="0" fontId="2" fillId="0" borderId="8" xfId="2" applyBorder="1" applyAlignment="1" applyProtection="1">
      <alignment horizontal="left" vertical="center"/>
      <protection locked="0"/>
    </xf>
    <xf numFmtId="0" fontId="2" fillId="0" borderId="92" xfId="2" applyBorder="1" applyAlignment="1" applyProtection="1">
      <alignment horizontal="left" vertical="center"/>
      <protection locked="0"/>
    </xf>
    <xf numFmtId="0" fontId="2" fillId="0" borderId="7" xfId="2" applyBorder="1" applyAlignment="1" applyProtection="1">
      <alignment horizontal="center" vertical="center"/>
    </xf>
    <xf numFmtId="0" fontId="2" fillId="0" borderId="7" xfId="2" applyBorder="1" applyAlignment="1" applyProtection="1">
      <alignment horizontal="right" vertical="center"/>
    </xf>
    <xf numFmtId="0" fontId="2" fillId="0" borderId="16" xfId="2" applyBorder="1" applyAlignment="1" applyProtection="1">
      <alignment vertical="center"/>
    </xf>
    <xf numFmtId="0" fontId="2" fillId="0" borderId="38" xfId="2" applyBorder="1" applyAlignment="1" applyProtection="1">
      <alignment vertical="center"/>
    </xf>
    <xf numFmtId="0" fontId="2" fillId="0" borderId="32" xfId="2" applyBorder="1" applyAlignment="1" applyProtection="1">
      <alignment vertical="center"/>
    </xf>
    <xf numFmtId="0" fontId="2" fillId="0" borderId="17" xfId="2" applyFont="1" applyBorder="1" applyAlignment="1" applyProtection="1">
      <alignment vertical="center" textRotation="90" wrapText="1"/>
    </xf>
    <xf numFmtId="0" fontId="2" fillId="0" borderId="7" xfId="2" applyBorder="1" applyAlignment="1">
      <alignment vertical="center"/>
    </xf>
    <xf numFmtId="0" fontId="2" fillId="0" borderId="1" xfId="2" applyFill="1" applyBorder="1" applyAlignment="1" applyProtection="1">
      <alignment vertical="center"/>
    </xf>
    <xf numFmtId="0" fontId="2" fillId="0" borderId="0" xfId="2" applyFill="1" applyBorder="1" applyAlignment="1" applyProtection="1">
      <alignment vertical="center"/>
    </xf>
    <xf numFmtId="0" fontId="2" fillId="0" borderId="0" xfId="2" applyFill="1" applyBorder="1" applyAlignment="1" applyProtection="1">
      <alignment horizontal="right" vertical="center"/>
    </xf>
    <xf numFmtId="0" fontId="2" fillId="0" borderId="0" xfId="2" applyFill="1" applyAlignment="1">
      <alignment horizontal="right" vertical="center"/>
    </xf>
    <xf numFmtId="0" fontId="2" fillId="0" borderId="0" xfId="2" applyBorder="1" applyAlignment="1" applyProtection="1">
      <alignment horizontal="right" vertical="center"/>
    </xf>
    <xf numFmtId="0" fontId="2" fillId="0" borderId="0" xfId="2" applyAlignment="1">
      <alignment horizontal="right" vertical="center"/>
    </xf>
    <xf numFmtId="0" fontId="2" fillId="0" borderId="17" xfId="2" applyBorder="1" applyAlignment="1" applyProtection="1">
      <alignment vertical="center" textRotation="90" wrapText="1"/>
    </xf>
    <xf numFmtId="0" fontId="2" fillId="0" borderId="6" xfId="2" applyFill="1" applyBorder="1" applyAlignment="1" applyProtection="1">
      <alignment vertical="center"/>
    </xf>
    <xf numFmtId="0" fontId="2" fillId="0" borderId="7" xfId="2" applyFill="1" applyBorder="1" applyAlignment="1" applyProtection="1">
      <alignment vertical="center"/>
    </xf>
    <xf numFmtId="0" fontId="2" fillId="8" borderId="7" xfId="2" applyFill="1" applyBorder="1" applyAlignment="1" applyProtection="1">
      <alignment horizontal="center" vertical="center"/>
      <protection locked="0"/>
    </xf>
    <xf numFmtId="0" fontId="2" fillId="8" borderId="92" xfId="2" applyFill="1" applyBorder="1" applyAlignment="1" applyProtection="1">
      <alignment horizontal="center" vertical="center"/>
      <protection locked="0"/>
    </xf>
    <xf numFmtId="0" fontId="2" fillId="15" borderId="0" xfId="2" applyFill="1" applyBorder="1" applyAlignment="1" applyProtection="1">
      <alignment horizontal="center" vertical="center"/>
      <protection locked="0"/>
    </xf>
    <xf numFmtId="0" fontId="2" fillId="15" borderId="94" xfId="2" applyFill="1" applyBorder="1" applyAlignment="1" applyProtection="1">
      <alignment horizontal="center" vertical="center"/>
      <protection locked="0"/>
    </xf>
    <xf numFmtId="0" fontId="2" fillId="8" borderId="0" xfId="2" applyFill="1" applyBorder="1" applyAlignment="1" applyProtection="1">
      <alignment horizontal="left" vertical="center"/>
      <protection locked="0"/>
    </xf>
    <xf numFmtId="0" fontId="2" fillId="0" borderId="0" xfId="2" applyAlignment="1" applyProtection="1">
      <alignment vertical="center"/>
    </xf>
    <xf numFmtId="0" fontId="2" fillId="0" borderId="0" xfId="2" applyFill="1" applyAlignment="1">
      <alignment vertical="center"/>
    </xf>
    <xf numFmtId="0" fontId="2" fillId="0" borderId="1" xfId="2" applyBorder="1" applyAlignment="1" applyProtection="1">
      <alignment vertical="center" wrapText="1"/>
    </xf>
    <xf numFmtId="0" fontId="2" fillId="0" borderId="0" xfId="2" applyBorder="1" applyAlignment="1" applyProtection="1">
      <alignment vertical="center" wrapText="1"/>
    </xf>
    <xf numFmtId="0" fontId="2" fillId="0" borderId="2" xfId="2" applyBorder="1" applyAlignment="1" applyProtection="1">
      <alignment vertical="center" wrapText="1"/>
    </xf>
    <xf numFmtId="0" fontId="2" fillId="0" borderId="7" xfId="2" applyFill="1" applyBorder="1" applyAlignment="1" applyProtection="1">
      <alignment horizontal="center" vertical="center"/>
      <protection locked="0"/>
    </xf>
    <xf numFmtId="0" fontId="2" fillId="0" borderId="8" xfId="2" applyFill="1" applyBorder="1" applyAlignment="1" applyProtection="1">
      <alignment horizontal="center" vertical="center"/>
      <protection locked="0"/>
    </xf>
    <xf numFmtId="0" fontId="2" fillId="8" borderId="0" xfId="2" applyFont="1" applyFill="1" applyBorder="1" applyAlignment="1" applyProtection="1">
      <alignment horizontal="center" vertical="center"/>
      <protection locked="0"/>
    </xf>
    <xf numFmtId="0" fontId="2" fillId="0" borderId="0" xfId="2" applyBorder="1" applyAlignment="1" applyProtection="1">
      <alignment horizontal="center" vertical="center"/>
    </xf>
    <xf numFmtId="0" fontId="2" fillId="0" borderId="7" xfId="2" applyFill="1" applyBorder="1" applyAlignment="1">
      <alignment vertical="center"/>
    </xf>
    <xf numFmtId="0" fontId="2" fillId="0" borderId="3" xfId="2" applyFill="1" applyBorder="1" applyAlignment="1">
      <alignment vertical="center"/>
    </xf>
    <xf numFmtId="0" fontId="2" fillId="0" borderId="4" xfId="2" applyFill="1" applyBorder="1" applyAlignment="1">
      <alignment vertical="center"/>
    </xf>
    <xf numFmtId="0" fontId="2" fillId="0" borderId="7" xfId="2" applyFill="1" applyBorder="1" applyAlignment="1" applyProtection="1">
      <alignment vertical="center"/>
      <protection locked="0"/>
    </xf>
    <xf numFmtId="0" fontId="2" fillId="0" borderId="8" xfId="2" applyFill="1" applyBorder="1" applyAlignment="1" applyProtection="1">
      <alignment vertical="center"/>
      <protection locked="0"/>
    </xf>
    <xf numFmtId="0" fontId="2" fillId="0" borderId="4" xfId="2" applyFill="1" applyBorder="1" applyAlignment="1" applyProtection="1">
      <alignment vertical="center"/>
      <protection locked="0"/>
    </xf>
    <xf numFmtId="0" fontId="2" fillId="0" borderId="5" xfId="2" applyFill="1" applyBorder="1" applyAlignment="1" applyProtection="1">
      <alignment vertical="center"/>
      <protection locked="0"/>
    </xf>
    <xf numFmtId="0" fontId="2" fillId="15" borderId="0" xfId="2" applyFill="1" applyBorder="1" applyAlignment="1" applyProtection="1">
      <alignment horizontal="center" vertical="center"/>
    </xf>
    <xf numFmtId="0" fontId="2" fillId="15" borderId="94" xfId="2" applyFill="1" applyBorder="1" applyAlignment="1" applyProtection="1">
      <alignment horizontal="center" vertical="center"/>
    </xf>
    <xf numFmtId="0" fontId="2" fillId="0" borderId="29" xfId="2" applyBorder="1" applyAlignment="1" applyProtection="1">
      <alignment horizontal="center" vertical="center" textRotation="90"/>
    </xf>
    <xf numFmtId="0" fontId="2" fillId="0" borderId="20" xfId="2" applyBorder="1" applyAlignment="1" applyProtection="1">
      <alignment horizontal="center" vertical="center" textRotation="90"/>
    </xf>
    <xf numFmtId="0" fontId="2" fillId="0" borderId="0" xfId="2" applyFill="1" applyAlignment="1" applyProtection="1">
      <alignment horizontal="center" vertical="center"/>
      <protection locked="0"/>
    </xf>
    <xf numFmtId="0" fontId="2" fillId="0" borderId="94" xfId="2" applyFill="1" applyBorder="1" applyAlignment="1" applyProtection="1">
      <alignment horizontal="center" vertical="center"/>
      <protection locked="0"/>
    </xf>
    <xf numFmtId="0" fontId="2" fillId="0" borderId="29" xfId="2" applyBorder="1" applyAlignment="1" applyProtection="1">
      <alignment vertical="center"/>
    </xf>
    <xf numFmtId="0" fontId="2" fillId="0" borderId="29" xfId="2" applyBorder="1" applyAlignment="1">
      <alignment vertical="center"/>
    </xf>
    <xf numFmtId="0" fontId="2" fillId="0" borderId="1" xfId="2" applyBorder="1" applyAlignment="1">
      <alignment vertical="center"/>
    </xf>
    <xf numFmtId="0" fontId="2" fillId="0" borderId="94" xfId="2" applyBorder="1" applyAlignment="1" applyProtection="1">
      <alignment vertical="center"/>
      <protection locked="0"/>
    </xf>
    <xf numFmtId="0" fontId="2" fillId="0" borderId="2" xfId="2" applyBorder="1" applyAlignment="1" applyProtection="1">
      <alignment vertical="center"/>
    </xf>
    <xf numFmtId="0" fontId="2" fillId="0" borderId="36" xfId="2" applyBorder="1" applyAlignment="1" applyProtection="1">
      <alignment vertical="center"/>
    </xf>
    <xf numFmtId="0" fontId="2" fillId="15" borderId="17" xfId="2" applyFill="1" applyBorder="1" applyAlignment="1" applyProtection="1">
      <alignment horizontal="center" vertical="center"/>
      <protection locked="0"/>
    </xf>
    <xf numFmtId="0" fontId="2" fillId="0" borderId="28" xfId="2" applyBorder="1" applyAlignment="1" applyProtection="1">
      <alignment horizontal="center" vertical="center" textRotation="90" wrapText="1"/>
    </xf>
    <xf numFmtId="0" fontId="2" fillId="0" borderId="29" xfId="2" applyBorder="1" applyAlignment="1" applyProtection="1">
      <alignment horizontal="center" vertical="center" textRotation="90" wrapText="1"/>
    </xf>
    <xf numFmtId="0" fontId="2" fillId="32" borderId="0" xfId="2" applyFill="1" applyBorder="1" applyAlignment="1" applyProtection="1">
      <alignment horizontal="center" vertical="center"/>
    </xf>
    <xf numFmtId="0" fontId="2" fillId="32" borderId="2" xfId="2" applyFill="1" applyBorder="1" applyAlignment="1" applyProtection="1">
      <alignment horizontal="center" vertical="center"/>
    </xf>
    <xf numFmtId="0" fontId="2" fillId="0" borderId="1" xfId="2" applyFont="1" applyFill="1" applyBorder="1" applyAlignment="1" applyProtection="1">
      <alignment vertical="center"/>
    </xf>
    <xf numFmtId="0" fontId="2" fillId="0" borderId="1" xfId="2" applyFont="1" applyBorder="1" applyAlignment="1" applyProtection="1">
      <alignment vertical="center"/>
    </xf>
    <xf numFmtId="0" fontId="2" fillId="0" borderId="4" xfId="2" applyBorder="1" applyAlignment="1" applyProtection="1">
      <alignment vertical="center"/>
      <protection locked="0"/>
    </xf>
    <xf numFmtId="0" fontId="2" fillId="0" borderId="93" xfId="2" applyBorder="1" applyAlignment="1" applyProtection="1">
      <alignment vertical="center"/>
      <protection locked="0"/>
    </xf>
    <xf numFmtId="0" fontId="2" fillId="32" borderId="0" xfId="2" applyFill="1" applyBorder="1" applyAlignment="1" applyProtection="1">
      <alignment horizontal="center" vertical="center"/>
      <protection locked="0"/>
    </xf>
    <xf numFmtId="0" fontId="2" fillId="32" borderId="2" xfId="2" applyFill="1" applyBorder="1" applyAlignment="1" applyProtection="1">
      <alignment horizontal="center" vertical="center"/>
      <protection locked="0"/>
    </xf>
    <xf numFmtId="0" fontId="2" fillId="0" borderId="0" xfId="2" applyFill="1" applyBorder="1" applyAlignment="1" applyProtection="1">
      <alignment horizontal="center" vertical="center"/>
    </xf>
    <xf numFmtId="0" fontId="2" fillId="0" borderId="0" xfId="2" applyFont="1" applyFill="1" applyBorder="1" applyAlignment="1" applyProtection="1">
      <alignment horizontal="center" vertical="center"/>
    </xf>
    <xf numFmtId="167" fontId="2" fillId="32" borderId="17" xfId="2" applyNumberFormat="1" applyFill="1" applyBorder="1" applyAlignment="1" applyProtection="1">
      <alignment horizontal="center" vertical="center"/>
      <protection locked="0"/>
    </xf>
    <xf numFmtId="0" fontId="2" fillId="0" borderId="17" xfId="2" applyFill="1" applyBorder="1" applyAlignment="1" applyProtection="1">
      <alignment horizontal="center" vertical="center"/>
      <protection locked="0"/>
    </xf>
    <xf numFmtId="0" fontId="2" fillId="32" borderId="17" xfId="2" applyFill="1" applyBorder="1" applyAlignment="1" applyProtection="1">
      <alignment horizontal="center" vertical="center"/>
      <protection locked="0"/>
    </xf>
    <xf numFmtId="0" fontId="2" fillId="0" borderId="6" xfId="2" applyBorder="1" applyAlignment="1" applyProtection="1">
      <alignment horizontal="center" vertical="center"/>
      <protection locked="0"/>
    </xf>
    <xf numFmtId="0" fontId="2" fillId="0" borderId="7" xfId="2" applyBorder="1" applyAlignment="1" applyProtection="1">
      <alignment horizontal="center" vertical="center"/>
      <protection locked="0"/>
    </xf>
    <xf numFmtId="0" fontId="2" fillId="0" borderId="92" xfId="2" applyBorder="1" applyAlignment="1" applyProtection="1">
      <alignment horizontal="center" vertical="center"/>
      <protection locked="0"/>
    </xf>
    <xf numFmtId="0" fontId="2" fillId="0" borderId="6" xfId="2" applyBorder="1" applyAlignment="1" applyProtection="1">
      <alignment vertical="center" wrapText="1"/>
    </xf>
    <xf numFmtId="0" fontId="2" fillId="0" borderId="7" xfId="2" applyBorder="1" applyAlignment="1" applyProtection="1">
      <alignment vertical="center" wrapText="1"/>
    </xf>
    <xf numFmtId="0" fontId="2" fillId="0" borderId="8" xfId="2" applyBorder="1" applyAlignment="1" applyProtection="1">
      <alignment vertical="center" wrapText="1"/>
    </xf>
    <xf numFmtId="0" fontId="2" fillId="0" borderId="3" xfId="2" applyBorder="1" applyAlignment="1" applyProtection="1">
      <alignment vertical="center" wrapText="1"/>
    </xf>
    <xf numFmtId="0" fontId="2" fillId="0" borderId="4" xfId="2" applyBorder="1" applyAlignment="1" applyProtection="1">
      <alignment vertical="center" wrapText="1"/>
    </xf>
    <xf numFmtId="0" fontId="2" fillId="0" borderId="5" xfId="2" applyBorder="1" applyAlignment="1" applyProtection="1">
      <alignment vertical="center" wrapText="1"/>
    </xf>
    <xf numFmtId="0" fontId="2" fillId="0" borderId="3" xfId="2" applyFont="1" applyBorder="1" applyAlignment="1" applyProtection="1">
      <alignment vertical="center"/>
    </xf>
    <xf numFmtId="0" fontId="2" fillId="0" borderId="4" xfId="2" applyBorder="1" applyAlignment="1">
      <alignment vertical="center"/>
    </xf>
    <xf numFmtId="0" fontId="2" fillId="0" borderId="17" xfId="2" applyFill="1" applyBorder="1" applyAlignment="1" applyProtection="1">
      <alignment horizontal="center" vertical="center"/>
    </xf>
    <xf numFmtId="0" fontId="2" fillId="15" borderId="17" xfId="2" applyFont="1" applyFill="1" applyBorder="1" applyAlignment="1" applyProtection="1">
      <alignment horizontal="center" vertical="center"/>
      <protection locked="0"/>
    </xf>
    <xf numFmtId="167" fontId="2" fillId="32" borderId="3" xfId="2" applyNumberFormat="1" applyFill="1" applyBorder="1" applyAlignment="1" applyProtection="1">
      <alignment horizontal="center" vertical="center"/>
      <protection locked="0"/>
    </xf>
    <xf numFmtId="167" fontId="2" fillId="32" borderId="4" xfId="2" applyNumberFormat="1" applyFill="1" applyBorder="1" applyAlignment="1" applyProtection="1">
      <alignment horizontal="center" vertical="center"/>
      <protection locked="0"/>
    </xf>
    <xf numFmtId="167" fontId="2" fillId="32" borderId="93" xfId="2" applyNumberFormat="1" applyFill="1" applyBorder="1" applyAlignment="1" applyProtection="1">
      <alignment horizontal="center" vertical="center"/>
      <protection locked="0"/>
    </xf>
    <xf numFmtId="0" fontId="2" fillId="0" borderId="17" xfId="2" applyFont="1" applyBorder="1" applyAlignment="1" applyProtection="1">
      <alignment vertical="center"/>
    </xf>
    <xf numFmtId="0" fontId="2" fillId="0" borderId="17" xfId="2" applyBorder="1" applyAlignment="1" applyProtection="1">
      <alignment vertical="center"/>
    </xf>
    <xf numFmtId="0" fontId="2" fillId="32" borderId="17" xfId="2" applyFill="1" applyBorder="1" applyAlignment="1" applyProtection="1">
      <alignment horizontal="center" vertical="center"/>
    </xf>
    <xf numFmtId="0" fontId="2" fillId="0" borderId="17" xfId="2" applyFont="1" applyBorder="1" applyAlignment="1" applyProtection="1">
      <alignment vertical="center"/>
      <protection locked="0"/>
    </xf>
    <xf numFmtId="0" fontId="2" fillId="0" borderId="16" xfId="2" applyBorder="1" applyAlignment="1" applyProtection="1">
      <alignment horizontal="center" vertical="center"/>
      <protection locked="0"/>
    </xf>
    <xf numFmtId="0" fontId="2" fillId="0" borderId="38" xfId="2" applyBorder="1" applyAlignment="1" applyProtection="1">
      <alignment horizontal="center" vertical="center"/>
      <protection locked="0"/>
    </xf>
    <xf numFmtId="0" fontId="2" fillId="0" borderId="32" xfId="2" applyBorder="1" applyAlignment="1" applyProtection="1">
      <alignment horizontal="center" vertical="center"/>
      <protection locked="0"/>
    </xf>
    <xf numFmtId="0" fontId="2" fillId="0" borderId="20" xfId="2" applyBorder="1" applyAlignment="1" applyProtection="1">
      <alignment horizontal="center" vertical="center" textRotation="90" wrapText="1"/>
    </xf>
    <xf numFmtId="167" fontId="2" fillId="32" borderId="17" xfId="2" applyNumberFormat="1" applyFill="1" applyBorder="1" applyAlignment="1" applyProtection="1">
      <alignment horizontal="center" vertical="center"/>
    </xf>
    <xf numFmtId="0" fontId="2" fillId="0" borderId="16" xfId="2" applyFill="1" applyBorder="1" applyAlignment="1" applyProtection="1">
      <alignment horizontal="center" vertical="center"/>
    </xf>
    <xf numFmtId="0" fontId="2" fillId="0" borderId="38" xfId="2" applyFill="1" applyBorder="1" applyAlignment="1" applyProtection="1">
      <alignment horizontal="center" vertical="center"/>
    </xf>
    <xf numFmtId="0" fontId="2" fillId="0" borderId="32" xfId="2" applyFill="1" applyBorder="1" applyAlignment="1" applyProtection="1">
      <alignment horizontal="center" vertical="center"/>
    </xf>
    <xf numFmtId="0" fontId="2" fillId="0" borderId="17" xfId="2" applyFill="1" applyBorder="1" applyAlignment="1" applyProtection="1">
      <alignment vertical="center"/>
    </xf>
    <xf numFmtId="0" fontId="2" fillId="0" borderId="16" xfId="2" applyFill="1" applyBorder="1" applyAlignment="1" applyProtection="1">
      <alignment horizontal="center" vertical="center"/>
      <protection locked="0"/>
    </xf>
    <xf numFmtId="0" fontId="2" fillId="0" borderId="38" xfId="2" applyFill="1" applyBorder="1" applyAlignment="1" applyProtection="1">
      <alignment horizontal="center" vertical="center"/>
      <protection locked="0"/>
    </xf>
    <xf numFmtId="0" fontId="2" fillId="0" borderId="32" xfId="2" applyFill="1" applyBorder="1" applyAlignment="1" applyProtection="1">
      <alignment horizontal="center" vertical="center"/>
      <protection locked="0"/>
    </xf>
    <xf numFmtId="0" fontId="2" fillId="15" borderId="16" xfId="2" applyFill="1" applyBorder="1" applyAlignment="1" applyProtection="1">
      <alignment horizontal="center" vertical="center"/>
      <protection locked="0"/>
    </xf>
    <xf numFmtId="0" fontId="2" fillId="15" borderId="38" xfId="2" applyFill="1" applyBorder="1" applyAlignment="1" applyProtection="1">
      <alignment horizontal="center" vertical="center"/>
      <protection locked="0"/>
    </xf>
    <xf numFmtId="166" fontId="17" fillId="0" borderId="38" xfId="2" applyNumberFormat="1" applyFont="1" applyFill="1" applyBorder="1" applyAlignment="1" applyProtection="1">
      <alignment horizontal="center" vertical="center"/>
      <protection locked="0"/>
    </xf>
    <xf numFmtId="166" fontId="17" fillId="0" borderId="32" xfId="2" applyNumberFormat="1" applyFont="1" applyFill="1" applyBorder="1" applyAlignment="1" applyProtection="1">
      <alignment horizontal="center" vertical="center"/>
      <protection locked="0"/>
    </xf>
    <xf numFmtId="166" fontId="17" fillId="8" borderId="90" xfId="2" applyNumberFormat="1" applyFont="1" applyFill="1" applyBorder="1" applyAlignment="1" applyProtection="1">
      <alignment horizontal="center" vertical="center"/>
      <protection locked="0"/>
    </xf>
    <xf numFmtId="166" fontId="17" fillId="8" borderId="32" xfId="2" applyNumberFormat="1" applyFont="1" applyFill="1" applyBorder="1" applyAlignment="1" applyProtection="1">
      <alignment horizontal="center" vertical="center"/>
      <protection locked="0"/>
    </xf>
    <xf numFmtId="0" fontId="2" fillId="32" borderId="16" xfId="2" applyFill="1" applyBorder="1" applyAlignment="1" applyProtection="1">
      <alignment horizontal="center" vertical="center"/>
      <protection locked="0"/>
    </xf>
    <xf numFmtId="0" fontId="2" fillId="15" borderId="17" xfId="2" applyFill="1" applyBorder="1" applyAlignment="1" applyProtection="1">
      <alignment horizontal="center" vertical="center"/>
    </xf>
    <xf numFmtId="0" fontId="2" fillId="32" borderId="38" xfId="2" applyFill="1" applyBorder="1" applyAlignment="1" applyProtection="1">
      <alignment horizontal="center" vertical="center"/>
    </xf>
    <xf numFmtId="0" fontId="2" fillId="0" borderId="91" xfId="2" applyBorder="1" applyAlignment="1" applyProtection="1">
      <alignment horizontal="center" vertical="center"/>
      <protection locked="0"/>
    </xf>
    <xf numFmtId="0" fontId="2" fillId="0" borderId="89" xfId="2" applyFill="1" applyBorder="1" applyAlignment="1" applyProtection="1">
      <alignment horizontal="center" vertical="center"/>
    </xf>
    <xf numFmtId="0" fontId="2" fillId="0" borderId="90" xfId="2" applyFill="1" applyBorder="1" applyAlignment="1" applyProtection="1">
      <alignment horizontal="center" vertical="center"/>
      <protection locked="0"/>
    </xf>
    <xf numFmtId="2" fontId="2" fillId="15" borderId="17" xfId="2" applyNumberFormat="1" applyFill="1" applyBorder="1" applyAlignment="1" applyProtection="1">
      <alignment horizontal="center" vertical="center"/>
      <protection locked="0"/>
    </xf>
    <xf numFmtId="2" fontId="2" fillId="15" borderId="16" xfId="2" applyNumberFormat="1" applyFill="1" applyBorder="1" applyAlignment="1" applyProtection="1">
      <alignment horizontal="center" vertical="center"/>
      <protection locked="0"/>
    </xf>
    <xf numFmtId="0" fontId="2" fillId="0" borderId="89" xfId="2" applyFill="1" applyBorder="1" applyAlignment="1" applyProtection="1">
      <alignment horizontal="center" vertical="center"/>
      <protection locked="0"/>
    </xf>
    <xf numFmtId="0" fontId="2" fillId="0" borderId="90" xfId="2" applyBorder="1" applyAlignment="1" applyProtection="1">
      <alignment horizontal="center" vertical="center"/>
    </xf>
    <xf numFmtId="0" fontId="2" fillId="0" borderId="38" xfId="2" applyBorder="1" applyAlignment="1" applyProtection="1">
      <alignment horizontal="center" vertical="center"/>
    </xf>
    <xf numFmtId="0" fontId="2" fillId="8" borderId="89" xfId="2" applyFill="1" applyBorder="1" applyAlignment="1" applyProtection="1">
      <alignment horizontal="center" vertical="center"/>
      <protection locked="0"/>
    </xf>
    <xf numFmtId="0" fontId="2" fillId="0" borderId="20" xfId="2" applyBorder="1" applyAlignment="1" applyProtection="1">
      <alignment horizontal="center" vertical="center"/>
    </xf>
    <xf numFmtId="0" fontId="2" fillId="0" borderId="16" xfId="2" applyBorder="1" applyAlignment="1" applyProtection="1">
      <alignment horizontal="center" vertical="center"/>
    </xf>
    <xf numFmtId="0" fontId="2" fillId="15" borderId="38" xfId="2" applyFont="1" applyFill="1" applyBorder="1" applyAlignment="1" applyProtection="1">
      <alignment horizontal="center" vertical="center"/>
      <protection locked="0"/>
    </xf>
    <xf numFmtId="0" fontId="2" fillId="0" borderId="4" xfId="2" applyBorder="1" applyAlignment="1" applyProtection="1">
      <alignment vertical="center"/>
    </xf>
    <xf numFmtId="0" fontId="2" fillId="0" borderId="38" xfId="2" quotePrefix="1" applyFill="1" applyBorder="1" applyAlignment="1" applyProtection="1">
      <alignment horizontal="center" vertical="center"/>
      <protection locked="0"/>
    </xf>
    <xf numFmtId="0" fontId="2" fillId="0" borderId="8" xfId="2" applyBorder="1" applyAlignment="1" applyProtection="1">
      <alignment vertical="center"/>
    </xf>
    <xf numFmtId="0" fontId="2" fillId="0" borderId="3" xfId="2" applyBorder="1" applyAlignment="1" applyProtection="1">
      <alignment vertical="center"/>
    </xf>
    <xf numFmtId="0" fontId="2" fillId="0" borderId="5" xfId="2" applyBorder="1" applyAlignment="1" applyProtection="1">
      <alignment vertical="center"/>
    </xf>
    <xf numFmtId="0" fontId="2" fillId="0" borderId="17" xfId="2" applyFont="1" applyBorder="1" applyAlignment="1" applyProtection="1">
      <alignment horizontal="center" vertical="center"/>
      <protection locked="0"/>
    </xf>
    <xf numFmtId="0" fontId="17" fillId="8" borderId="17" xfId="2" applyFont="1" applyFill="1" applyBorder="1" applyAlignment="1" applyProtection="1">
      <alignment horizontal="center" vertical="center"/>
      <protection locked="0"/>
    </xf>
    <xf numFmtId="0" fontId="1" fillId="0" borderId="6" xfId="2" applyFont="1" applyBorder="1" applyAlignment="1" applyProtection="1">
      <alignment horizontal="center" vertical="center"/>
    </xf>
    <xf numFmtId="0" fontId="2" fillId="0" borderId="8" xfId="2" applyBorder="1" applyAlignment="1" applyProtection="1">
      <alignment horizontal="center" vertical="center"/>
      <protection locked="0"/>
    </xf>
    <xf numFmtId="0" fontId="2" fillId="15" borderId="32" xfId="2" applyFill="1" applyBorder="1" applyAlignment="1" applyProtection="1">
      <alignment horizontal="center" vertical="center"/>
      <protection locked="0"/>
    </xf>
    <xf numFmtId="0" fontId="17" fillId="0" borderId="16" xfId="2" applyFont="1" applyFill="1" applyBorder="1" applyAlignment="1" applyProtection="1">
      <alignment horizontal="center" vertical="center"/>
      <protection locked="0"/>
    </xf>
    <xf numFmtId="0" fontId="17" fillId="0" borderId="38" xfId="2" applyFont="1" applyFill="1" applyBorder="1" applyAlignment="1" applyProtection="1">
      <alignment horizontal="center" vertical="center"/>
      <protection locked="0"/>
    </xf>
    <xf numFmtId="0" fontId="17" fillId="0" borderId="32" xfId="2" applyFont="1" applyFill="1" applyBorder="1" applyAlignment="1" applyProtection="1">
      <alignment horizontal="center" vertical="center"/>
      <protection locked="0"/>
    </xf>
    <xf numFmtId="0" fontId="17" fillId="0" borderId="38" xfId="2" applyFont="1" applyFill="1" applyBorder="1" applyAlignment="1" applyProtection="1">
      <alignment horizontal="center" vertical="center"/>
    </xf>
    <xf numFmtId="0" fontId="34" fillId="0" borderId="38" xfId="2" applyFont="1" applyFill="1" applyBorder="1" applyAlignment="1" applyProtection="1">
      <alignment horizontal="center" vertical="center"/>
    </xf>
    <xf numFmtId="0" fontId="19" fillId="0" borderId="46" xfId="2" applyFont="1" applyBorder="1" applyAlignment="1">
      <alignment horizontal="center" vertical="center"/>
    </xf>
    <xf numFmtId="0" fontId="19" fillId="0" borderId="42" xfId="2" applyFont="1" applyBorder="1" applyAlignment="1">
      <alignment horizontal="center" vertical="center"/>
    </xf>
    <xf numFmtId="0" fontId="19" fillId="8" borderId="52" xfId="2" applyFont="1" applyFill="1" applyBorder="1" applyAlignment="1">
      <alignment horizontal="center" vertical="center"/>
    </xf>
    <xf numFmtId="0" fontId="19" fillId="8" borderId="51" xfId="2" applyFont="1" applyFill="1" applyBorder="1" applyAlignment="1">
      <alignment horizontal="center" vertical="center"/>
    </xf>
    <xf numFmtId="0" fontId="19" fillId="8" borderId="48" xfId="2" applyFont="1" applyFill="1" applyBorder="1" applyAlignment="1">
      <alignment horizontal="center" vertical="center"/>
    </xf>
    <xf numFmtId="0" fontId="19" fillId="8" borderId="45" xfId="2" applyFont="1" applyFill="1" applyBorder="1" applyAlignment="1">
      <alignment horizontal="center" vertical="center"/>
    </xf>
    <xf numFmtId="0" fontId="19" fillId="0" borderId="0" xfId="2" applyFont="1" applyBorder="1" applyAlignment="1">
      <alignment horizontal="center" vertical="center"/>
    </xf>
    <xf numFmtId="0" fontId="1" fillId="0" borderId="0" xfId="2" applyFont="1" applyBorder="1" applyAlignment="1">
      <alignment horizontal="center" vertical="center"/>
    </xf>
    <xf numFmtId="0" fontId="1" fillId="8" borderId="20" xfId="0" applyFont="1" applyFill="1" applyBorder="1" applyAlignment="1">
      <alignment horizontal="center"/>
    </xf>
    <xf numFmtId="0" fontId="4" fillId="5" borderId="16" xfId="0" applyFont="1" applyFill="1" applyBorder="1" applyAlignment="1">
      <alignment horizontal="center"/>
    </xf>
    <xf numFmtId="0" fontId="4" fillId="5" borderId="38" xfId="0" applyFont="1" applyFill="1" applyBorder="1" applyAlignment="1">
      <alignment horizontal="center"/>
    </xf>
    <xf numFmtId="0" fontId="4" fillId="5" borderId="32" xfId="0" applyFont="1" applyFill="1" applyBorder="1" applyAlignment="1">
      <alignment horizontal="center"/>
    </xf>
    <xf numFmtId="0" fontId="1" fillId="0" borderId="69" xfId="0" applyFont="1" applyBorder="1" applyAlignment="1">
      <alignment horizontal="center"/>
    </xf>
    <xf numFmtId="0" fontId="1" fillId="0" borderId="68" xfId="0" applyFont="1" applyBorder="1" applyAlignment="1">
      <alignment horizontal="center"/>
    </xf>
    <xf numFmtId="0" fontId="1" fillId="0" borderId="70" xfId="0" applyFont="1" applyBorder="1" applyAlignment="1">
      <alignment horizontal="center" vertical="center"/>
    </xf>
    <xf numFmtId="0" fontId="1" fillId="0" borderId="61" xfId="0" applyFont="1" applyBorder="1" applyAlignment="1">
      <alignment horizontal="center" vertical="center"/>
    </xf>
    <xf numFmtId="0" fontId="1" fillId="0" borderId="69" xfId="0" applyFont="1" applyBorder="1" applyAlignment="1">
      <alignment horizontal="center" vertical="center"/>
    </xf>
    <xf numFmtId="0" fontId="1" fillId="0" borderId="60" xfId="0" applyFont="1" applyBorder="1" applyAlignment="1">
      <alignment horizontal="center" vertical="center"/>
    </xf>
    <xf numFmtId="0" fontId="39" fillId="0" borderId="110" xfId="0" applyFont="1" applyBorder="1" applyAlignment="1">
      <alignment horizontal="left" wrapText="1"/>
    </xf>
    <xf numFmtId="0" fontId="60" fillId="19" borderId="101" xfId="0" applyFont="1" applyFill="1" applyBorder="1" applyAlignment="1">
      <alignment horizontal="left" wrapText="1"/>
    </xf>
    <xf numFmtId="0" fontId="0" fillId="15" borderId="0" xfId="0" applyFill="1"/>
    <xf numFmtId="0" fontId="51" fillId="0" borderId="0" xfId="3" applyFill="1"/>
  </cellXfs>
  <cellStyles count="5">
    <cellStyle name="Hyperlink" xfId="1" builtinId="8"/>
    <cellStyle name="Normal" xfId="0" builtinId="0"/>
    <cellStyle name="Normal 2" xfId="2"/>
    <cellStyle name="Normal 3" xfId="3"/>
    <cellStyle name="Percent 2" xfId="4"/>
  </cellStyles>
  <dxfs count="216">
    <dxf>
      <fill>
        <patternFill>
          <bgColor theme="4" tint="0.79998168889431442"/>
        </patternFill>
      </fill>
    </dxf>
    <dxf>
      <fill>
        <patternFill>
          <bgColor theme="3" tint="0.79998168889431442"/>
        </patternFill>
      </fill>
    </dxf>
    <dxf>
      <fill>
        <patternFill>
          <bgColor theme="4" tint="0.79998168889431442"/>
        </patternFill>
      </fill>
    </dxf>
    <dxf>
      <fill>
        <patternFill>
          <bgColor rgb="FF00B0F0"/>
        </patternFill>
      </fill>
    </dxf>
    <dxf>
      <fill>
        <patternFill>
          <bgColor rgb="FFFFFF00"/>
        </patternFill>
      </fill>
    </dxf>
    <dxf>
      <fill>
        <patternFill>
          <bgColor theme="7" tint="0.39994506668294322"/>
        </patternFill>
      </fill>
    </dxf>
    <dxf>
      <fill>
        <patternFill>
          <bgColor theme="4" tint="0.59996337778862885"/>
        </patternFill>
      </fill>
    </dxf>
    <dxf>
      <fill>
        <patternFill>
          <bgColor theme="4" tint="0.39994506668294322"/>
        </patternFill>
      </fill>
    </dxf>
    <dxf>
      <fill>
        <patternFill>
          <bgColor theme="4" tint="0.79998168889431442"/>
        </patternFill>
      </fill>
    </dxf>
    <dxf>
      <fill>
        <patternFill patternType="solid">
          <fgColor auto="1"/>
          <bgColor rgb="FF00B0F0"/>
        </patternFill>
      </fill>
    </dxf>
    <dxf>
      <fill>
        <patternFill>
          <bgColor theme="7" tint="0.39994506668294322"/>
        </patternFill>
      </fill>
    </dxf>
    <dxf>
      <fill>
        <patternFill>
          <bgColor rgb="FFFFFF00"/>
        </patternFill>
      </fill>
    </dxf>
    <dxf>
      <fill>
        <patternFill>
          <bgColor rgb="FF00B0F0"/>
        </patternFill>
      </fill>
    </dxf>
    <dxf>
      <fill>
        <patternFill>
          <bgColor theme="8"/>
        </patternFill>
      </fill>
    </dxf>
    <dxf>
      <fill>
        <patternFill>
          <bgColor theme="9" tint="0.59996337778862885"/>
        </patternFill>
      </fill>
    </dxf>
    <dxf>
      <fill>
        <patternFill>
          <bgColor rgb="FFC00000"/>
        </patternFill>
      </fill>
    </dxf>
    <dxf>
      <fill>
        <gradientFill degree="90">
          <stop position="0">
            <color theme="0"/>
          </stop>
          <stop position="1">
            <color theme="4"/>
          </stop>
        </gradientFill>
      </fill>
    </dxf>
    <dxf>
      <fill>
        <gradientFill degree="90">
          <stop position="0">
            <color theme="5"/>
          </stop>
          <stop position="1">
            <color theme="4"/>
          </stop>
        </gradientFill>
      </fill>
    </dxf>
    <dxf>
      <fill>
        <gradientFill degree="90">
          <stop position="0">
            <color theme="5"/>
          </stop>
          <stop position="1">
            <color theme="7" tint="0.59999389629810485"/>
          </stop>
        </gradientFill>
      </fill>
    </dxf>
    <dxf>
      <fill>
        <gradientFill degree="90">
          <stop position="0">
            <color theme="0"/>
          </stop>
          <stop position="1">
            <color rgb="FF7030A0"/>
          </stop>
        </gradientFill>
      </fill>
    </dxf>
    <dxf>
      <fill>
        <gradientFill degree="90">
          <stop position="0">
            <color rgb="FFC00000"/>
          </stop>
          <stop position="1">
            <color theme="9" tint="0.40000610370189521"/>
          </stop>
        </gradientFill>
      </fill>
    </dxf>
    <dxf>
      <fill>
        <patternFill>
          <bgColor theme="5" tint="0.39994506668294322"/>
        </patternFill>
      </fill>
    </dxf>
    <dxf>
      <fill>
        <patternFill>
          <bgColor theme="2"/>
        </patternFill>
      </fill>
    </dxf>
    <dxf>
      <fill>
        <gradientFill degree="90">
          <stop position="0">
            <color rgb="FFFF0000"/>
          </stop>
          <stop position="1">
            <color theme="9" tint="0.59999389629810485"/>
          </stop>
        </gradientFill>
      </fill>
    </dxf>
    <dxf>
      <fill>
        <gradientFill degree="90">
          <stop position="0">
            <color theme="0" tint="-5.0965910824915313E-2"/>
          </stop>
          <stop position="1">
            <color rgb="FF7030A0"/>
          </stop>
        </gradientFill>
      </fill>
    </dxf>
    <dxf>
      <fill>
        <gradientFill degree="90">
          <stop position="0">
            <color theme="5"/>
          </stop>
          <stop position="1">
            <color theme="7" tint="0.59999389629810485"/>
          </stop>
        </gradientFill>
      </fill>
    </dxf>
    <dxf>
      <fill>
        <gradientFill degree="90">
          <stop position="0">
            <color theme="5"/>
          </stop>
          <stop position="1">
            <color theme="8" tint="-0.25098422193060094"/>
          </stop>
        </gradientFill>
      </fill>
    </dxf>
    <dxf>
      <fill>
        <gradientFill degree="90">
          <stop position="0">
            <color theme="9" tint="0.59999389629810485"/>
          </stop>
          <stop position="1">
            <color theme="7" tint="0.59999389629810485"/>
          </stop>
        </gradientFill>
      </fill>
    </dxf>
    <dxf>
      <fill>
        <gradientFill degree="90">
          <stop position="0">
            <color theme="0"/>
          </stop>
          <stop position="1">
            <color theme="4"/>
          </stop>
        </gradientFill>
      </fill>
    </dxf>
    <dxf>
      <fill>
        <patternFill>
          <bgColor rgb="FFC00000"/>
        </patternFill>
      </fill>
    </dxf>
    <dxf>
      <fill>
        <patternFill>
          <bgColor theme="9" tint="0.59996337778862885"/>
        </patternFill>
      </fill>
    </dxf>
    <dxf>
      <fill>
        <patternFill>
          <bgColor theme="5" tint="0.39994506668294322"/>
        </patternFill>
      </fill>
    </dxf>
    <dxf>
      <fill>
        <patternFill>
          <bgColor theme="4"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rgb="FF00B0F0"/>
        </patternFill>
      </fill>
    </dxf>
    <dxf>
      <fill>
        <patternFill>
          <bgColor rgb="FFFFFF00"/>
        </patternFill>
      </fill>
    </dxf>
    <dxf>
      <fill>
        <patternFill>
          <bgColor theme="7" tint="0.39994506668294322"/>
        </patternFill>
      </fill>
    </dxf>
    <dxf>
      <fill>
        <patternFill>
          <bgColor theme="4" tint="0.59996337778862885"/>
        </patternFill>
      </fill>
    </dxf>
    <dxf>
      <fill>
        <patternFill>
          <bgColor theme="4" tint="0.39994506668294322"/>
        </patternFill>
      </fill>
    </dxf>
    <dxf>
      <fill>
        <patternFill>
          <bgColor theme="4" tint="0.79998168889431442"/>
        </patternFill>
      </fill>
    </dxf>
    <dxf>
      <fill>
        <patternFill patternType="solid">
          <fgColor auto="1"/>
          <bgColor rgb="FF00B0F0"/>
        </patternFill>
      </fill>
    </dxf>
    <dxf>
      <fill>
        <patternFill>
          <bgColor theme="7" tint="0.39994506668294322"/>
        </patternFill>
      </fill>
    </dxf>
    <dxf>
      <fill>
        <patternFill>
          <bgColor rgb="FFFFFF00"/>
        </patternFill>
      </fill>
    </dxf>
    <dxf>
      <fill>
        <patternFill>
          <bgColor rgb="FF00B0F0"/>
        </patternFill>
      </fill>
    </dxf>
    <dxf>
      <fill>
        <patternFill>
          <bgColor theme="8"/>
        </patternFill>
      </fill>
    </dxf>
    <dxf>
      <fill>
        <patternFill>
          <bgColor theme="9" tint="0.59996337778862885"/>
        </patternFill>
      </fill>
    </dxf>
    <dxf>
      <fill>
        <patternFill>
          <bgColor rgb="FFC00000"/>
        </patternFill>
      </fill>
    </dxf>
    <dxf>
      <fill>
        <gradientFill degree="90">
          <stop position="0">
            <color theme="0"/>
          </stop>
          <stop position="1">
            <color theme="4"/>
          </stop>
        </gradientFill>
      </fill>
    </dxf>
    <dxf>
      <fill>
        <gradientFill degree="90">
          <stop position="0">
            <color theme="5"/>
          </stop>
          <stop position="1">
            <color theme="4"/>
          </stop>
        </gradientFill>
      </fill>
    </dxf>
    <dxf>
      <fill>
        <gradientFill degree="90">
          <stop position="0">
            <color theme="5"/>
          </stop>
          <stop position="1">
            <color theme="7" tint="0.59999389629810485"/>
          </stop>
        </gradientFill>
      </fill>
    </dxf>
    <dxf>
      <fill>
        <gradientFill degree="90">
          <stop position="0">
            <color theme="0"/>
          </stop>
          <stop position="1">
            <color rgb="FF7030A0"/>
          </stop>
        </gradientFill>
      </fill>
    </dxf>
    <dxf>
      <fill>
        <gradientFill degree="90">
          <stop position="0">
            <color rgb="FFC00000"/>
          </stop>
          <stop position="1">
            <color theme="9" tint="0.40000610370189521"/>
          </stop>
        </gradientFill>
      </fill>
    </dxf>
    <dxf>
      <fill>
        <patternFill>
          <bgColor theme="5" tint="0.39994506668294322"/>
        </patternFill>
      </fill>
    </dxf>
    <dxf>
      <fill>
        <patternFill>
          <bgColor theme="2"/>
        </patternFill>
      </fill>
    </dxf>
    <dxf>
      <fill>
        <gradientFill degree="90">
          <stop position="0">
            <color rgb="FFFF0000"/>
          </stop>
          <stop position="1">
            <color theme="9" tint="0.59999389629810485"/>
          </stop>
        </gradientFill>
      </fill>
    </dxf>
    <dxf>
      <fill>
        <gradientFill degree="90">
          <stop position="0">
            <color theme="0" tint="-5.0965910824915313E-2"/>
          </stop>
          <stop position="1">
            <color rgb="FF7030A0"/>
          </stop>
        </gradientFill>
      </fill>
    </dxf>
    <dxf>
      <fill>
        <gradientFill degree="90">
          <stop position="0">
            <color theme="5"/>
          </stop>
          <stop position="1">
            <color theme="7" tint="0.59999389629810485"/>
          </stop>
        </gradientFill>
      </fill>
    </dxf>
    <dxf>
      <fill>
        <gradientFill degree="90">
          <stop position="0">
            <color theme="5"/>
          </stop>
          <stop position="1">
            <color theme="8" tint="-0.25098422193060094"/>
          </stop>
        </gradientFill>
      </fill>
    </dxf>
    <dxf>
      <fill>
        <gradientFill degree="90">
          <stop position="0">
            <color theme="9" tint="0.59999389629810485"/>
          </stop>
          <stop position="1">
            <color theme="7" tint="0.59999389629810485"/>
          </stop>
        </gradientFill>
      </fill>
    </dxf>
    <dxf>
      <fill>
        <gradientFill degree="90">
          <stop position="0">
            <color theme="0"/>
          </stop>
          <stop position="1">
            <color theme="4"/>
          </stop>
        </gradientFill>
      </fill>
    </dxf>
    <dxf>
      <fill>
        <patternFill>
          <bgColor rgb="FFC00000"/>
        </patternFill>
      </fill>
    </dxf>
    <dxf>
      <fill>
        <patternFill>
          <bgColor theme="9" tint="0.59996337778862885"/>
        </patternFill>
      </fill>
    </dxf>
    <dxf>
      <fill>
        <patternFill>
          <bgColor theme="5" tint="0.39994506668294322"/>
        </patternFill>
      </fill>
    </dxf>
    <dxf>
      <fill>
        <patternFill>
          <bgColor theme="4"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rgb="FF00B0F0"/>
        </patternFill>
      </fill>
    </dxf>
    <dxf>
      <fill>
        <patternFill>
          <bgColor rgb="FFFFFF00"/>
        </patternFill>
      </fill>
    </dxf>
    <dxf>
      <fill>
        <patternFill>
          <bgColor theme="7" tint="0.39994506668294322"/>
        </patternFill>
      </fill>
    </dxf>
    <dxf>
      <fill>
        <patternFill>
          <bgColor theme="4" tint="0.59996337778862885"/>
        </patternFill>
      </fill>
    </dxf>
    <dxf>
      <fill>
        <patternFill>
          <bgColor theme="4" tint="0.39994506668294322"/>
        </patternFill>
      </fill>
    </dxf>
    <dxf>
      <fill>
        <patternFill>
          <bgColor theme="4" tint="0.79998168889431442"/>
        </patternFill>
      </fill>
    </dxf>
    <dxf>
      <fill>
        <patternFill patternType="solid">
          <fgColor auto="1"/>
          <bgColor rgb="FF00B0F0"/>
        </patternFill>
      </fill>
    </dxf>
    <dxf>
      <fill>
        <patternFill>
          <bgColor theme="7" tint="0.39994506668294322"/>
        </patternFill>
      </fill>
    </dxf>
    <dxf>
      <fill>
        <patternFill>
          <bgColor rgb="FFFFFF00"/>
        </patternFill>
      </fill>
    </dxf>
    <dxf>
      <fill>
        <patternFill>
          <bgColor rgb="FF00B0F0"/>
        </patternFill>
      </fill>
    </dxf>
    <dxf>
      <fill>
        <patternFill>
          <bgColor theme="8"/>
        </patternFill>
      </fill>
    </dxf>
    <dxf>
      <fill>
        <patternFill>
          <bgColor theme="9" tint="0.59996337778862885"/>
        </patternFill>
      </fill>
    </dxf>
    <dxf>
      <fill>
        <patternFill>
          <bgColor rgb="FFC00000"/>
        </patternFill>
      </fill>
    </dxf>
    <dxf>
      <fill>
        <gradientFill degree="90">
          <stop position="0">
            <color theme="0"/>
          </stop>
          <stop position="1">
            <color theme="4"/>
          </stop>
        </gradientFill>
      </fill>
    </dxf>
    <dxf>
      <fill>
        <gradientFill degree="90">
          <stop position="0">
            <color theme="5"/>
          </stop>
          <stop position="1">
            <color theme="4"/>
          </stop>
        </gradientFill>
      </fill>
    </dxf>
    <dxf>
      <fill>
        <gradientFill degree="90">
          <stop position="0">
            <color theme="5"/>
          </stop>
          <stop position="1">
            <color theme="7" tint="0.59999389629810485"/>
          </stop>
        </gradientFill>
      </fill>
    </dxf>
    <dxf>
      <fill>
        <gradientFill degree="90">
          <stop position="0">
            <color theme="0"/>
          </stop>
          <stop position="1">
            <color rgb="FF7030A0"/>
          </stop>
        </gradientFill>
      </fill>
    </dxf>
    <dxf>
      <fill>
        <gradientFill degree="90">
          <stop position="0">
            <color rgb="FFC00000"/>
          </stop>
          <stop position="1">
            <color theme="9" tint="0.40000610370189521"/>
          </stop>
        </gradientFill>
      </fill>
    </dxf>
    <dxf>
      <fill>
        <patternFill>
          <bgColor theme="5" tint="0.39994506668294322"/>
        </patternFill>
      </fill>
    </dxf>
    <dxf>
      <fill>
        <patternFill>
          <bgColor theme="2"/>
        </patternFill>
      </fill>
    </dxf>
    <dxf>
      <fill>
        <gradientFill degree="90">
          <stop position="0">
            <color rgb="FFFF0000"/>
          </stop>
          <stop position="1">
            <color theme="9" tint="0.59999389629810485"/>
          </stop>
        </gradientFill>
      </fill>
    </dxf>
    <dxf>
      <fill>
        <gradientFill degree="90">
          <stop position="0">
            <color theme="0" tint="-5.0965910824915313E-2"/>
          </stop>
          <stop position="1">
            <color rgb="FF7030A0"/>
          </stop>
        </gradientFill>
      </fill>
    </dxf>
    <dxf>
      <fill>
        <gradientFill degree="90">
          <stop position="0">
            <color theme="5"/>
          </stop>
          <stop position="1">
            <color theme="7" tint="0.59999389629810485"/>
          </stop>
        </gradientFill>
      </fill>
    </dxf>
    <dxf>
      <fill>
        <gradientFill degree="90">
          <stop position="0">
            <color theme="5"/>
          </stop>
          <stop position="1">
            <color theme="8" tint="-0.25098422193060094"/>
          </stop>
        </gradientFill>
      </fill>
    </dxf>
    <dxf>
      <fill>
        <gradientFill degree="90">
          <stop position="0">
            <color theme="9" tint="0.59999389629810485"/>
          </stop>
          <stop position="1">
            <color theme="7" tint="0.59999389629810485"/>
          </stop>
        </gradientFill>
      </fill>
    </dxf>
    <dxf>
      <fill>
        <gradientFill degree="90">
          <stop position="0">
            <color theme="0"/>
          </stop>
          <stop position="1">
            <color theme="4"/>
          </stop>
        </gradientFill>
      </fill>
    </dxf>
    <dxf>
      <fill>
        <patternFill>
          <bgColor rgb="FFC00000"/>
        </patternFill>
      </fill>
    </dxf>
    <dxf>
      <fill>
        <patternFill>
          <bgColor theme="9" tint="0.59996337778862885"/>
        </patternFill>
      </fill>
    </dxf>
    <dxf>
      <fill>
        <patternFill>
          <bgColor theme="5" tint="0.39994506668294322"/>
        </patternFill>
      </fill>
    </dxf>
    <dxf>
      <fill>
        <patternFill>
          <bgColor theme="4"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rgb="FF00B0F0"/>
        </patternFill>
      </fill>
    </dxf>
    <dxf>
      <fill>
        <patternFill>
          <bgColor rgb="FFFFFF00"/>
        </patternFill>
      </fill>
    </dxf>
    <dxf>
      <fill>
        <patternFill>
          <bgColor theme="7" tint="0.39994506668294322"/>
        </patternFill>
      </fill>
    </dxf>
    <dxf>
      <fill>
        <patternFill>
          <bgColor theme="4" tint="0.59996337778862885"/>
        </patternFill>
      </fill>
    </dxf>
    <dxf>
      <fill>
        <patternFill>
          <bgColor theme="4" tint="0.39994506668294322"/>
        </patternFill>
      </fill>
    </dxf>
    <dxf>
      <fill>
        <patternFill>
          <bgColor theme="4" tint="0.79998168889431442"/>
        </patternFill>
      </fill>
    </dxf>
    <dxf>
      <fill>
        <patternFill patternType="solid">
          <fgColor auto="1"/>
          <bgColor rgb="FF00B0F0"/>
        </patternFill>
      </fill>
    </dxf>
    <dxf>
      <fill>
        <patternFill>
          <bgColor theme="7" tint="0.39994506668294322"/>
        </patternFill>
      </fill>
    </dxf>
    <dxf>
      <fill>
        <patternFill>
          <bgColor rgb="FFFFFF00"/>
        </patternFill>
      </fill>
    </dxf>
    <dxf>
      <fill>
        <patternFill>
          <bgColor rgb="FF00B0F0"/>
        </patternFill>
      </fill>
    </dxf>
    <dxf>
      <fill>
        <patternFill>
          <bgColor theme="8"/>
        </patternFill>
      </fill>
    </dxf>
    <dxf>
      <fill>
        <patternFill>
          <bgColor theme="9" tint="0.59996337778862885"/>
        </patternFill>
      </fill>
    </dxf>
    <dxf>
      <fill>
        <patternFill>
          <bgColor rgb="FFC00000"/>
        </patternFill>
      </fill>
    </dxf>
    <dxf>
      <fill>
        <gradientFill degree="90">
          <stop position="0">
            <color theme="0"/>
          </stop>
          <stop position="1">
            <color theme="4"/>
          </stop>
        </gradientFill>
      </fill>
    </dxf>
    <dxf>
      <fill>
        <gradientFill degree="90">
          <stop position="0">
            <color theme="5"/>
          </stop>
          <stop position="1">
            <color theme="4"/>
          </stop>
        </gradientFill>
      </fill>
    </dxf>
    <dxf>
      <fill>
        <gradientFill degree="90">
          <stop position="0">
            <color theme="5"/>
          </stop>
          <stop position="1">
            <color theme="7" tint="0.59999389629810485"/>
          </stop>
        </gradientFill>
      </fill>
    </dxf>
    <dxf>
      <fill>
        <gradientFill degree="90">
          <stop position="0">
            <color theme="0"/>
          </stop>
          <stop position="1">
            <color rgb="FF7030A0"/>
          </stop>
        </gradientFill>
      </fill>
    </dxf>
    <dxf>
      <fill>
        <gradientFill degree="90">
          <stop position="0">
            <color rgb="FFC00000"/>
          </stop>
          <stop position="1">
            <color theme="9" tint="0.40000610370189521"/>
          </stop>
        </gradientFill>
      </fill>
    </dxf>
    <dxf>
      <fill>
        <patternFill>
          <bgColor theme="5" tint="0.39994506668294322"/>
        </patternFill>
      </fill>
    </dxf>
    <dxf>
      <fill>
        <patternFill>
          <bgColor theme="2"/>
        </patternFill>
      </fill>
    </dxf>
    <dxf>
      <fill>
        <gradientFill degree="90">
          <stop position="0">
            <color rgb="FFFF0000"/>
          </stop>
          <stop position="1">
            <color theme="9" tint="0.59999389629810485"/>
          </stop>
        </gradientFill>
      </fill>
    </dxf>
    <dxf>
      <fill>
        <gradientFill degree="90">
          <stop position="0">
            <color theme="0" tint="-5.0965910824915313E-2"/>
          </stop>
          <stop position="1">
            <color rgb="FF7030A0"/>
          </stop>
        </gradientFill>
      </fill>
    </dxf>
    <dxf>
      <fill>
        <gradientFill degree="90">
          <stop position="0">
            <color theme="5"/>
          </stop>
          <stop position="1">
            <color theme="7" tint="0.59999389629810485"/>
          </stop>
        </gradientFill>
      </fill>
    </dxf>
    <dxf>
      <fill>
        <gradientFill degree="90">
          <stop position="0">
            <color theme="5"/>
          </stop>
          <stop position="1">
            <color theme="8" tint="-0.25098422193060094"/>
          </stop>
        </gradientFill>
      </fill>
    </dxf>
    <dxf>
      <fill>
        <gradientFill degree="90">
          <stop position="0">
            <color theme="9" tint="0.59999389629810485"/>
          </stop>
          <stop position="1">
            <color theme="7" tint="0.59999389629810485"/>
          </stop>
        </gradientFill>
      </fill>
    </dxf>
    <dxf>
      <fill>
        <gradientFill degree="90">
          <stop position="0">
            <color theme="0"/>
          </stop>
          <stop position="1">
            <color theme="4"/>
          </stop>
        </gradientFill>
      </fill>
    </dxf>
    <dxf>
      <fill>
        <patternFill>
          <bgColor rgb="FFC00000"/>
        </patternFill>
      </fill>
    </dxf>
    <dxf>
      <fill>
        <patternFill>
          <bgColor theme="9" tint="0.59996337778862885"/>
        </patternFill>
      </fill>
    </dxf>
    <dxf>
      <fill>
        <patternFill>
          <bgColor theme="5" tint="0.39994506668294322"/>
        </patternFill>
      </fill>
    </dxf>
    <dxf>
      <fill>
        <patternFill>
          <bgColor theme="4"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rgb="FF00B0F0"/>
        </patternFill>
      </fill>
    </dxf>
    <dxf>
      <fill>
        <patternFill>
          <bgColor rgb="FFFFFF00"/>
        </patternFill>
      </fill>
    </dxf>
    <dxf>
      <fill>
        <patternFill>
          <bgColor theme="7" tint="0.39994506668294322"/>
        </patternFill>
      </fill>
    </dxf>
    <dxf>
      <fill>
        <patternFill>
          <bgColor theme="4" tint="0.59996337778862885"/>
        </patternFill>
      </fill>
    </dxf>
    <dxf>
      <fill>
        <patternFill>
          <bgColor theme="4" tint="0.39994506668294322"/>
        </patternFill>
      </fill>
    </dxf>
    <dxf>
      <fill>
        <patternFill>
          <bgColor theme="4" tint="0.79998168889431442"/>
        </patternFill>
      </fill>
    </dxf>
    <dxf>
      <fill>
        <patternFill patternType="solid">
          <fgColor auto="1"/>
          <bgColor rgb="FF00B0F0"/>
        </patternFill>
      </fill>
    </dxf>
    <dxf>
      <fill>
        <patternFill>
          <bgColor theme="7" tint="0.39994506668294322"/>
        </patternFill>
      </fill>
    </dxf>
    <dxf>
      <fill>
        <patternFill>
          <bgColor rgb="FFFFFF00"/>
        </patternFill>
      </fill>
    </dxf>
    <dxf>
      <fill>
        <patternFill>
          <bgColor rgb="FF00B0F0"/>
        </patternFill>
      </fill>
    </dxf>
    <dxf>
      <fill>
        <patternFill>
          <bgColor theme="8"/>
        </patternFill>
      </fill>
    </dxf>
    <dxf>
      <fill>
        <patternFill>
          <bgColor theme="9" tint="0.59996337778862885"/>
        </patternFill>
      </fill>
    </dxf>
    <dxf>
      <fill>
        <patternFill>
          <bgColor rgb="FFC00000"/>
        </patternFill>
      </fill>
    </dxf>
    <dxf>
      <fill>
        <gradientFill degree="90">
          <stop position="0">
            <color theme="0"/>
          </stop>
          <stop position="1">
            <color theme="4"/>
          </stop>
        </gradientFill>
      </fill>
    </dxf>
    <dxf>
      <fill>
        <gradientFill degree="90">
          <stop position="0">
            <color theme="5"/>
          </stop>
          <stop position="1">
            <color theme="4"/>
          </stop>
        </gradientFill>
      </fill>
    </dxf>
    <dxf>
      <fill>
        <gradientFill degree="90">
          <stop position="0">
            <color theme="5"/>
          </stop>
          <stop position="1">
            <color theme="7" tint="0.59999389629810485"/>
          </stop>
        </gradientFill>
      </fill>
    </dxf>
    <dxf>
      <fill>
        <gradientFill degree="90">
          <stop position="0">
            <color theme="0"/>
          </stop>
          <stop position="1">
            <color rgb="FF7030A0"/>
          </stop>
        </gradientFill>
      </fill>
    </dxf>
    <dxf>
      <fill>
        <gradientFill degree="90">
          <stop position="0">
            <color rgb="FFC00000"/>
          </stop>
          <stop position="1">
            <color theme="9" tint="0.40000610370189521"/>
          </stop>
        </gradientFill>
      </fill>
    </dxf>
    <dxf>
      <fill>
        <patternFill>
          <bgColor theme="5" tint="0.39994506668294322"/>
        </patternFill>
      </fill>
    </dxf>
    <dxf>
      <fill>
        <patternFill>
          <bgColor theme="2"/>
        </patternFill>
      </fill>
    </dxf>
    <dxf>
      <fill>
        <gradientFill degree="90">
          <stop position="0">
            <color rgb="FFFF0000"/>
          </stop>
          <stop position="1">
            <color theme="9" tint="0.59999389629810485"/>
          </stop>
        </gradientFill>
      </fill>
    </dxf>
    <dxf>
      <fill>
        <gradientFill degree="90">
          <stop position="0">
            <color theme="0" tint="-5.0965910824915313E-2"/>
          </stop>
          <stop position="1">
            <color rgb="FF7030A0"/>
          </stop>
        </gradientFill>
      </fill>
    </dxf>
    <dxf>
      <fill>
        <gradientFill degree="90">
          <stop position="0">
            <color theme="5"/>
          </stop>
          <stop position="1">
            <color theme="7" tint="0.59999389629810485"/>
          </stop>
        </gradientFill>
      </fill>
    </dxf>
    <dxf>
      <fill>
        <gradientFill degree="90">
          <stop position="0">
            <color theme="5"/>
          </stop>
          <stop position="1">
            <color theme="8" tint="-0.25098422193060094"/>
          </stop>
        </gradientFill>
      </fill>
    </dxf>
    <dxf>
      <fill>
        <gradientFill degree="90">
          <stop position="0">
            <color theme="9" tint="0.59999389629810485"/>
          </stop>
          <stop position="1">
            <color theme="7" tint="0.59999389629810485"/>
          </stop>
        </gradientFill>
      </fill>
    </dxf>
    <dxf>
      <fill>
        <gradientFill degree="90">
          <stop position="0">
            <color theme="0"/>
          </stop>
          <stop position="1">
            <color theme="4"/>
          </stop>
        </gradientFill>
      </fill>
    </dxf>
    <dxf>
      <fill>
        <patternFill>
          <bgColor rgb="FFC00000"/>
        </patternFill>
      </fill>
    </dxf>
    <dxf>
      <fill>
        <patternFill>
          <bgColor theme="9" tint="0.59996337778862885"/>
        </patternFill>
      </fill>
    </dxf>
    <dxf>
      <fill>
        <patternFill>
          <bgColor theme="5" tint="0.39994506668294322"/>
        </patternFill>
      </fill>
    </dxf>
    <dxf>
      <fill>
        <patternFill>
          <bgColor theme="4"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rgb="FF00B0F0"/>
        </patternFill>
      </fill>
    </dxf>
    <dxf>
      <fill>
        <patternFill>
          <bgColor rgb="FFFFFF00"/>
        </patternFill>
      </fill>
    </dxf>
    <dxf>
      <fill>
        <patternFill>
          <bgColor theme="7" tint="0.39994506668294322"/>
        </patternFill>
      </fill>
    </dxf>
    <dxf>
      <fill>
        <patternFill>
          <bgColor theme="4" tint="0.59996337778862885"/>
        </patternFill>
      </fill>
    </dxf>
    <dxf>
      <fill>
        <patternFill>
          <bgColor theme="4" tint="0.39994506668294322"/>
        </patternFill>
      </fill>
    </dxf>
    <dxf>
      <fill>
        <patternFill>
          <bgColor theme="4" tint="0.79998168889431442"/>
        </patternFill>
      </fill>
    </dxf>
    <dxf>
      <fill>
        <patternFill patternType="solid">
          <fgColor auto="1"/>
          <bgColor rgb="FF00B0F0"/>
        </patternFill>
      </fill>
    </dxf>
    <dxf>
      <fill>
        <patternFill>
          <bgColor theme="7" tint="0.39994506668294322"/>
        </patternFill>
      </fill>
    </dxf>
    <dxf>
      <fill>
        <patternFill>
          <bgColor rgb="FFFFFF00"/>
        </patternFill>
      </fill>
    </dxf>
    <dxf>
      <fill>
        <patternFill>
          <bgColor rgb="FF00B0F0"/>
        </patternFill>
      </fill>
    </dxf>
    <dxf>
      <fill>
        <patternFill>
          <bgColor theme="8"/>
        </patternFill>
      </fill>
    </dxf>
    <dxf>
      <fill>
        <patternFill>
          <bgColor theme="9" tint="0.59996337778862885"/>
        </patternFill>
      </fill>
    </dxf>
    <dxf>
      <fill>
        <patternFill>
          <bgColor rgb="FFC00000"/>
        </patternFill>
      </fill>
    </dxf>
    <dxf>
      <fill>
        <gradientFill degree="90">
          <stop position="0">
            <color theme="0"/>
          </stop>
          <stop position="1">
            <color theme="4"/>
          </stop>
        </gradientFill>
      </fill>
    </dxf>
    <dxf>
      <fill>
        <gradientFill degree="90">
          <stop position="0">
            <color theme="5"/>
          </stop>
          <stop position="1">
            <color theme="4"/>
          </stop>
        </gradientFill>
      </fill>
    </dxf>
    <dxf>
      <fill>
        <gradientFill degree="90">
          <stop position="0">
            <color theme="5"/>
          </stop>
          <stop position="1">
            <color theme="7" tint="0.59999389629810485"/>
          </stop>
        </gradientFill>
      </fill>
    </dxf>
    <dxf>
      <fill>
        <gradientFill degree="90">
          <stop position="0">
            <color theme="0"/>
          </stop>
          <stop position="1">
            <color rgb="FF7030A0"/>
          </stop>
        </gradientFill>
      </fill>
    </dxf>
    <dxf>
      <fill>
        <gradientFill degree="90">
          <stop position="0">
            <color rgb="FFC00000"/>
          </stop>
          <stop position="1">
            <color theme="9" tint="0.40000610370189521"/>
          </stop>
        </gradientFill>
      </fill>
    </dxf>
    <dxf>
      <fill>
        <patternFill>
          <bgColor theme="5" tint="0.39994506668294322"/>
        </patternFill>
      </fill>
    </dxf>
    <dxf>
      <fill>
        <patternFill>
          <bgColor theme="2"/>
        </patternFill>
      </fill>
    </dxf>
    <dxf>
      <fill>
        <gradientFill degree="90">
          <stop position="0">
            <color rgb="FFFF0000"/>
          </stop>
          <stop position="1">
            <color theme="9" tint="0.59999389629810485"/>
          </stop>
        </gradientFill>
      </fill>
    </dxf>
    <dxf>
      <fill>
        <gradientFill degree="90">
          <stop position="0">
            <color theme="0" tint="-5.0965910824915313E-2"/>
          </stop>
          <stop position="1">
            <color rgb="FF7030A0"/>
          </stop>
        </gradientFill>
      </fill>
    </dxf>
    <dxf>
      <fill>
        <gradientFill degree="90">
          <stop position="0">
            <color theme="5"/>
          </stop>
          <stop position="1">
            <color theme="7" tint="0.59999389629810485"/>
          </stop>
        </gradientFill>
      </fill>
    </dxf>
    <dxf>
      <fill>
        <gradientFill degree="90">
          <stop position="0">
            <color theme="5"/>
          </stop>
          <stop position="1">
            <color theme="8" tint="-0.25098422193060094"/>
          </stop>
        </gradientFill>
      </fill>
    </dxf>
    <dxf>
      <fill>
        <gradientFill degree="90">
          <stop position="0">
            <color theme="9" tint="0.59999389629810485"/>
          </stop>
          <stop position="1">
            <color theme="7" tint="0.59999389629810485"/>
          </stop>
        </gradientFill>
      </fill>
    </dxf>
    <dxf>
      <fill>
        <gradientFill degree="90">
          <stop position="0">
            <color theme="0"/>
          </stop>
          <stop position="1">
            <color theme="4"/>
          </stop>
        </gradientFill>
      </fill>
    </dxf>
    <dxf>
      <fill>
        <patternFill>
          <bgColor rgb="FFC00000"/>
        </patternFill>
      </fill>
    </dxf>
    <dxf>
      <fill>
        <patternFill>
          <bgColor theme="9" tint="0.59996337778862885"/>
        </patternFill>
      </fill>
    </dxf>
    <dxf>
      <fill>
        <patternFill>
          <bgColor theme="5" tint="0.39994506668294322"/>
        </patternFill>
      </fill>
    </dxf>
    <dxf>
      <fill>
        <patternFill>
          <bgColor theme="4" tint="0.79998168889431442"/>
        </patternFill>
      </fill>
    </dxf>
    <dxf>
      <fill>
        <patternFill>
          <bgColor indexed="13"/>
        </patternFill>
      </fill>
    </dxf>
    <dxf>
      <fill>
        <patternFill>
          <bgColor indexed="11"/>
        </patternFill>
      </fill>
    </dxf>
    <dxf>
      <fill>
        <patternFill>
          <bgColor indexed="10"/>
        </patternFill>
      </fill>
    </dxf>
    <dxf>
      <font>
        <condense val="0"/>
        <extend val="0"/>
        <color indexed="11"/>
      </font>
      <fill>
        <patternFill>
          <bgColor indexed="11"/>
        </patternFill>
      </fill>
    </dxf>
    <dxf>
      <font>
        <condense val="0"/>
        <extend val="0"/>
        <color indexed="10"/>
      </font>
      <fill>
        <patternFill>
          <bgColor indexed="10"/>
        </patternFill>
      </fill>
    </dxf>
    <dxf>
      <font>
        <condense val="0"/>
        <extend val="0"/>
        <color indexed="11"/>
      </font>
      <fill>
        <patternFill>
          <bgColor indexed="11"/>
        </patternFill>
      </fill>
    </dxf>
    <dxf>
      <font>
        <condense val="0"/>
        <extend val="0"/>
        <color indexed="10"/>
      </font>
      <fill>
        <patternFill>
          <bgColor indexed="10"/>
        </patternFill>
      </fill>
    </dxf>
    <dxf>
      <font>
        <condense val="0"/>
        <extend val="0"/>
        <color indexed="11"/>
      </font>
      <fill>
        <patternFill>
          <bgColor indexed="11"/>
        </patternFill>
      </fill>
    </dxf>
    <dxf>
      <font>
        <condense val="0"/>
        <extend val="0"/>
        <color indexed="10"/>
      </font>
      <fill>
        <patternFill>
          <bgColor indexed="10"/>
        </patternFill>
      </fill>
    </dxf>
    <dxf>
      <font>
        <condense val="0"/>
        <extend val="0"/>
        <color indexed="11"/>
      </font>
      <fill>
        <patternFill>
          <bgColor indexed="11"/>
        </patternFill>
      </fill>
    </dxf>
    <dxf>
      <font>
        <condense val="0"/>
        <extend val="0"/>
        <color indexed="10"/>
      </font>
      <fill>
        <patternFill>
          <bgColor indexed="1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0" formatCode="General"/>
    </dxf>
    <dxf>
      <numFmt numFmtId="0" formatCode="General"/>
    </dxf>
    <dxf>
      <font>
        <b val="0"/>
        <i val="0"/>
        <strike val="0"/>
        <condense val="0"/>
        <extend val="0"/>
        <outline val="0"/>
        <shadow val="0"/>
        <u val="none"/>
        <vertAlign val="baseline"/>
        <sz val="10"/>
        <color auto="1"/>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0</xdr:rowOff>
    </xdr:from>
    <xdr:to>
      <xdr:col>13</xdr:col>
      <xdr:colOff>285750</xdr:colOff>
      <xdr:row>30</xdr:row>
      <xdr:rowOff>0</xdr:rowOff>
    </xdr:to>
    <xdr:sp macro="" textlink="">
      <xdr:nvSpPr>
        <xdr:cNvPr id="15366" name="Shape 122">
          <a:extLst>
            <a:ext uri="{FF2B5EF4-FFF2-40B4-BE49-F238E27FC236}">
              <a16:creationId xmlns:a16="http://schemas.microsoft.com/office/drawing/2014/main" id="{75FBBF1B-FC71-430B-B9B9-3A7ED995205B}"/>
            </a:ext>
          </a:extLst>
        </xdr:cNvPr>
        <xdr:cNvSpPr>
          <a:spLocks/>
        </xdr:cNvSpPr>
      </xdr:nvSpPr>
      <xdr:spPr bwMode="auto">
        <a:xfrm>
          <a:off x="0" y="4991100"/>
          <a:ext cx="6200775" cy="0"/>
        </a:xfrm>
        <a:custGeom>
          <a:avLst/>
          <a:gdLst>
            <a:gd name="T0" fmla="*/ 0 w 6192520"/>
            <a:gd name="T1" fmla="*/ 6237849 w 6192520"/>
            <a:gd name="T2" fmla="*/ 0 60000 65536"/>
            <a:gd name="T3" fmla="*/ 0 60000 65536"/>
            <a:gd name="T4" fmla="*/ 0 w 6192520"/>
            <a:gd name="T5" fmla="*/ 6192520 w 6192520"/>
          </a:gdLst>
          <a:ahLst/>
          <a:cxnLst>
            <a:cxn ang="T2">
              <a:pos x="T0" y="0"/>
            </a:cxn>
            <a:cxn ang="T3">
              <a:pos x="T1" y="0"/>
            </a:cxn>
          </a:cxnLst>
          <a:rect l="T4" t="0" r="T5" b="0"/>
          <a:pathLst>
            <a:path w="6192520">
              <a:moveTo>
                <a:pt x="0" y="0"/>
              </a:moveTo>
              <a:lnTo>
                <a:pt x="6191999" y="0"/>
              </a:lnTo>
            </a:path>
          </a:pathLst>
        </a:custGeom>
        <a:noFill/>
        <a:ln w="6350">
          <a:solidFill>
            <a:srgbClr val="E5B822"/>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id="6" name="Table6" displayName="Table6" ref="B18:F19" totalsRowShown="0">
  <tableColumns count="5">
    <tableColumn id="1" name="Valve size"/>
    <tableColumn id="2" name="shut-off">
      <calculatedColumnFormula>IF(SELECTION!AJ12=0,SELECTION!R14+1,AJ12)</calculatedColumnFormula>
    </tableColumn>
    <tableColumn id="3" name="Column3"/>
    <tableColumn id="4" name="Column4"/>
    <tableColumn id="5" name="Column5"/>
  </tableColumns>
  <tableStyleInfo name="TableStyleLight8" showFirstColumn="0" showLastColumn="0" showRowStripes="1" showColumnStripes="0"/>
</table>
</file>

<file path=xl/tables/table10.xml><?xml version="1.0" encoding="utf-8"?>
<table xmlns="http://schemas.openxmlformats.org/spreadsheetml/2006/main" id="2" name="Jedwali1" displayName="Jedwali1" ref="A1:I13" totalsRowShown="0">
  <autoFilter ref="A1:I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Rating"/>
    <tableColumn id="2" name="packing"/>
    <tableColumn id="3" name="Bonnet"/>
    <tableColumn id="4" name="pn"/>
    <tableColumn id="5" name="Material"/>
    <tableColumn id="6" name="Min"/>
    <tableColumn id="9" name="max"/>
    <tableColumn id="8" name="Column12" dataDxfId="214"/>
    <tableColumn id="7" name="Column2"/>
  </tableColumns>
  <tableStyleInfo name="TableStyleMedium2" showFirstColumn="0" showLastColumn="0" showRowStripes="1" showColumnStripes="0"/>
</table>
</file>

<file path=xl/tables/table11.xml><?xml version="1.0" encoding="utf-8"?>
<table xmlns="http://schemas.openxmlformats.org/spreadsheetml/2006/main" id="3" name="Jedwali2" displayName="Jedwali2" ref="J2:K9" totalsRowShown="0">
  <autoFilter ref="J2:K9">
    <filterColumn colId="0" hiddenButton="1"/>
    <filterColumn colId="1" hiddenButton="1"/>
  </autoFilter>
  <tableColumns count="2">
    <tableColumn id="1" name="category"/>
    <tableColumn id="2" name="value"/>
  </tableColumns>
  <tableStyleInfo name="TableStyleMedium2" showFirstColumn="0" showLastColumn="0" showRowStripes="1" showColumnStripes="0"/>
</table>
</file>

<file path=xl/tables/table12.xml><?xml version="1.0" encoding="utf-8"?>
<table xmlns="http://schemas.openxmlformats.org/spreadsheetml/2006/main" id="4" name="Jedwali3" displayName="Jedwali3" ref="M2:O29" totalsRowShown="0">
  <autoFilter ref="M2:O29">
    <filterColumn colId="0" hiddenButton="1"/>
    <filterColumn colId="1" hiddenButton="1"/>
    <filterColumn colId="2" hiddenButton="1"/>
  </autoFilter>
  <tableColumns count="3">
    <tableColumn id="1" name="CODE"/>
    <tableColumn id="2" name="Accessories Description"/>
    <tableColumn id="3" name="PL€"/>
  </tableColumns>
  <tableStyleInfo name="TableStyleMedium2" showFirstColumn="0" showLastColumn="0" showRowStripes="1" showColumnStripes="0"/>
</table>
</file>

<file path=xl/tables/table13.xml><?xml version="1.0" encoding="utf-8"?>
<table xmlns="http://schemas.openxmlformats.org/spreadsheetml/2006/main" id="13" name="Table13" displayName="Table13" ref="Q4:R11" headerRowCount="0" headerRowCellStyle="Normal 3" dataCellStyle="Normal 3">
  <tableColumns count="2">
    <tableColumn id="1" name="Column1" totalsRowFunction="count" totalsRowDxfId="212" headerRowCellStyle="Normal 3" dataCellStyle="Normal 3"/>
    <tableColumn id="2" name="Column2" totalsRowDxfId="211" headerRowCellStyle="Normal 3" dataCellStyle="Normal 3"/>
  </tableColumns>
  <tableStyleInfo name="TableStyleMedium12" showFirstColumn="1" showLastColumn="0" showRowStripes="1" showColumnStripes="0"/>
</table>
</file>

<file path=xl/tables/table2.xml><?xml version="1.0" encoding="utf-8"?>
<table xmlns="http://schemas.openxmlformats.org/spreadsheetml/2006/main" id="11" name="Table11" displayName="Table11" ref="L5:N6" totalsRowShown="0">
  <tableColumns count="3">
    <tableColumn id="1" name="Name">
      <calculatedColumnFormula>SELECTION!E10</calculatedColumnFormula>
    </tableColumn>
    <tableColumn id="2" name="Temp"/>
    <tableColumn id="3" name="vapor pre">
      <calculatedColumnFormula>VLOOKUP(L6,$A$4:$G$59,7,FALSE)</calculatedColumnFormula>
    </tableColumn>
  </tableColumns>
  <tableStyleInfo name="TableStyleLight8" showFirstColumn="0" showLastColumn="0" showRowStripes="1" showColumnStripes="0"/>
</table>
</file>

<file path=xl/tables/table3.xml><?xml version="1.0" encoding="utf-8"?>
<table xmlns="http://schemas.openxmlformats.org/spreadsheetml/2006/main" id="15" name="Table15" displayName="Table15" ref="A63:H227" totalsRowShown="0">
  <sortState ref="A64:F227">
    <sortCondition ref="A64:A227"/>
  </sortState>
  <tableColumns count="8">
    <tableColumn id="1" name="Column1" dataDxfId="215"/>
    <tableColumn id="2" name="Column2"/>
    <tableColumn id="3" name="Column3"/>
    <tableColumn id="4" name="Column4"/>
    <tableColumn id="5" name="Column5"/>
    <tableColumn id="6" name="Column6"/>
    <tableColumn id="7" name="Column7">
      <calculatedColumnFormula>10^(B64-C64/(D64+$C$2))</calculatedColumnFormula>
    </tableColumn>
    <tableColumn id="8" name="Column8">
      <calculatedColumnFormula>G64/133</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1" name="Table1" displayName="Table1" ref="U3:AE4" totalsRowShown="0">
  <tableColumns count="11">
    <tableColumn id="1" name="STATE">
      <calculatedColumnFormula>SELECTION!$T$10</calculatedColumnFormula>
    </tableColumn>
    <tableColumn id="2" name="Calc CV">
      <calculatedColumnFormula>ValveSIZING!$F$162</calculatedColumnFormula>
    </tableColumn>
    <tableColumn id="3" name="Velocity">
      <calculatedColumnFormula>ValveSIZING!$E$28</calculatedColumnFormula>
    </tableColumn>
    <tableColumn id="4" name="Valve size">
      <calculatedColumnFormula>SELECTION!$J$29</calculatedColumnFormula>
    </tableColumn>
    <tableColumn id="6" name="Calc Noise">
      <calculatedColumnFormula>IF(U4 ="Liquid",IF(ValveSIZING!F56="NO CAVITATION",SPL!E6,SPL!E12),SPL!E18)</calculatedColumnFormula>
    </tableColumn>
    <tableColumn id="8" name="Max Vel">
      <calculatedColumnFormula>IF(U4="Liquid",IF(ValveSIZING!F56="NO CAVITATION","4,0","3,0"),IF(OR(U4="Steam Saturated",U4="Steam Superheated"),"0,32","0,35"))</calculatedColumnFormula>
    </tableColumn>
    <tableColumn id="9" name="Status Sound">
      <calculatedColumnFormula>IF(Y4&gt;SELECTION!R23,"  NO","  OK")</calculatedColumnFormula>
    </tableColumn>
    <tableColumn id="10" name="Status Velocity">
      <calculatedColumnFormula>IF(W4&gt;Z4,"NO"," OK")</calculatedColumnFormula>
    </tableColumn>
    <tableColumn id="11" name="Corrected cv">
      <calculatedColumnFormula>V4*1.1</calculatedColumnFormula>
    </tableColumn>
    <tableColumn id="12" name="Selected"/>
    <tableColumn id="13" name="Nomi"/>
  </tableColumns>
  <tableStyleInfo name="TableStyleMedium8" showFirstColumn="0" showLastColumn="0" showRowStripes="1" showColumnStripes="0"/>
</table>
</file>

<file path=xl/tables/table5.xml><?xml version="1.0" encoding="utf-8"?>
<table xmlns="http://schemas.openxmlformats.org/spreadsheetml/2006/main" id="9" name="Table9" displayName="Table9" ref="AI10:AK11" totalsRowShown="0">
  <tableColumns count="3">
    <tableColumn id="1" name="Row number" dataDxfId="213">
      <calculatedColumnFormula>MATCH(AI8,U11:U34,-1)</calculatedColumnFormula>
    </tableColumn>
    <tableColumn id="2" name="Suggested">
      <calculatedColumnFormula>INDEX(V10:AG10,,MATCH("yes",INDEX(V11:AG33,MATCH(AI8,U11:U33,-1),),0))</calculatedColumnFormula>
    </tableColumn>
    <tableColumn id="3" name="Valve CV">
      <calculatedColumnFormula>INDEX(U11:U33,AI11,)</calculatedColumnFormula>
    </tableColumn>
  </tableColumns>
  <tableStyleInfo name="TableStyleMedium9" showFirstColumn="0" showLastColumn="0" showRowStripes="1" showColumnStripes="0"/>
</table>
</file>

<file path=xl/tables/table6.xml><?xml version="1.0" encoding="utf-8"?>
<table xmlns="http://schemas.openxmlformats.org/spreadsheetml/2006/main" id="17" name="Table1318" displayName="Table1318" ref="L3:M10" headerRowCount="0" headerRowCellStyle="Normal 3" dataCellStyle="Normal 3">
  <tableColumns count="2">
    <tableColumn id="1" name="Column1" totalsRowFunction="count" totalsRowDxfId="210" headerRowCellStyle="Normal 3" dataCellStyle="Normal 3"/>
    <tableColumn id="2" name="Column2" totalsRowDxfId="209" headerRowCellStyle="Normal 3" dataCellStyle="Normal 3"/>
  </tableColumns>
  <tableStyleInfo name="TableStyleMedium12" showFirstColumn="1" showLastColumn="0" showRowStripes="1" showColumnStripes="0"/>
</table>
</file>

<file path=xl/tables/table7.xml><?xml version="1.0" encoding="utf-8"?>
<table xmlns="http://schemas.openxmlformats.org/spreadsheetml/2006/main" id="18" name="Table18" displayName="Table18" ref="G3:H8" headerRowCount="0" totalsRowShown="0">
  <tableColumns count="2">
    <tableColumn id="1" name="Column1"/>
    <tableColumn id="2" name="Column2"/>
  </tableColumns>
  <tableStyleInfo name="TableStyleMedium9" showFirstColumn="0" showLastColumn="0" showRowStripes="1" showColumnStripes="0"/>
</table>
</file>

<file path=xl/tables/table8.xml><?xml version="1.0" encoding="utf-8"?>
<table xmlns="http://schemas.openxmlformats.org/spreadsheetml/2006/main" id="19" name="Table19" displayName="Table19" ref="D3:E6" headerRowCount="0" totalsRowShown="0">
  <tableColumns count="2">
    <tableColumn id="1" name="Column1"/>
    <tableColumn id="2" name="Column2"/>
  </tableColumns>
  <tableStyleInfo name="TableStyleMedium9" showFirstColumn="0" showLastColumn="0" showRowStripes="1" showColumnStripes="0"/>
</table>
</file>

<file path=xl/tables/table9.xml><?xml version="1.0" encoding="utf-8"?>
<table xmlns="http://schemas.openxmlformats.org/spreadsheetml/2006/main" id="20" name="Table20" displayName="Table20" ref="A3:B8" headerRowCount="0" totalsRowShown="0">
  <tableColumns count="2">
    <tableColumn id="1" name="Column1"/>
    <tableColumn id="2"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x-eng.com/"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magnus@x-eng.com" TargetMode="External"/><Relationship Id="rId1" Type="http://schemas.openxmlformats.org/officeDocument/2006/relationships/hyperlink" Target="http://www.x-eng.com/"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13.bin"/><Relationship Id="rId4"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 Id="rId4"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5.bin"/><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externalLinkPath" Target="/Users/AnManfredini/AppData/Roaming/Microsoft/Excel/SIZING.xls" TargetMode="Externa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sheetPr>
  <dimension ref="B2:BF243"/>
  <sheetViews>
    <sheetView topLeftCell="A223" zoomScaleNormal="100" workbookViewId="0">
      <selection activeCell="B221" sqref="B221"/>
    </sheetView>
  </sheetViews>
  <sheetFormatPr defaultRowHeight="12.75" x14ac:dyDescent="0.2"/>
  <cols>
    <col min="1" max="1" width="2.7109375" style="42" customWidth="1"/>
    <col min="2" max="2" width="122.7109375" style="42" bestFit="1" customWidth="1"/>
    <col min="3" max="3" width="17.85546875" style="42" bestFit="1" customWidth="1"/>
    <col min="4" max="4" width="48.5703125" style="42" customWidth="1"/>
    <col min="5" max="5" width="9.140625" style="42"/>
    <col min="6" max="6" width="8.5703125" style="42" bestFit="1" customWidth="1"/>
    <col min="7" max="7" width="6.5703125" style="42" customWidth="1"/>
    <col min="8" max="8" width="5" style="42" bestFit="1" customWidth="1"/>
    <col min="9" max="9" width="4" style="42" bestFit="1" customWidth="1"/>
    <col min="10" max="10" width="9.85546875" style="42" customWidth="1"/>
    <col min="11" max="11" width="8" style="42" bestFit="1" customWidth="1"/>
    <col min="12" max="12" width="9.85546875" style="42" bestFit="1" customWidth="1"/>
    <col min="13" max="13" width="9" style="42" hidden="1" customWidth="1"/>
    <col min="14" max="47" width="6" style="42" hidden="1" customWidth="1"/>
    <col min="48" max="48" width="6" style="42" bestFit="1" customWidth="1"/>
    <col min="49" max="49" width="9.140625" style="42"/>
    <col min="50" max="50" width="19.140625" style="42" hidden="1" customWidth="1"/>
    <col min="51" max="51" width="17.28515625" style="42" hidden="1" customWidth="1"/>
    <col min="52" max="52" width="21.7109375" style="42" hidden="1" customWidth="1"/>
    <col min="53" max="53" width="26.5703125" style="42" hidden="1" customWidth="1"/>
    <col min="54" max="54" width="12.28515625" style="42" bestFit="1" customWidth="1"/>
    <col min="55" max="55" width="17" style="42" customWidth="1"/>
    <col min="56" max="56" width="21" style="42" customWidth="1"/>
    <col min="57" max="57" width="11.85546875" style="42" bestFit="1" customWidth="1"/>
    <col min="58" max="58" width="26.5703125" style="42" bestFit="1" customWidth="1"/>
    <col min="59" max="16384" width="9.140625" style="42"/>
  </cols>
  <sheetData>
    <row r="2" spans="2:58" ht="18" x14ac:dyDescent="0.25">
      <c r="B2" s="123" t="s">
        <v>312</v>
      </c>
      <c r="AY2" s="63"/>
    </row>
    <row r="3" spans="2:58" ht="13.5" thickBot="1" x14ac:dyDescent="0.25"/>
    <row r="4" spans="2:58" ht="16.5" thickBot="1" x14ac:dyDescent="0.3">
      <c r="B4" s="46" t="s">
        <v>311</v>
      </c>
      <c r="C4" s="46" t="s">
        <v>310</v>
      </c>
      <c r="F4" s="603" t="s">
        <v>309</v>
      </c>
      <c r="G4" s="604"/>
      <c r="H4" s="604"/>
      <c r="I4" s="604"/>
      <c r="J4" s="604"/>
      <c r="K4" s="604"/>
      <c r="L4" s="604"/>
      <c r="M4" s="604"/>
      <c r="N4" s="604"/>
      <c r="O4" s="604"/>
      <c r="P4" s="604"/>
      <c r="Q4" s="604"/>
      <c r="R4" s="604"/>
      <c r="S4" s="604"/>
      <c r="T4" s="604"/>
      <c r="U4" s="604"/>
      <c r="V4" s="604"/>
      <c r="W4" s="604"/>
      <c r="X4" s="604"/>
      <c r="Y4" s="604"/>
      <c r="Z4" s="604"/>
      <c r="AA4" s="604"/>
      <c r="AB4" s="604"/>
      <c r="AC4" s="604"/>
      <c r="AD4" s="604"/>
      <c r="AE4" s="604"/>
      <c r="AF4" s="604"/>
      <c r="AG4" s="604"/>
      <c r="AH4" s="604"/>
      <c r="AI4" s="604"/>
      <c r="AJ4" s="604"/>
      <c r="AK4" s="604"/>
      <c r="AL4" s="604"/>
      <c r="AM4" s="604"/>
      <c r="AN4" s="604"/>
      <c r="AO4" s="604"/>
      <c r="AP4" s="604"/>
      <c r="AQ4" s="604"/>
      <c r="AR4" s="604"/>
      <c r="AS4" s="604"/>
      <c r="AT4" s="604"/>
      <c r="AU4" s="604"/>
      <c r="AV4" s="604"/>
      <c r="AW4" s="605"/>
    </row>
    <row r="5" spans="2:58" ht="39" thickBot="1" x14ac:dyDescent="0.25">
      <c r="B5" s="42" t="s">
        <v>308</v>
      </c>
      <c r="F5" s="112" t="s">
        <v>82</v>
      </c>
      <c r="G5" s="122" t="s">
        <v>81</v>
      </c>
      <c r="H5" s="600" t="s">
        <v>80</v>
      </c>
      <c r="I5" s="601"/>
      <c r="J5" s="594" t="s">
        <v>79</v>
      </c>
      <c r="K5" s="595"/>
      <c r="L5" s="602" t="s">
        <v>78</v>
      </c>
      <c r="M5" s="602"/>
      <c r="N5" s="602"/>
      <c r="O5" s="602"/>
      <c r="P5" s="602"/>
      <c r="Q5" s="602"/>
      <c r="R5" s="602"/>
      <c r="S5" s="602"/>
      <c r="T5" s="602"/>
      <c r="U5" s="602"/>
      <c r="V5" s="602"/>
      <c r="W5" s="602"/>
      <c r="X5" s="602"/>
      <c r="Y5" s="602"/>
      <c r="Z5" s="602"/>
      <c r="AA5" s="602"/>
      <c r="AB5" s="602"/>
      <c r="AC5" s="602"/>
      <c r="AD5" s="602"/>
      <c r="AE5" s="602"/>
      <c r="AF5" s="602"/>
      <c r="AG5" s="602"/>
      <c r="AH5" s="602"/>
      <c r="AI5" s="602"/>
      <c r="AJ5" s="602"/>
      <c r="AK5" s="602"/>
      <c r="AL5" s="602"/>
      <c r="AM5" s="602"/>
      <c r="AN5" s="602"/>
      <c r="AO5" s="602"/>
      <c r="AP5" s="602"/>
      <c r="AQ5" s="602"/>
      <c r="AR5" s="602"/>
      <c r="AS5" s="602"/>
      <c r="AT5" s="602"/>
      <c r="AU5" s="602"/>
      <c r="AV5" s="602"/>
      <c r="AW5" s="596" t="s">
        <v>77</v>
      </c>
      <c r="AX5" s="590" t="s">
        <v>305</v>
      </c>
      <c r="AY5" s="591"/>
      <c r="AZ5" s="591"/>
      <c r="BA5" s="592"/>
      <c r="BB5" s="590" t="s">
        <v>304</v>
      </c>
      <c r="BC5" s="591"/>
      <c r="BD5" s="591"/>
      <c r="BE5" s="591"/>
      <c r="BF5" s="592"/>
    </row>
    <row r="6" spans="2:58" ht="39" thickBot="1" x14ac:dyDescent="0.25">
      <c r="B6" s="42" t="s">
        <v>263</v>
      </c>
      <c r="F6" s="121"/>
      <c r="G6" s="91"/>
      <c r="H6" s="91"/>
      <c r="I6" s="90"/>
      <c r="J6" s="120" t="s">
        <v>75</v>
      </c>
      <c r="K6" s="119" t="s">
        <v>74</v>
      </c>
      <c r="L6" s="118" t="s">
        <v>75</v>
      </c>
      <c r="M6" s="117" t="s">
        <v>74</v>
      </c>
      <c r="N6" s="116">
        <v>1.6</v>
      </c>
      <c r="O6" s="115">
        <v>1.7</v>
      </c>
      <c r="P6" s="115">
        <v>1.8</v>
      </c>
      <c r="Q6" s="115">
        <v>1.9</v>
      </c>
      <c r="R6" s="115">
        <v>2</v>
      </c>
      <c r="S6" s="115">
        <v>2.1</v>
      </c>
      <c r="T6" s="115">
        <v>2.2000000000000002</v>
      </c>
      <c r="U6" s="115">
        <v>2.2999999999999998</v>
      </c>
      <c r="V6" s="115">
        <v>2.4</v>
      </c>
      <c r="W6" s="115">
        <v>2.5</v>
      </c>
      <c r="X6" s="115">
        <v>2.6</v>
      </c>
      <c r="Y6" s="115">
        <v>2.7</v>
      </c>
      <c r="Z6" s="115">
        <v>2.8</v>
      </c>
      <c r="AA6" s="115">
        <v>2.9</v>
      </c>
      <c r="AB6" s="115">
        <v>3</v>
      </c>
      <c r="AC6" s="115">
        <v>3.1</v>
      </c>
      <c r="AD6" s="115">
        <v>3.2</v>
      </c>
      <c r="AE6" s="115">
        <v>3.3</v>
      </c>
      <c r="AF6" s="115">
        <v>3.4</v>
      </c>
      <c r="AG6" s="115">
        <v>3.5</v>
      </c>
      <c r="AH6" s="115">
        <v>3.6</v>
      </c>
      <c r="AI6" s="115">
        <v>3.7</v>
      </c>
      <c r="AJ6" s="115">
        <v>3.8</v>
      </c>
      <c r="AK6" s="115">
        <v>3.9</v>
      </c>
      <c r="AL6" s="115">
        <v>4</v>
      </c>
      <c r="AM6" s="115">
        <v>4.0999999999999996</v>
      </c>
      <c r="AN6" s="115">
        <v>4.2</v>
      </c>
      <c r="AO6" s="115">
        <v>4.3</v>
      </c>
      <c r="AP6" s="115">
        <v>4.4000000000000004</v>
      </c>
      <c r="AQ6" s="115">
        <v>4.5</v>
      </c>
      <c r="AR6" s="115">
        <v>4.5999999999999996</v>
      </c>
      <c r="AS6" s="115">
        <v>4.7</v>
      </c>
      <c r="AT6" s="115">
        <v>4.8</v>
      </c>
      <c r="AU6" s="115">
        <v>4.9000000000000004</v>
      </c>
      <c r="AV6" s="115">
        <v>5</v>
      </c>
      <c r="AW6" s="597"/>
      <c r="AX6" s="114" t="s">
        <v>259</v>
      </c>
      <c r="AY6" s="114" t="s">
        <v>258</v>
      </c>
      <c r="AZ6" s="114" t="s">
        <v>257</v>
      </c>
      <c r="BA6" s="113" t="s">
        <v>260</v>
      </c>
      <c r="BB6" s="114" t="s">
        <v>259</v>
      </c>
      <c r="BC6" s="114" t="s">
        <v>258</v>
      </c>
      <c r="BD6" s="114" t="s">
        <v>257</v>
      </c>
      <c r="BE6" s="114" t="s">
        <v>256</v>
      </c>
      <c r="BF6" s="113" t="s">
        <v>255</v>
      </c>
    </row>
    <row r="7" spans="2:58" ht="12.75" customHeight="1" x14ac:dyDescent="0.2">
      <c r="B7" s="42" t="s">
        <v>254</v>
      </c>
      <c r="F7" s="606">
        <v>127</v>
      </c>
      <c r="G7" s="599">
        <v>10</v>
      </c>
      <c r="H7" s="111">
        <v>0.8</v>
      </c>
      <c r="I7" s="110">
        <v>1.6</v>
      </c>
      <c r="J7" s="100"/>
      <c r="K7" s="99"/>
      <c r="L7" s="98">
        <v>6</v>
      </c>
      <c r="M7" s="85">
        <v>5500</v>
      </c>
      <c r="N7" s="85" t="e">
        <f>IF(SchmidtTheory!N105&gt;ActuatorSIZING!$G$44,SchmidtTheory!N105,"")</f>
        <v>#VALUE!</v>
      </c>
      <c r="O7" s="85" t="e">
        <f>IF(SchmidtTheory!O105&gt;ActuatorSIZING!$G$44,SchmidtTheory!O105,"")</f>
        <v>#VALUE!</v>
      </c>
      <c r="P7" s="85" t="e">
        <f>IF(SchmidtTheory!P105&gt;ActuatorSIZING!$G$44,SchmidtTheory!P105,"")</f>
        <v>#VALUE!</v>
      </c>
      <c r="Q7" s="85" t="e">
        <f>IF(SchmidtTheory!Q105&gt;ActuatorSIZING!$G$44,SchmidtTheory!Q105,"")</f>
        <v>#VALUE!</v>
      </c>
      <c r="R7" s="85" t="e">
        <f>IF(SchmidtTheory!R105&gt;ActuatorSIZING!$G$44,SchmidtTheory!R105,"")</f>
        <v>#VALUE!</v>
      </c>
      <c r="S7" s="85" t="e">
        <f>IF(SchmidtTheory!S105&gt;ActuatorSIZING!$G$44,SchmidtTheory!S105,"")</f>
        <v>#VALUE!</v>
      </c>
      <c r="T7" s="85" t="e">
        <f>IF(SchmidtTheory!T105&gt;ActuatorSIZING!$G$44,SchmidtTheory!T105,"")</f>
        <v>#VALUE!</v>
      </c>
      <c r="U7" s="85" t="e">
        <f>IF(SchmidtTheory!U105&gt;ActuatorSIZING!$G$44,SchmidtTheory!U105,"")</f>
        <v>#VALUE!</v>
      </c>
      <c r="V7" s="85" t="e">
        <f>IF(SchmidtTheory!V105&gt;ActuatorSIZING!$G$44,SchmidtTheory!V105,"")</f>
        <v>#VALUE!</v>
      </c>
      <c r="W7" s="85" t="e">
        <f>IF(SchmidtTheory!W105&gt;ActuatorSIZING!$G$44,SchmidtTheory!W105,"")</f>
        <v>#VALUE!</v>
      </c>
      <c r="X7" s="85" t="e">
        <f>IF(SchmidtTheory!X105&gt;ActuatorSIZING!$G$44,SchmidtTheory!X105,"")</f>
        <v>#VALUE!</v>
      </c>
      <c r="Y7" s="85" t="e">
        <f>IF(SchmidtTheory!Y105&gt;ActuatorSIZING!$G$44,SchmidtTheory!Y105,"")</f>
        <v>#VALUE!</v>
      </c>
      <c r="Z7" s="85" t="e">
        <f>IF(SchmidtTheory!Z105&gt;ActuatorSIZING!$G$44,SchmidtTheory!Z105,"")</f>
        <v>#VALUE!</v>
      </c>
      <c r="AA7" s="85" t="e">
        <f>IF(SchmidtTheory!AA105&gt;ActuatorSIZING!$G$44,SchmidtTheory!AA105,"")</f>
        <v>#VALUE!</v>
      </c>
      <c r="AB7" s="85" t="e">
        <f>IF(SchmidtTheory!AB105&gt;ActuatorSIZING!$G$44,SchmidtTheory!AB105,"")</f>
        <v>#VALUE!</v>
      </c>
      <c r="AC7" s="85" t="e">
        <f>IF(SchmidtTheory!AC105&gt;ActuatorSIZING!$G$44,SchmidtTheory!AC105,"")</f>
        <v>#VALUE!</v>
      </c>
      <c r="AD7" s="85" t="e">
        <f>IF(SchmidtTheory!AD105&gt;ActuatorSIZING!$G$44,SchmidtTheory!AD105,"")</f>
        <v>#VALUE!</v>
      </c>
      <c r="AE7" s="85" t="e">
        <f>IF(SchmidtTheory!AE105&gt;ActuatorSIZING!$G$44,SchmidtTheory!AE105,"")</f>
        <v>#VALUE!</v>
      </c>
      <c r="AF7" s="85" t="e">
        <f>IF(SchmidtTheory!AF105&gt;ActuatorSIZING!$G$44,SchmidtTheory!AF105,"")</f>
        <v>#VALUE!</v>
      </c>
      <c r="AG7" s="85" t="e">
        <f>IF(SchmidtTheory!AG105&gt;ActuatorSIZING!$G$44,SchmidtTheory!AG105,"")</f>
        <v>#VALUE!</v>
      </c>
      <c r="AH7" s="85" t="e">
        <f>IF(SchmidtTheory!AH105&gt;ActuatorSIZING!$G$44,SchmidtTheory!AH105,"")</f>
        <v>#VALUE!</v>
      </c>
      <c r="AI7" s="85" t="e">
        <f>IF(SchmidtTheory!AI105&gt;ActuatorSIZING!$G$44,SchmidtTheory!AI105,"")</f>
        <v>#VALUE!</v>
      </c>
      <c r="AJ7" s="85" t="e">
        <f>IF(SchmidtTheory!AJ105&gt;ActuatorSIZING!$G$44,SchmidtTheory!AJ105,"")</f>
        <v>#VALUE!</v>
      </c>
      <c r="AK7" s="85" t="e">
        <f>IF(SchmidtTheory!AK105&gt;ActuatorSIZING!$G$44,SchmidtTheory!AK105,"")</f>
        <v>#VALUE!</v>
      </c>
      <c r="AL7" s="85" t="e">
        <f>IF(SchmidtTheory!AL105&gt;ActuatorSIZING!$G$44,SchmidtTheory!AL105,"")</f>
        <v>#VALUE!</v>
      </c>
      <c r="AM7" s="85" t="e">
        <f>IF(SchmidtTheory!AM105&gt;ActuatorSIZING!$G$44,SchmidtTheory!AM105,"")</f>
        <v>#VALUE!</v>
      </c>
      <c r="AN7" s="85" t="e">
        <f>IF(SchmidtTheory!AN105&gt;ActuatorSIZING!$G$44,SchmidtTheory!AN105,"")</f>
        <v>#VALUE!</v>
      </c>
      <c r="AO7" s="85" t="e">
        <f>IF(SchmidtTheory!AO105&gt;ActuatorSIZING!$G$44,SchmidtTheory!AO105,"")</f>
        <v>#VALUE!</v>
      </c>
      <c r="AP7" s="85" t="e">
        <f>IF(SchmidtTheory!AP105&gt;ActuatorSIZING!$G$44,SchmidtTheory!AP105,"")</f>
        <v>#VALUE!</v>
      </c>
      <c r="AQ7" s="85" t="e">
        <f>IF(SchmidtTheory!AQ105&gt;ActuatorSIZING!$G$44,SchmidtTheory!AQ105,"")</f>
        <v>#VALUE!</v>
      </c>
      <c r="AR7" s="85" t="e">
        <f>IF(SchmidtTheory!AR105&gt;ActuatorSIZING!$G$44,SchmidtTheory!AR105,"")</f>
        <v>#VALUE!</v>
      </c>
      <c r="AS7" s="85" t="e">
        <f>IF(SchmidtTheory!AS105&gt;ActuatorSIZING!$G$44,SchmidtTheory!AS105,"")</f>
        <v>#VALUE!</v>
      </c>
      <c r="AT7" s="85" t="e">
        <f>IF(SchmidtTheory!AT105&gt;ActuatorSIZING!$G$44,SchmidtTheory!AT105,"")</f>
        <v>#VALUE!</v>
      </c>
      <c r="AU7" s="85" t="e">
        <f>IF(SchmidtTheory!AU105&gt;ActuatorSIZING!$G$44,SchmidtTheory!AU105,"")</f>
        <v>#VALUE!</v>
      </c>
      <c r="AV7" s="85" t="e">
        <f>IF(SchmidtTheory!AV105&gt;ActuatorSIZING!$G$44,SchmidtTheory!AV105,"")</f>
        <v>#VALUE!</v>
      </c>
      <c r="AW7" s="109">
        <v>1000</v>
      </c>
      <c r="AX7" s="93" t="e">
        <f>IF(AW7&gt;ActuatorSIZING!$G$44,SchmidtTheory!AW7,"")</f>
        <v>#VALUE!</v>
      </c>
      <c r="AY7" s="93" t="str">
        <f>IF(SELECTION!$P$46=SchmidtTheory!G7,SchmidtTheory!AX7,"")</f>
        <v/>
      </c>
      <c r="AZ7" s="93" t="str">
        <f>IF(SELECTION!$AJ$24&gt;(I7+0.3),SchmidtTheory!AY7,"")</f>
        <v/>
      </c>
      <c r="BA7" s="108" t="s">
        <v>251</v>
      </c>
      <c r="BB7" s="93" t="e">
        <f>SMALL(N7:AV7,1)</f>
        <v>#VALUE!</v>
      </c>
      <c r="BC7" s="93" t="str">
        <f>IF(SELECTION!$P$46=SchmidtTheory!G7,SchmidtTheory!BB7,"")</f>
        <v/>
      </c>
      <c r="BD7" s="93" t="str">
        <f>IF(SELECTION!$AJ$24&gt;(I7+0.3),SchmidtTheory!BC7,"")</f>
        <v/>
      </c>
      <c r="BE7" s="93" t="b">
        <f t="shared" ref="BE7:BE38" si="0">ISNUMBER(BD7)</f>
        <v>0</v>
      </c>
      <c r="BF7" s="108" t="s">
        <v>251</v>
      </c>
    </row>
    <row r="8" spans="2:58" ht="12.75" customHeight="1" x14ac:dyDescent="0.2">
      <c r="B8" s="42" t="s">
        <v>250</v>
      </c>
      <c r="F8" s="589"/>
      <c r="G8" s="593"/>
      <c r="H8" s="102">
        <v>1.4</v>
      </c>
      <c r="I8" s="101">
        <v>2.4</v>
      </c>
      <c r="J8" s="100"/>
      <c r="K8" s="99"/>
      <c r="L8" s="98">
        <v>6</v>
      </c>
      <c r="M8" s="97">
        <v>4500</v>
      </c>
      <c r="N8" s="85" t="e">
        <f>IF(SchmidtTheory!N106&gt;ActuatorSIZING!$G$44,SchmidtTheory!N106,"")</f>
        <v>#VALUE!</v>
      </c>
      <c r="O8" s="85" t="e">
        <f>IF(SchmidtTheory!O106&gt;ActuatorSIZING!$G$44,SchmidtTheory!O106,"")</f>
        <v>#VALUE!</v>
      </c>
      <c r="P8" s="85" t="e">
        <f>IF(SchmidtTheory!P106&gt;ActuatorSIZING!$G$44,SchmidtTheory!P106,"")</f>
        <v>#VALUE!</v>
      </c>
      <c r="Q8" s="85" t="e">
        <f>IF(SchmidtTheory!Q106&gt;ActuatorSIZING!$G$44,SchmidtTheory!Q106,"")</f>
        <v>#VALUE!</v>
      </c>
      <c r="R8" s="85" t="e">
        <f>IF(SchmidtTheory!R106&gt;ActuatorSIZING!$G$44,SchmidtTheory!R106,"")</f>
        <v>#VALUE!</v>
      </c>
      <c r="S8" s="85" t="e">
        <f>IF(SchmidtTheory!S106&gt;ActuatorSIZING!$G$44,SchmidtTheory!S106,"")</f>
        <v>#VALUE!</v>
      </c>
      <c r="T8" s="85" t="e">
        <f>IF(SchmidtTheory!T106&gt;ActuatorSIZING!$G$44,SchmidtTheory!T106,"")</f>
        <v>#VALUE!</v>
      </c>
      <c r="U8" s="85" t="e">
        <f>IF(SchmidtTheory!U106&gt;ActuatorSIZING!$G$44,SchmidtTheory!U106,"")</f>
        <v>#VALUE!</v>
      </c>
      <c r="V8" s="85" t="e">
        <f>IF(SchmidtTheory!V106&gt;ActuatorSIZING!$G$44,SchmidtTheory!V106,"")</f>
        <v>#VALUE!</v>
      </c>
      <c r="W8" s="85" t="e">
        <f>IF(SchmidtTheory!W106&gt;ActuatorSIZING!$G$44,SchmidtTheory!W106,"")</f>
        <v>#VALUE!</v>
      </c>
      <c r="X8" s="85" t="e">
        <f>IF(SchmidtTheory!X106&gt;ActuatorSIZING!$G$44,SchmidtTheory!X106,"")</f>
        <v>#VALUE!</v>
      </c>
      <c r="Y8" s="85" t="e">
        <f>IF(SchmidtTheory!Y106&gt;ActuatorSIZING!$G$44,SchmidtTheory!Y106,"")</f>
        <v>#VALUE!</v>
      </c>
      <c r="Z8" s="85" t="e">
        <f>IF(SchmidtTheory!Z106&gt;ActuatorSIZING!$G$44,SchmidtTheory!Z106,"")</f>
        <v>#VALUE!</v>
      </c>
      <c r="AA8" s="85" t="e">
        <f>IF(SchmidtTheory!AA106&gt;ActuatorSIZING!$G$44,SchmidtTheory!AA106,"")</f>
        <v>#VALUE!</v>
      </c>
      <c r="AB8" s="85" t="e">
        <f>IF(SchmidtTheory!AB106&gt;ActuatorSIZING!$G$44,SchmidtTheory!AB106,"")</f>
        <v>#VALUE!</v>
      </c>
      <c r="AC8" s="85" t="e">
        <f>IF(SchmidtTheory!AC106&gt;ActuatorSIZING!$G$44,SchmidtTheory!AC106,"")</f>
        <v>#VALUE!</v>
      </c>
      <c r="AD8" s="85" t="e">
        <f>IF(SchmidtTheory!AD106&gt;ActuatorSIZING!$G$44,SchmidtTheory!AD106,"")</f>
        <v>#VALUE!</v>
      </c>
      <c r="AE8" s="85" t="e">
        <f>IF(SchmidtTheory!AE106&gt;ActuatorSIZING!$G$44,SchmidtTheory!AE106,"")</f>
        <v>#VALUE!</v>
      </c>
      <c r="AF8" s="85" t="e">
        <f>IF(SchmidtTheory!AF106&gt;ActuatorSIZING!$G$44,SchmidtTheory!AF106,"")</f>
        <v>#VALUE!</v>
      </c>
      <c r="AG8" s="85" t="e">
        <f>IF(SchmidtTheory!AG106&gt;ActuatorSIZING!$G$44,SchmidtTheory!AG106,"")</f>
        <v>#VALUE!</v>
      </c>
      <c r="AH8" s="85" t="e">
        <f>IF(SchmidtTheory!AH106&gt;ActuatorSIZING!$G$44,SchmidtTheory!AH106,"")</f>
        <v>#VALUE!</v>
      </c>
      <c r="AI8" s="85" t="e">
        <f>IF(SchmidtTheory!AI106&gt;ActuatorSIZING!$G$44,SchmidtTheory!AI106,"")</f>
        <v>#VALUE!</v>
      </c>
      <c r="AJ8" s="85" t="e">
        <f>IF(SchmidtTheory!AJ106&gt;ActuatorSIZING!$G$44,SchmidtTheory!AJ106,"")</f>
        <v>#VALUE!</v>
      </c>
      <c r="AK8" s="85" t="e">
        <f>IF(SchmidtTheory!AK106&gt;ActuatorSIZING!$G$44,SchmidtTheory!AK106,"")</f>
        <v>#VALUE!</v>
      </c>
      <c r="AL8" s="85" t="e">
        <f>IF(SchmidtTheory!AL106&gt;ActuatorSIZING!$G$44,SchmidtTheory!AL106,"")</f>
        <v>#VALUE!</v>
      </c>
      <c r="AM8" s="85" t="e">
        <f>IF(SchmidtTheory!AM106&gt;ActuatorSIZING!$G$44,SchmidtTheory!AM106,"")</f>
        <v>#VALUE!</v>
      </c>
      <c r="AN8" s="85" t="e">
        <f>IF(SchmidtTheory!AN106&gt;ActuatorSIZING!$G$44,SchmidtTheory!AN106,"")</f>
        <v>#VALUE!</v>
      </c>
      <c r="AO8" s="85" t="e">
        <f>IF(SchmidtTheory!AO106&gt;ActuatorSIZING!$G$44,SchmidtTheory!AO106,"")</f>
        <v>#VALUE!</v>
      </c>
      <c r="AP8" s="85" t="e">
        <f>IF(SchmidtTheory!AP106&gt;ActuatorSIZING!$G$44,SchmidtTheory!AP106,"")</f>
        <v>#VALUE!</v>
      </c>
      <c r="AQ8" s="85" t="e">
        <f>IF(SchmidtTheory!AQ106&gt;ActuatorSIZING!$G$44,SchmidtTheory!AQ106,"")</f>
        <v>#VALUE!</v>
      </c>
      <c r="AR8" s="85" t="e">
        <f>IF(SchmidtTheory!AR106&gt;ActuatorSIZING!$G$44,SchmidtTheory!AR106,"")</f>
        <v>#VALUE!</v>
      </c>
      <c r="AS8" s="85" t="e">
        <f>IF(SchmidtTheory!AS106&gt;ActuatorSIZING!$G$44,SchmidtTheory!AS106,"")</f>
        <v>#VALUE!</v>
      </c>
      <c r="AT8" s="85" t="e">
        <f>IF(SchmidtTheory!AT106&gt;ActuatorSIZING!$G$44,SchmidtTheory!AT106,"")</f>
        <v>#VALUE!</v>
      </c>
      <c r="AU8" s="85" t="e">
        <f>IF(SchmidtTheory!AU106&gt;ActuatorSIZING!$G$44,SchmidtTheory!AU106,"")</f>
        <v>#VALUE!</v>
      </c>
      <c r="AV8" s="85" t="e">
        <f>IF(SchmidtTheory!AV106&gt;ActuatorSIZING!$G$44,SchmidtTheory!AV106,"")</f>
        <v>#VALUE!</v>
      </c>
      <c r="AW8" s="96">
        <v>1750</v>
      </c>
      <c r="AX8" s="93" t="e">
        <f>IF(AW8&gt;ActuatorSIZING!$G$44,SchmidtTheory!AW8,"")</f>
        <v>#VALUE!</v>
      </c>
      <c r="AY8" s="93" t="str">
        <f>IF(SELECTION!$P$46=SchmidtTheory!G7,SchmidtTheory!AX8,"")</f>
        <v/>
      </c>
      <c r="AZ8" s="93" t="str">
        <f>IF(SELECTION!$AJ$24&gt;(I8+0.3),SchmidtTheory!AY8,"")</f>
        <v/>
      </c>
      <c r="BA8" s="103" t="s">
        <v>247</v>
      </c>
      <c r="BB8" s="94"/>
      <c r="BC8" s="93" t="str">
        <f>IF(SELECTION!$P$46=SchmidtTheory!G7,SchmidtTheory!BB8,"")</f>
        <v/>
      </c>
      <c r="BD8" s="93" t="str">
        <f>IF(SELECTION!$AJ$24&gt;(I8+0.3),SchmidtTheory!BC8,"")</f>
        <v/>
      </c>
      <c r="BE8" s="93" t="b">
        <f t="shared" si="0"/>
        <v>0</v>
      </c>
      <c r="BF8" s="103" t="s">
        <v>247</v>
      </c>
    </row>
    <row r="9" spans="2:58" ht="12.75" customHeight="1" x14ac:dyDescent="0.2">
      <c r="B9" s="42" t="s">
        <v>246</v>
      </c>
      <c r="F9" s="589"/>
      <c r="G9" s="593"/>
      <c r="H9" s="102">
        <v>2.7</v>
      </c>
      <c r="I9" s="101">
        <v>4.0999999999999996</v>
      </c>
      <c r="J9" s="100"/>
      <c r="K9" s="99"/>
      <c r="L9" s="98">
        <v>6</v>
      </c>
      <c r="M9" s="97">
        <v>2375</v>
      </c>
      <c r="N9" s="85" t="e">
        <f>IF(SchmidtTheory!N107&gt;ActuatorSIZING!$G$44,SchmidtTheory!N107,"")</f>
        <v>#VALUE!</v>
      </c>
      <c r="O9" s="85" t="e">
        <f>IF(SchmidtTheory!O107&gt;ActuatorSIZING!$G$44,SchmidtTheory!O107,"")</f>
        <v>#VALUE!</v>
      </c>
      <c r="P9" s="85" t="e">
        <f>IF(SchmidtTheory!P107&gt;ActuatorSIZING!$G$44,SchmidtTheory!P107,"")</f>
        <v>#VALUE!</v>
      </c>
      <c r="Q9" s="85" t="e">
        <f>IF(SchmidtTheory!Q107&gt;ActuatorSIZING!$G$44,SchmidtTheory!Q107,"")</f>
        <v>#VALUE!</v>
      </c>
      <c r="R9" s="85" t="e">
        <f>IF(SchmidtTheory!R107&gt;ActuatorSIZING!$G$44,SchmidtTheory!R107,"")</f>
        <v>#VALUE!</v>
      </c>
      <c r="S9" s="85" t="e">
        <f>IF(SchmidtTheory!S107&gt;ActuatorSIZING!$G$44,SchmidtTheory!S107,"")</f>
        <v>#VALUE!</v>
      </c>
      <c r="T9" s="85" t="e">
        <f>IF(SchmidtTheory!T107&gt;ActuatorSIZING!$G$44,SchmidtTheory!T107,"")</f>
        <v>#VALUE!</v>
      </c>
      <c r="U9" s="85" t="e">
        <f>IF(SchmidtTheory!U107&gt;ActuatorSIZING!$G$44,SchmidtTheory!U107,"")</f>
        <v>#VALUE!</v>
      </c>
      <c r="V9" s="85" t="e">
        <f>IF(SchmidtTheory!V107&gt;ActuatorSIZING!$G$44,SchmidtTheory!V107,"")</f>
        <v>#VALUE!</v>
      </c>
      <c r="W9" s="85" t="e">
        <f>IF(SchmidtTheory!W107&gt;ActuatorSIZING!$G$44,SchmidtTheory!W107,"")</f>
        <v>#VALUE!</v>
      </c>
      <c r="X9" s="85" t="e">
        <f>IF(SchmidtTheory!X107&gt;ActuatorSIZING!$G$44,SchmidtTheory!X107,"")</f>
        <v>#VALUE!</v>
      </c>
      <c r="Y9" s="85" t="e">
        <f>IF(SchmidtTheory!Y107&gt;ActuatorSIZING!$G$44,SchmidtTheory!Y107,"")</f>
        <v>#VALUE!</v>
      </c>
      <c r="Z9" s="85" t="e">
        <f>IF(SchmidtTheory!Z107&gt;ActuatorSIZING!$G$44,SchmidtTheory!Z107,"")</f>
        <v>#VALUE!</v>
      </c>
      <c r="AA9" s="85" t="e">
        <f>IF(SchmidtTheory!AA107&gt;ActuatorSIZING!$G$44,SchmidtTheory!AA107,"")</f>
        <v>#VALUE!</v>
      </c>
      <c r="AB9" s="85" t="e">
        <f>IF(SchmidtTheory!AB107&gt;ActuatorSIZING!$G$44,SchmidtTheory!AB107,"")</f>
        <v>#VALUE!</v>
      </c>
      <c r="AC9" s="85" t="e">
        <f>IF(SchmidtTheory!AC107&gt;ActuatorSIZING!$G$44,SchmidtTheory!AC107,"")</f>
        <v>#VALUE!</v>
      </c>
      <c r="AD9" s="85" t="e">
        <f>IF(SchmidtTheory!AD107&gt;ActuatorSIZING!$G$44,SchmidtTheory!AD107,"")</f>
        <v>#VALUE!</v>
      </c>
      <c r="AE9" s="85" t="e">
        <f>IF(SchmidtTheory!AE107&gt;ActuatorSIZING!$G$44,SchmidtTheory!AE107,"")</f>
        <v>#VALUE!</v>
      </c>
      <c r="AF9" s="85" t="e">
        <f>IF(SchmidtTheory!AF107&gt;ActuatorSIZING!$G$44,SchmidtTheory!AF107,"")</f>
        <v>#VALUE!</v>
      </c>
      <c r="AG9" s="85" t="e">
        <f>IF(SchmidtTheory!AG107&gt;ActuatorSIZING!$G$44,SchmidtTheory!AG107,"")</f>
        <v>#VALUE!</v>
      </c>
      <c r="AH9" s="85" t="e">
        <f>IF(SchmidtTheory!AH107&gt;ActuatorSIZING!$G$44,SchmidtTheory!AH107,"")</f>
        <v>#VALUE!</v>
      </c>
      <c r="AI9" s="85" t="e">
        <f>IF(SchmidtTheory!AI107&gt;ActuatorSIZING!$G$44,SchmidtTheory!AI107,"")</f>
        <v>#VALUE!</v>
      </c>
      <c r="AJ9" s="85" t="e">
        <f>IF(SchmidtTheory!AJ107&gt;ActuatorSIZING!$G$44,SchmidtTheory!AJ107,"")</f>
        <v>#VALUE!</v>
      </c>
      <c r="AK9" s="85" t="e">
        <f>IF(SchmidtTheory!AK107&gt;ActuatorSIZING!$G$44,SchmidtTheory!AK107,"")</f>
        <v>#VALUE!</v>
      </c>
      <c r="AL9" s="85" t="e">
        <f>IF(SchmidtTheory!AL107&gt;ActuatorSIZING!$G$44,SchmidtTheory!AL107,"")</f>
        <v>#VALUE!</v>
      </c>
      <c r="AM9" s="85" t="e">
        <f>IF(SchmidtTheory!AM107&gt;ActuatorSIZING!$G$44,SchmidtTheory!AM107,"")</f>
        <v>#VALUE!</v>
      </c>
      <c r="AN9" s="85" t="e">
        <f>IF(SchmidtTheory!AN107&gt;ActuatorSIZING!$G$44,SchmidtTheory!AN107,"")</f>
        <v>#VALUE!</v>
      </c>
      <c r="AO9" s="85" t="e">
        <f>IF(SchmidtTheory!AO107&gt;ActuatorSIZING!$G$44,SchmidtTheory!AO107,"")</f>
        <v>#VALUE!</v>
      </c>
      <c r="AP9" s="85" t="e">
        <f>IF(SchmidtTheory!AP107&gt;ActuatorSIZING!$G$44,SchmidtTheory!AP107,"")</f>
        <v>#VALUE!</v>
      </c>
      <c r="AQ9" s="85" t="e">
        <f>IF(SchmidtTheory!AQ107&gt;ActuatorSIZING!$G$44,SchmidtTheory!AQ107,"")</f>
        <v>#VALUE!</v>
      </c>
      <c r="AR9" s="85" t="e">
        <f>IF(SchmidtTheory!AR107&gt;ActuatorSIZING!$G$44,SchmidtTheory!AR107,"")</f>
        <v>#VALUE!</v>
      </c>
      <c r="AS9" s="85" t="e">
        <f>IF(SchmidtTheory!AS107&gt;ActuatorSIZING!$G$44,SchmidtTheory!AS107,"")</f>
        <v>#VALUE!</v>
      </c>
      <c r="AT9" s="85" t="e">
        <f>IF(SchmidtTheory!AT107&gt;ActuatorSIZING!$G$44,SchmidtTheory!AT107,"")</f>
        <v>#VALUE!</v>
      </c>
      <c r="AU9" s="85" t="e">
        <f>IF(SchmidtTheory!AU107&gt;ActuatorSIZING!$G$44,SchmidtTheory!AU107,"")</f>
        <v>#VALUE!</v>
      </c>
      <c r="AV9" s="85" t="e">
        <f>IF(SchmidtTheory!AV107&gt;ActuatorSIZING!$G$44,SchmidtTheory!AV107,"")</f>
        <v>#VALUE!</v>
      </c>
      <c r="AW9" s="96">
        <v>3375</v>
      </c>
      <c r="AX9" s="93" t="e">
        <f>IF(AW9&gt;ActuatorSIZING!$G$44,SchmidtTheory!AW9,"")</f>
        <v>#VALUE!</v>
      </c>
      <c r="AY9" s="95" t="str">
        <f>IF(SELECTION!$P$46=SchmidtTheory!G7,SchmidtTheory!AX9,"")</f>
        <v/>
      </c>
      <c r="AZ9" s="93" t="str">
        <f>IF(SELECTION!$AJ$24&gt;(I9+0.3),SchmidtTheory!AY9,"")</f>
        <v/>
      </c>
      <c r="BA9" s="103" t="s">
        <v>243</v>
      </c>
      <c r="BB9" s="94"/>
      <c r="BC9" s="93" t="str">
        <f>IF(SELECTION!$P$46=SchmidtTheory!G7,SchmidtTheory!BB9,"")</f>
        <v/>
      </c>
      <c r="BD9" s="93" t="str">
        <f>IF(SELECTION!$AJ$24&gt;(I9+0.3),SchmidtTheory!BC9,"")</f>
        <v/>
      </c>
      <c r="BE9" s="93" t="b">
        <f t="shared" si="0"/>
        <v>0</v>
      </c>
      <c r="BF9" s="103" t="s">
        <v>243</v>
      </c>
    </row>
    <row r="10" spans="2:58" ht="12.75" customHeight="1" x14ac:dyDescent="0.2">
      <c r="B10" s="42" t="s">
        <v>242</v>
      </c>
      <c r="F10" s="589"/>
      <c r="G10" s="598">
        <v>20</v>
      </c>
      <c r="H10" s="102">
        <v>0.2</v>
      </c>
      <c r="I10" s="101">
        <v>1</v>
      </c>
      <c r="J10" s="100"/>
      <c r="K10" s="99"/>
      <c r="L10" s="98">
        <v>6</v>
      </c>
      <c r="M10" s="97">
        <v>6250</v>
      </c>
      <c r="N10" s="85" t="e">
        <f>IF(SchmidtTheory!N108&gt;ActuatorSIZING!$G$44,SchmidtTheory!N108,"")</f>
        <v>#VALUE!</v>
      </c>
      <c r="O10" s="85" t="e">
        <f>IF(SchmidtTheory!O108&gt;ActuatorSIZING!$G$44,SchmidtTheory!O108,"")</f>
        <v>#VALUE!</v>
      </c>
      <c r="P10" s="85" t="e">
        <f>IF(SchmidtTheory!P108&gt;ActuatorSIZING!$G$44,SchmidtTheory!P108,"")</f>
        <v>#VALUE!</v>
      </c>
      <c r="Q10" s="85" t="e">
        <f>IF(SchmidtTheory!Q108&gt;ActuatorSIZING!$G$44,SchmidtTheory!Q108,"")</f>
        <v>#VALUE!</v>
      </c>
      <c r="R10" s="85" t="e">
        <f>IF(SchmidtTheory!R108&gt;ActuatorSIZING!$G$44,SchmidtTheory!R108,"")</f>
        <v>#VALUE!</v>
      </c>
      <c r="S10" s="85" t="e">
        <f>IF(SchmidtTheory!S108&gt;ActuatorSIZING!$G$44,SchmidtTheory!S108,"")</f>
        <v>#VALUE!</v>
      </c>
      <c r="T10" s="85" t="e">
        <f>IF(SchmidtTheory!T108&gt;ActuatorSIZING!$G$44,SchmidtTheory!T108,"")</f>
        <v>#VALUE!</v>
      </c>
      <c r="U10" s="85" t="e">
        <f>IF(SchmidtTheory!U108&gt;ActuatorSIZING!$G$44,SchmidtTheory!U108,"")</f>
        <v>#VALUE!</v>
      </c>
      <c r="V10" s="85" t="e">
        <f>IF(SchmidtTheory!V108&gt;ActuatorSIZING!$G$44,SchmidtTheory!V108,"")</f>
        <v>#VALUE!</v>
      </c>
      <c r="W10" s="85" t="e">
        <f>IF(SchmidtTheory!W108&gt;ActuatorSIZING!$G$44,SchmidtTheory!W108,"")</f>
        <v>#VALUE!</v>
      </c>
      <c r="X10" s="85" t="e">
        <f>IF(SchmidtTheory!X108&gt;ActuatorSIZING!$G$44,SchmidtTheory!X108,"")</f>
        <v>#VALUE!</v>
      </c>
      <c r="Y10" s="85" t="e">
        <f>IF(SchmidtTheory!Y108&gt;ActuatorSIZING!$G$44,SchmidtTheory!Y108,"")</f>
        <v>#VALUE!</v>
      </c>
      <c r="Z10" s="85" t="e">
        <f>IF(SchmidtTheory!Z108&gt;ActuatorSIZING!$G$44,SchmidtTheory!Z108,"")</f>
        <v>#VALUE!</v>
      </c>
      <c r="AA10" s="85" t="e">
        <f>IF(SchmidtTheory!AA108&gt;ActuatorSIZING!$G$44,SchmidtTheory!AA108,"")</f>
        <v>#VALUE!</v>
      </c>
      <c r="AB10" s="85" t="e">
        <f>IF(SchmidtTheory!AB108&gt;ActuatorSIZING!$G$44,SchmidtTheory!AB108,"")</f>
        <v>#VALUE!</v>
      </c>
      <c r="AC10" s="85" t="e">
        <f>IF(SchmidtTheory!AC108&gt;ActuatorSIZING!$G$44,SchmidtTheory!AC108,"")</f>
        <v>#VALUE!</v>
      </c>
      <c r="AD10" s="85" t="e">
        <f>IF(SchmidtTheory!AD108&gt;ActuatorSIZING!$G$44,SchmidtTheory!AD108,"")</f>
        <v>#VALUE!</v>
      </c>
      <c r="AE10" s="85" t="e">
        <f>IF(SchmidtTheory!AE108&gt;ActuatorSIZING!$G$44,SchmidtTheory!AE108,"")</f>
        <v>#VALUE!</v>
      </c>
      <c r="AF10" s="85" t="e">
        <f>IF(SchmidtTheory!AF108&gt;ActuatorSIZING!$G$44,SchmidtTheory!AF108,"")</f>
        <v>#VALUE!</v>
      </c>
      <c r="AG10" s="85" t="e">
        <f>IF(SchmidtTheory!AG108&gt;ActuatorSIZING!$G$44,SchmidtTheory!AG108,"")</f>
        <v>#VALUE!</v>
      </c>
      <c r="AH10" s="85" t="e">
        <f>IF(SchmidtTheory!AH108&gt;ActuatorSIZING!$G$44,SchmidtTheory!AH108,"")</f>
        <v>#VALUE!</v>
      </c>
      <c r="AI10" s="85" t="e">
        <f>IF(SchmidtTheory!AI108&gt;ActuatorSIZING!$G$44,SchmidtTheory!AI108,"")</f>
        <v>#VALUE!</v>
      </c>
      <c r="AJ10" s="85" t="e">
        <f>IF(SchmidtTheory!AJ108&gt;ActuatorSIZING!$G$44,SchmidtTheory!AJ108,"")</f>
        <v>#VALUE!</v>
      </c>
      <c r="AK10" s="85" t="e">
        <f>IF(SchmidtTheory!AK108&gt;ActuatorSIZING!$G$44,SchmidtTheory!AK108,"")</f>
        <v>#VALUE!</v>
      </c>
      <c r="AL10" s="85" t="e">
        <f>IF(SchmidtTheory!AL108&gt;ActuatorSIZING!$G$44,SchmidtTheory!AL108,"")</f>
        <v>#VALUE!</v>
      </c>
      <c r="AM10" s="85" t="e">
        <f>IF(SchmidtTheory!AM108&gt;ActuatorSIZING!$G$44,SchmidtTheory!AM108,"")</f>
        <v>#VALUE!</v>
      </c>
      <c r="AN10" s="85" t="e">
        <f>IF(SchmidtTheory!AN108&gt;ActuatorSIZING!$G$44,SchmidtTheory!AN108,"")</f>
        <v>#VALUE!</v>
      </c>
      <c r="AO10" s="85" t="e">
        <f>IF(SchmidtTheory!AO108&gt;ActuatorSIZING!$G$44,SchmidtTheory!AO108,"")</f>
        <v>#VALUE!</v>
      </c>
      <c r="AP10" s="85" t="e">
        <f>IF(SchmidtTheory!AP108&gt;ActuatorSIZING!$G$44,SchmidtTheory!AP108,"")</f>
        <v>#VALUE!</v>
      </c>
      <c r="AQ10" s="85" t="e">
        <f>IF(SchmidtTheory!AQ108&gt;ActuatorSIZING!$G$44,SchmidtTheory!AQ108,"")</f>
        <v>#VALUE!</v>
      </c>
      <c r="AR10" s="85" t="e">
        <f>IF(SchmidtTheory!AR108&gt;ActuatorSIZING!$G$44,SchmidtTheory!AR108,"")</f>
        <v>#VALUE!</v>
      </c>
      <c r="AS10" s="85" t="e">
        <f>IF(SchmidtTheory!AS108&gt;ActuatorSIZING!$G$44,SchmidtTheory!AS108,"")</f>
        <v>#VALUE!</v>
      </c>
      <c r="AT10" s="85" t="e">
        <f>IF(SchmidtTheory!AT108&gt;ActuatorSIZING!$G$44,SchmidtTheory!AT108,"")</f>
        <v>#VALUE!</v>
      </c>
      <c r="AU10" s="85" t="e">
        <f>IF(SchmidtTheory!AU108&gt;ActuatorSIZING!$G$44,SchmidtTheory!AU108,"")</f>
        <v>#VALUE!</v>
      </c>
      <c r="AV10" s="85" t="e">
        <f>IF(SchmidtTheory!AV108&gt;ActuatorSIZING!$G$44,SchmidtTheory!AV108,"")</f>
        <v>#VALUE!</v>
      </c>
      <c r="AW10" s="96">
        <v>250</v>
      </c>
      <c r="AX10" s="93" t="e">
        <f>IF(AW10&gt;ActuatorSIZING!$G$44,SchmidtTheory!AW10,"")</f>
        <v>#VALUE!</v>
      </c>
      <c r="AY10" s="95" t="e">
        <f>IF(SELECTION!$P$46=SchmidtTheory!G10,SchmidtTheory!AX10,"")</f>
        <v>#VALUE!</v>
      </c>
      <c r="AZ10" s="93" t="e">
        <f>IF(SELECTION!$AJ$24&gt;(I10+0.3),SchmidtTheory!AY10,"")</f>
        <v>#VALUE!</v>
      </c>
      <c r="BA10" s="103" t="s">
        <v>240</v>
      </c>
      <c r="BB10" s="93" t="e">
        <f>SMALL(N10:AV10,1)</f>
        <v>#VALUE!</v>
      </c>
      <c r="BC10" s="93" t="e">
        <f>IF(SELECTION!$P$46=SchmidtTheory!G10,SchmidtTheory!BB10,"")</f>
        <v>#VALUE!</v>
      </c>
      <c r="BD10" s="93" t="e">
        <f>IF(SELECTION!$AJ$24&gt;(I10+0.3),SchmidtTheory!BC10,"")</f>
        <v>#VALUE!</v>
      </c>
      <c r="BE10" s="93" t="b">
        <f t="shared" si="0"/>
        <v>0</v>
      </c>
      <c r="BF10" s="103" t="s">
        <v>240</v>
      </c>
    </row>
    <row r="11" spans="2:58" ht="12.75" customHeight="1" x14ac:dyDescent="0.2">
      <c r="B11" s="42" t="s">
        <v>239</v>
      </c>
      <c r="F11" s="589"/>
      <c r="G11" s="598"/>
      <c r="H11" s="102">
        <v>0.5</v>
      </c>
      <c r="I11" s="101">
        <v>1.9</v>
      </c>
      <c r="J11" s="100">
        <v>2.4</v>
      </c>
      <c r="K11" s="99">
        <v>625</v>
      </c>
      <c r="L11" s="98">
        <v>6</v>
      </c>
      <c r="M11" s="97">
        <v>5125</v>
      </c>
      <c r="N11" s="85" t="e">
        <f>IF(SchmidtTheory!N109&gt;ActuatorSIZING!$G$44,SchmidtTheory!N109,"")</f>
        <v>#VALUE!</v>
      </c>
      <c r="O11" s="85" t="e">
        <f>IF(SchmidtTheory!O109&gt;ActuatorSIZING!$G$44,SchmidtTheory!O109,"")</f>
        <v>#VALUE!</v>
      </c>
      <c r="P11" s="85" t="e">
        <f>IF(SchmidtTheory!P109&gt;ActuatorSIZING!$G$44,SchmidtTheory!P109,"")</f>
        <v>#VALUE!</v>
      </c>
      <c r="Q11" s="85" t="e">
        <f>IF(SchmidtTheory!Q109&gt;ActuatorSIZING!$G$44,SchmidtTheory!Q109,"")</f>
        <v>#VALUE!</v>
      </c>
      <c r="R11" s="85" t="e">
        <f>IF(SchmidtTheory!R109&gt;ActuatorSIZING!$G$44,SchmidtTheory!R109,"")</f>
        <v>#VALUE!</v>
      </c>
      <c r="S11" s="85" t="e">
        <f>IF(SchmidtTheory!S109&gt;ActuatorSIZING!$G$44,SchmidtTheory!S109,"")</f>
        <v>#VALUE!</v>
      </c>
      <c r="T11" s="85" t="e">
        <f>IF(SchmidtTheory!T109&gt;ActuatorSIZING!$G$44,SchmidtTheory!T109,"")</f>
        <v>#VALUE!</v>
      </c>
      <c r="U11" s="85" t="e">
        <f>IF(SchmidtTheory!U109&gt;ActuatorSIZING!$G$44,SchmidtTheory!U109,"")</f>
        <v>#VALUE!</v>
      </c>
      <c r="V11" s="85" t="e">
        <f>IF(SchmidtTheory!V109&gt;ActuatorSIZING!$G$44,SchmidtTheory!V109,"")</f>
        <v>#VALUE!</v>
      </c>
      <c r="W11" s="85" t="e">
        <f>IF(SchmidtTheory!W109&gt;ActuatorSIZING!$G$44,SchmidtTheory!W109,"")</f>
        <v>#VALUE!</v>
      </c>
      <c r="X11" s="85" t="e">
        <f>IF(SchmidtTheory!X109&gt;ActuatorSIZING!$G$44,SchmidtTheory!X109,"")</f>
        <v>#VALUE!</v>
      </c>
      <c r="Y11" s="85" t="e">
        <f>IF(SchmidtTheory!Y109&gt;ActuatorSIZING!$G$44,SchmidtTheory!Y109,"")</f>
        <v>#VALUE!</v>
      </c>
      <c r="Z11" s="85" t="e">
        <f>IF(SchmidtTheory!Z109&gt;ActuatorSIZING!$G$44,SchmidtTheory!Z109,"")</f>
        <v>#VALUE!</v>
      </c>
      <c r="AA11" s="85" t="e">
        <f>IF(SchmidtTheory!AA109&gt;ActuatorSIZING!$G$44,SchmidtTheory!AA109,"")</f>
        <v>#VALUE!</v>
      </c>
      <c r="AB11" s="85" t="e">
        <f>IF(SchmidtTheory!AB109&gt;ActuatorSIZING!$G$44,SchmidtTheory!AB109,"")</f>
        <v>#VALUE!</v>
      </c>
      <c r="AC11" s="85" t="e">
        <f>IF(SchmidtTheory!AC109&gt;ActuatorSIZING!$G$44,SchmidtTheory!AC109,"")</f>
        <v>#VALUE!</v>
      </c>
      <c r="AD11" s="85" t="e">
        <f>IF(SchmidtTheory!AD109&gt;ActuatorSIZING!$G$44,SchmidtTheory!AD109,"")</f>
        <v>#VALUE!</v>
      </c>
      <c r="AE11" s="85" t="e">
        <f>IF(SchmidtTheory!AE109&gt;ActuatorSIZING!$G$44,SchmidtTheory!AE109,"")</f>
        <v>#VALUE!</v>
      </c>
      <c r="AF11" s="85" t="e">
        <f>IF(SchmidtTheory!AF109&gt;ActuatorSIZING!$G$44,SchmidtTheory!AF109,"")</f>
        <v>#VALUE!</v>
      </c>
      <c r="AG11" s="85" t="e">
        <f>IF(SchmidtTheory!AG109&gt;ActuatorSIZING!$G$44,SchmidtTheory!AG109,"")</f>
        <v>#VALUE!</v>
      </c>
      <c r="AH11" s="85" t="e">
        <f>IF(SchmidtTheory!AH109&gt;ActuatorSIZING!$G$44,SchmidtTheory!AH109,"")</f>
        <v>#VALUE!</v>
      </c>
      <c r="AI11" s="85" t="e">
        <f>IF(SchmidtTheory!AI109&gt;ActuatorSIZING!$G$44,SchmidtTheory!AI109,"")</f>
        <v>#VALUE!</v>
      </c>
      <c r="AJ11" s="85" t="e">
        <f>IF(SchmidtTheory!AJ109&gt;ActuatorSIZING!$G$44,SchmidtTheory!AJ109,"")</f>
        <v>#VALUE!</v>
      </c>
      <c r="AK11" s="85" t="e">
        <f>IF(SchmidtTheory!AK109&gt;ActuatorSIZING!$G$44,SchmidtTheory!AK109,"")</f>
        <v>#VALUE!</v>
      </c>
      <c r="AL11" s="85" t="e">
        <f>IF(SchmidtTheory!AL109&gt;ActuatorSIZING!$G$44,SchmidtTheory!AL109,"")</f>
        <v>#VALUE!</v>
      </c>
      <c r="AM11" s="85" t="e">
        <f>IF(SchmidtTheory!AM109&gt;ActuatorSIZING!$G$44,SchmidtTheory!AM109,"")</f>
        <v>#VALUE!</v>
      </c>
      <c r="AN11" s="85" t="e">
        <f>IF(SchmidtTheory!AN109&gt;ActuatorSIZING!$G$44,SchmidtTheory!AN109,"")</f>
        <v>#VALUE!</v>
      </c>
      <c r="AO11" s="85" t="e">
        <f>IF(SchmidtTheory!AO109&gt;ActuatorSIZING!$G$44,SchmidtTheory!AO109,"")</f>
        <v>#VALUE!</v>
      </c>
      <c r="AP11" s="85" t="e">
        <f>IF(SchmidtTheory!AP109&gt;ActuatorSIZING!$G$44,SchmidtTheory!AP109,"")</f>
        <v>#VALUE!</v>
      </c>
      <c r="AQ11" s="85" t="e">
        <f>IF(SchmidtTheory!AQ109&gt;ActuatorSIZING!$G$44,SchmidtTheory!AQ109,"")</f>
        <v>#VALUE!</v>
      </c>
      <c r="AR11" s="85" t="e">
        <f>IF(SchmidtTheory!AR109&gt;ActuatorSIZING!$G$44,SchmidtTheory!AR109,"")</f>
        <v>#VALUE!</v>
      </c>
      <c r="AS11" s="85" t="e">
        <f>IF(SchmidtTheory!AS109&gt;ActuatorSIZING!$G$44,SchmidtTheory!AS109,"")</f>
        <v>#VALUE!</v>
      </c>
      <c r="AT11" s="85" t="e">
        <f>IF(SchmidtTheory!AT109&gt;ActuatorSIZING!$G$44,SchmidtTheory!AT109,"")</f>
        <v>#VALUE!</v>
      </c>
      <c r="AU11" s="85" t="e">
        <f>IF(SchmidtTheory!AU109&gt;ActuatorSIZING!$G$44,SchmidtTheory!AU109,"")</f>
        <v>#VALUE!</v>
      </c>
      <c r="AV11" s="85" t="e">
        <f>IF(SchmidtTheory!AV109&gt;ActuatorSIZING!$G$44,SchmidtTheory!AV109,"")</f>
        <v>#VALUE!</v>
      </c>
      <c r="AW11" s="96">
        <v>625</v>
      </c>
      <c r="AX11" s="93" t="e">
        <f>IF(AW11&gt;ActuatorSIZING!$G$44,SchmidtTheory!AW11,"")</f>
        <v>#VALUE!</v>
      </c>
      <c r="AY11" s="95" t="e">
        <f>IF(SELECTION!$P$46=SchmidtTheory!G10,SchmidtTheory!AX11,"")</f>
        <v>#VALUE!</v>
      </c>
      <c r="AZ11" s="93" t="e">
        <f>IF(SELECTION!$AJ$24&gt;(I11+0.3),SchmidtTheory!AY11,"")</f>
        <v>#VALUE!</v>
      </c>
      <c r="BA11" s="103" t="s">
        <v>236</v>
      </c>
      <c r="BB11" s="93" t="e">
        <f>SMALL(N11:AV11,1)</f>
        <v>#VALUE!</v>
      </c>
      <c r="BC11" s="93" t="e">
        <f>IF(SELECTION!$P$46=SchmidtTheory!G10,SchmidtTheory!BB11,"")</f>
        <v>#VALUE!</v>
      </c>
      <c r="BD11" s="93" t="e">
        <f>IF(SELECTION!$AJ$24&gt;(I11+0.3),SchmidtTheory!BC11,"")</f>
        <v>#VALUE!</v>
      </c>
      <c r="BE11" s="93" t="b">
        <f t="shared" si="0"/>
        <v>0</v>
      </c>
      <c r="BF11" s="103" t="s">
        <v>236</v>
      </c>
    </row>
    <row r="12" spans="2:58" ht="12.75" customHeight="1" x14ac:dyDescent="0.2">
      <c r="B12" s="42" t="s">
        <v>235</v>
      </c>
      <c r="F12" s="589"/>
      <c r="G12" s="598"/>
      <c r="H12" s="102">
        <v>1</v>
      </c>
      <c r="I12" s="101">
        <v>2.4</v>
      </c>
      <c r="J12" s="100">
        <v>3.4</v>
      </c>
      <c r="K12" s="99">
        <v>1250</v>
      </c>
      <c r="L12" s="98">
        <v>6</v>
      </c>
      <c r="M12" s="97">
        <v>4500</v>
      </c>
      <c r="N12" s="85" t="e">
        <f>IF(SchmidtTheory!N110&gt;ActuatorSIZING!$G$44,SchmidtTheory!N110,"")</f>
        <v>#VALUE!</v>
      </c>
      <c r="O12" s="85" t="e">
        <f>IF(SchmidtTheory!O110&gt;ActuatorSIZING!$G$44,SchmidtTheory!O110,"")</f>
        <v>#VALUE!</v>
      </c>
      <c r="P12" s="85" t="e">
        <f>IF(SchmidtTheory!P110&gt;ActuatorSIZING!$G$44,SchmidtTheory!P110,"")</f>
        <v>#VALUE!</v>
      </c>
      <c r="Q12" s="85" t="e">
        <f>IF(SchmidtTheory!Q110&gt;ActuatorSIZING!$G$44,SchmidtTheory!Q110,"")</f>
        <v>#VALUE!</v>
      </c>
      <c r="R12" s="85" t="e">
        <f>IF(SchmidtTheory!R110&gt;ActuatorSIZING!$G$44,SchmidtTheory!R110,"")</f>
        <v>#VALUE!</v>
      </c>
      <c r="S12" s="85" t="e">
        <f>IF(SchmidtTheory!S110&gt;ActuatorSIZING!$G$44,SchmidtTheory!S110,"")</f>
        <v>#VALUE!</v>
      </c>
      <c r="T12" s="85" t="e">
        <f>IF(SchmidtTheory!T110&gt;ActuatorSIZING!$G$44,SchmidtTheory!T110,"")</f>
        <v>#VALUE!</v>
      </c>
      <c r="U12" s="85" t="e">
        <f>IF(SchmidtTheory!U110&gt;ActuatorSIZING!$G$44,SchmidtTheory!U110,"")</f>
        <v>#VALUE!</v>
      </c>
      <c r="V12" s="85" t="e">
        <f>IF(SchmidtTheory!V110&gt;ActuatorSIZING!$G$44,SchmidtTheory!V110,"")</f>
        <v>#VALUE!</v>
      </c>
      <c r="W12" s="85" t="e">
        <f>IF(SchmidtTheory!W110&gt;ActuatorSIZING!$G$44,SchmidtTheory!W110,"")</f>
        <v>#VALUE!</v>
      </c>
      <c r="X12" s="85" t="e">
        <f>IF(SchmidtTheory!X110&gt;ActuatorSIZING!$G$44,SchmidtTheory!X110,"")</f>
        <v>#VALUE!</v>
      </c>
      <c r="Y12" s="85" t="e">
        <f>IF(SchmidtTheory!Y110&gt;ActuatorSIZING!$G$44,SchmidtTheory!Y110,"")</f>
        <v>#VALUE!</v>
      </c>
      <c r="Z12" s="85" t="e">
        <f>IF(SchmidtTheory!Z110&gt;ActuatorSIZING!$G$44,SchmidtTheory!Z110,"")</f>
        <v>#VALUE!</v>
      </c>
      <c r="AA12" s="85" t="e">
        <f>IF(SchmidtTheory!AA110&gt;ActuatorSIZING!$G$44,SchmidtTheory!AA110,"")</f>
        <v>#VALUE!</v>
      </c>
      <c r="AB12" s="85" t="e">
        <f>IF(SchmidtTheory!AB110&gt;ActuatorSIZING!$G$44,SchmidtTheory!AB110,"")</f>
        <v>#VALUE!</v>
      </c>
      <c r="AC12" s="85" t="e">
        <f>IF(SchmidtTheory!AC110&gt;ActuatorSIZING!$G$44,SchmidtTheory!AC110,"")</f>
        <v>#VALUE!</v>
      </c>
      <c r="AD12" s="85" t="e">
        <f>IF(SchmidtTheory!AD110&gt;ActuatorSIZING!$G$44,SchmidtTheory!AD110,"")</f>
        <v>#VALUE!</v>
      </c>
      <c r="AE12" s="85" t="e">
        <f>IF(SchmidtTheory!AE110&gt;ActuatorSIZING!$G$44,SchmidtTheory!AE110,"")</f>
        <v>#VALUE!</v>
      </c>
      <c r="AF12" s="85" t="e">
        <f>IF(SchmidtTheory!AF110&gt;ActuatorSIZING!$G$44,SchmidtTheory!AF110,"")</f>
        <v>#VALUE!</v>
      </c>
      <c r="AG12" s="85" t="e">
        <f>IF(SchmidtTheory!AG110&gt;ActuatorSIZING!$G$44,SchmidtTheory!AG110,"")</f>
        <v>#VALUE!</v>
      </c>
      <c r="AH12" s="85" t="e">
        <f>IF(SchmidtTheory!AH110&gt;ActuatorSIZING!$G$44,SchmidtTheory!AH110,"")</f>
        <v>#VALUE!</v>
      </c>
      <c r="AI12" s="85" t="e">
        <f>IF(SchmidtTheory!AI110&gt;ActuatorSIZING!$G$44,SchmidtTheory!AI110,"")</f>
        <v>#VALUE!</v>
      </c>
      <c r="AJ12" s="85" t="e">
        <f>IF(SchmidtTheory!AJ110&gt;ActuatorSIZING!$G$44,SchmidtTheory!AJ110,"")</f>
        <v>#VALUE!</v>
      </c>
      <c r="AK12" s="85" t="e">
        <f>IF(SchmidtTheory!AK110&gt;ActuatorSIZING!$G$44,SchmidtTheory!AK110,"")</f>
        <v>#VALUE!</v>
      </c>
      <c r="AL12" s="85" t="e">
        <f>IF(SchmidtTheory!AL110&gt;ActuatorSIZING!$G$44,SchmidtTheory!AL110,"")</f>
        <v>#VALUE!</v>
      </c>
      <c r="AM12" s="85" t="e">
        <f>IF(SchmidtTheory!AM110&gt;ActuatorSIZING!$G$44,SchmidtTheory!AM110,"")</f>
        <v>#VALUE!</v>
      </c>
      <c r="AN12" s="85" t="e">
        <f>IF(SchmidtTheory!AN110&gt;ActuatorSIZING!$G$44,SchmidtTheory!AN110,"")</f>
        <v>#VALUE!</v>
      </c>
      <c r="AO12" s="85" t="e">
        <f>IF(SchmidtTheory!AO110&gt;ActuatorSIZING!$G$44,SchmidtTheory!AO110,"")</f>
        <v>#VALUE!</v>
      </c>
      <c r="AP12" s="85" t="e">
        <f>IF(SchmidtTheory!AP110&gt;ActuatorSIZING!$G$44,SchmidtTheory!AP110,"")</f>
        <v>#VALUE!</v>
      </c>
      <c r="AQ12" s="85" t="e">
        <f>IF(SchmidtTheory!AQ110&gt;ActuatorSIZING!$G$44,SchmidtTheory!AQ110,"")</f>
        <v>#VALUE!</v>
      </c>
      <c r="AR12" s="85" t="e">
        <f>IF(SchmidtTheory!AR110&gt;ActuatorSIZING!$G$44,SchmidtTheory!AR110,"")</f>
        <v>#VALUE!</v>
      </c>
      <c r="AS12" s="85" t="e">
        <f>IF(SchmidtTheory!AS110&gt;ActuatorSIZING!$G$44,SchmidtTheory!AS110,"")</f>
        <v>#VALUE!</v>
      </c>
      <c r="AT12" s="85" t="e">
        <f>IF(SchmidtTheory!AT110&gt;ActuatorSIZING!$G$44,SchmidtTheory!AT110,"")</f>
        <v>#VALUE!</v>
      </c>
      <c r="AU12" s="85" t="e">
        <f>IF(SchmidtTheory!AU110&gt;ActuatorSIZING!$G$44,SchmidtTheory!AU110,"")</f>
        <v>#VALUE!</v>
      </c>
      <c r="AV12" s="85" t="e">
        <f>IF(SchmidtTheory!AV110&gt;ActuatorSIZING!$G$44,SchmidtTheory!AV110,"")</f>
        <v>#VALUE!</v>
      </c>
      <c r="AW12" s="96">
        <v>1250</v>
      </c>
      <c r="AX12" s="93" t="e">
        <f>IF(AW12&gt;ActuatorSIZING!$G$44,SchmidtTheory!AW12,"")</f>
        <v>#VALUE!</v>
      </c>
      <c r="AY12" s="95" t="e">
        <f>IF(SELECTION!$P$46=SchmidtTheory!G10,SchmidtTheory!AX12,"")</f>
        <v>#VALUE!</v>
      </c>
      <c r="AZ12" s="93" t="e">
        <f>IF(SELECTION!$AJ$24&gt;(I12+0.3),SchmidtTheory!AY12,"")</f>
        <v>#VALUE!</v>
      </c>
      <c r="BA12" s="103" t="s">
        <v>232</v>
      </c>
      <c r="BB12" s="93" t="e">
        <f>SMALL(N12:AV12,1)</f>
        <v>#VALUE!</v>
      </c>
      <c r="BC12" s="93" t="e">
        <f>IF(SELECTION!$P$46=SchmidtTheory!G10,SchmidtTheory!BB12,"")</f>
        <v>#VALUE!</v>
      </c>
      <c r="BD12" s="93" t="e">
        <f>IF(SELECTION!$AJ$24&gt;(I12+0.3),SchmidtTheory!BC12,"")</f>
        <v>#VALUE!</v>
      </c>
      <c r="BE12" s="93" t="b">
        <f t="shared" si="0"/>
        <v>0</v>
      </c>
      <c r="BF12" s="103" t="s">
        <v>232</v>
      </c>
    </row>
    <row r="13" spans="2:58" ht="12.75" customHeight="1" x14ac:dyDescent="0.2">
      <c r="B13" s="42" t="s">
        <v>231</v>
      </c>
      <c r="F13" s="589"/>
      <c r="G13" s="598"/>
      <c r="H13" s="102">
        <v>1.5</v>
      </c>
      <c r="I13" s="101">
        <v>2.7</v>
      </c>
      <c r="J13" s="100">
        <v>4.2</v>
      </c>
      <c r="K13" s="99">
        <v>1875</v>
      </c>
      <c r="L13" s="98">
        <v>6</v>
      </c>
      <c r="M13" s="97">
        <v>4500</v>
      </c>
      <c r="N13" s="85" t="e">
        <f>IF(SchmidtTheory!N111&gt;ActuatorSIZING!$G$44,SchmidtTheory!N111,"")</f>
        <v>#VALUE!</v>
      </c>
      <c r="O13" s="85" t="e">
        <f>IF(SchmidtTheory!O111&gt;ActuatorSIZING!$G$44,SchmidtTheory!O111,"")</f>
        <v>#VALUE!</v>
      </c>
      <c r="P13" s="85" t="e">
        <f>IF(SchmidtTheory!P111&gt;ActuatorSIZING!$G$44,SchmidtTheory!P111,"")</f>
        <v>#VALUE!</v>
      </c>
      <c r="Q13" s="85" t="e">
        <f>IF(SchmidtTheory!Q111&gt;ActuatorSIZING!$G$44,SchmidtTheory!Q111,"")</f>
        <v>#VALUE!</v>
      </c>
      <c r="R13" s="85" t="e">
        <f>IF(SchmidtTheory!R111&gt;ActuatorSIZING!$G$44,SchmidtTheory!R111,"")</f>
        <v>#VALUE!</v>
      </c>
      <c r="S13" s="85" t="e">
        <f>IF(SchmidtTheory!S111&gt;ActuatorSIZING!$G$44,SchmidtTheory!S111,"")</f>
        <v>#VALUE!</v>
      </c>
      <c r="T13" s="85" t="e">
        <f>IF(SchmidtTheory!T111&gt;ActuatorSIZING!$G$44,SchmidtTheory!T111,"")</f>
        <v>#VALUE!</v>
      </c>
      <c r="U13" s="85" t="e">
        <f>IF(SchmidtTheory!U111&gt;ActuatorSIZING!$G$44,SchmidtTheory!U111,"")</f>
        <v>#VALUE!</v>
      </c>
      <c r="V13" s="85" t="e">
        <f>IF(SchmidtTheory!V111&gt;ActuatorSIZING!$G$44,SchmidtTheory!V111,"")</f>
        <v>#VALUE!</v>
      </c>
      <c r="W13" s="85" t="e">
        <f>IF(SchmidtTheory!W111&gt;ActuatorSIZING!$G$44,SchmidtTheory!W111,"")</f>
        <v>#VALUE!</v>
      </c>
      <c r="X13" s="85" t="e">
        <f>IF(SchmidtTheory!X111&gt;ActuatorSIZING!$G$44,SchmidtTheory!X111,"")</f>
        <v>#VALUE!</v>
      </c>
      <c r="Y13" s="85" t="e">
        <f>IF(SchmidtTheory!Y111&gt;ActuatorSIZING!$G$44,SchmidtTheory!Y111,"")</f>
        <v>#VALUE!</v>
      </c>
      <c r="Z13" s="85" t="e">
        <f>IF(SchmidtTheory!Z111&gt;ActuatorSIZING!$G$44,SchmidtTheory!Z111,"")</f>
        <v>#VALUE!</v>
      </c>
      <c r="AA13" s="85" t="e">
        <f>IF(SchmidtTheory!AA111&gt;ActuatorSIZING!$G$44,SchmidtTheory!AA111,"")</f>
        <v>#VALUE!</v>
      </c>
      <c r="AB13" s="85" t="e">
        <f>IF(SchmidtTheory!AB111&gt;ActuatorSIZING!$G$44,SchmidtTheory!AB111,"")</f>
        <v>#VALUE!</v>
      </c>
      <c r="AC13" s="85" t="e">
        <f>IF(SchmidtTheory!AC111&gt;ActuatorSIZING!$G$44,SchmidtTheory!AC111,"")</f>
        <v>#VALUE!</v>
      </c>
      <c r="AD13" s="85" t="e">
        <f>IF(SchmidtTheory!AD111&gt;ActuatorSIZING!$G$44,SchmidtTheory!AD111,"")</f>
        <v>#VALUE!</v>
      </c>
      <c r="AE13" s="85" t="e">
        <f>IF(SchmidtTheory!AE111&gt;ActuatorSIZING!$G$44,SchmidtTheory!AE111,"")</f>
        <v>#VALUE!</v>
      </c>
      <c r="AF13" s="85" t="e">
        <f>IF(SchmidtTheory!AF111&gt;ActuatorSIZING!$G$44,SchmidtTheory!AF111,"")</f>
        <v>#VALUE!</v>
      </c>
      <c r="AG13" s="85" t="e">
        <f>IF(SchmidtTheory!AG111&gt;ActuatorSIZING!$G$44,SchmidtTheory!AG111,"")</f>
        <v>#VALUE!</v>
      </c>
      <c r="AH13" s="85" t="e">
        <f>IF(SchmidtTheory!AH111&gt;ActuatorSIZING!$G$44,SchmidtTheory!AH111,"")</f>
        <v>#VALUE!</v>
      </c>
      <c r="AI13" s="85" t="e">
        <f>IF(SchmidtTheory!AI111&gt;ActuatorSIZING!$G$44,SchmidtTheory!AI111,"")</f>
        <v>#VALUE!</v>
      </c>
      <c r="AJ13" s="85" t="e">
        <f>IF(SchmidtTheory!AJ111&gt;ActuatorSIZING!$G$44,SchmidtTheory!AJ111,"")</f>
        <v>#VALUE!</v>
      </c>
      <c r="AK13" s="85" t="e">
        <f>IF(SchmidtTheory!AK111&gt;ActuatorSIZING!$G$44,SchmidtTheory!AK111,"")</f>
        <v>#VALUE!</v>
      </c>
      <c r="AL13" s="85" t="e">
        <f>IF(SchmidtTheory!AL111&gt;ActuatorSIZING!$G$44,SchmidtTheory!AL111,"")</f>
        <v>#VALUE!</v>
      </c>
      <c r="AM13" s="85" t="e">
        <f>IF(SchmidtTheory!AM111&gt;ActuatorSIZING!$G$44,SchmidtTheory!AM111,"")</f>
        <v>#VALUE!</v>
      </c>
      <c r="AN13" s="85" t="e">
        <f>IF(SchmidtTheory!AN111&gt;ActuatorSIZING!$G$44,SchmidtTheory!AN111,"")</f>
        <v>#VALUE!</v>
      </c>
      <c r="AO13" s="85" t="e">
        <f>IF(SchmidtTheory!AO111&gt;ActuatorSIZING!$G$44,SchmidtTheory!AO111,"")</f>
        <v>#VALUE!</v>
      </c>
      <c r="AP13" s="85" t="e">
        <f>IF(SchmidtTheory!AP111&gt;ActuatorSIZING!$G$44,SchmidtTheory!AP111,"")</f>
        <v>#VALUE!</v>
      </c>
      <c r="AQ13" s="85" t="e">
        <f>IF(SchmidtTheory!AQ111&gt;ActuatorSIZING!$G$44,SchmidtTheory!AQ111,"")</f>
        <v>#VALUE!</v>
      </c>
      <c r="AR13" s="85" t="e">
        <f>IF(SchmidtTheory!AR111&gt;ActuatorSIZING!$G$44,SchmidtTheory!AR111,"")</f>
        <v>#VALUE!</v>
      </c>
      <c r="AS13" s="85" t="e">
        <f>IF(SchmidtTheory!AS111&gt;ActuatorSIZING!$G$44,SchmidtTheory!AS111,"")</f>
        <v>#VALUE!</v>
      </c>
      <c r="AT13" s="85" t="e">
        <f>IF(SchmidtTheory!AT111&gt;ActuatorSIZING!$G$44,SchmidtTheory!AT111,"")</f>
        <v>#VALUE!</v>
      </c>
      <c r="AU13" s="85" t="e">
        <f>IF(SchmidtTheory!AU111&gt;ActuatorSIZING!$G$44,SchmidtTheory!AU111,"")</f>
        <v>#VALUE!</v>
      </c>
      <c r="AV13" s="85" t="e">
        <f>IF(SchmidtTheory!AV111&gt;ActuatorSIZING!$G$44,SchmidtTheory!AV111,"")</f>
        <v>#VALUE!</v>
      </c>
      <c r="AW13" s="96">
        <v>1875</v>
      </c>
      <c r="AX13" s="93" t="e">
        <f>IF(AW13&gt;ActuatorSIZING!$G$44,SchmidtTheory!AW13,"")</f>
        <v>#VALUE!</v>
      </c>
      <c r="AY13" s="95" t="e">
        <f>IF(SELECTION!$P$46=SchmidtTheory!G10,SchmidtTheory!AX13,"")</f>
        <v>#VALUE!</v>
      </c>
      <c r="AZ13" s="93" t="e">
        <f>IF(SELECTION!$AJ$24&gt;(I13+0.3),SchmidtTheory!AY13,"")</f>
        <v>#VALUE!</v>
      </c>
      <c r="BA13" s="103" t="s">
        <v>228</v>
      </c>
      <c r="BB13" s="93" t="e">
        <f>SMALL(N13:AV13,1)</f>
        <v>#VALUE!</v>
      </c>
      <c r="BC13" s="93" t="e">
        <f>IF(SELECTION!$P$46=SchmidtTheory!G10,SchmidtTheory!BB13,"")</f>
        <v>#VALUE!</v>
      </c>
      <c r="BD13" s="93" t="e">
        <f>IF(SELECTION!$AJ$24&gt;(I13+0.3),SchmidtTheory!BC13,"")</f>
        <v>#VALUE!</v>
      </c>
      <c r="BE13" s="93" t="b">
        <f t="shared" si="0"/>
        <v>0</v>
      </c>
      <c r="BF13" s="103" t="s">
        <v>228</v>
      </c>
    </row>
    <row r="14" spans="2:58" ht="12.75" customHeight="1" x14ac:dyDescent="0.2">
      <c r="B14" s="42" t="s">
        <v>227</v>
      </c>
      <c r="F14" s="589"/>
      <c r="G14" s="598"/>
      <c r="H14" s="102">
        <v>1.5</v>
      </c>
      <c r="I14" s="101">
        <v>3.8</v>
      </c>
      <c r="J14" s="100">
        <v>5.3</v>
      </c>
      <c r="K14" s="99">
        <v>1875</v>
      </c>
      <c r="L14" s="98">
        <v>6</v>
      </c>
      <c r="M14" s="97">
        <v>2750</v>
      </c>
      <c r="N14" s="85" t="e">
        <f>IF(SchmidtTheory!N112&gt;ActuatorSIZING!$G$44,SchmidtTheory!N112,"")</f>
        <v>#VALUE!</v>
      </c>
      <c r="O14" s="85" t="e">
        <f>IF(SchmidtTheory!O112&gt;ActuatorSIZING!$G$44,SchmidtTheory!O112,"")</f>
        <v>#VALUE!</v>
      </c>
      <c r="P14" s="85" t="e">
        <f>IF(SchmidtTheory!P112&gt;ActuatorSIZING!$G$44,SchmidtTheory!P112,"")</f>
        <v>#VALUE!</v>
      </c>
      <c r="Q14" s="85" t="e">
        <f>IF(SchmidtTheory!Q112&gt;ActuatorSIZING!$G$44,SchmidtTheory!Q112,"")</f>
        <v>#VALUE!</v>
      </c>
      <c r="R14" s="85" t="e">
        <f>IF(SchmidtTheory!R112&gt;ActuatorSIZING!$G$44,SchmidtTheory!R112,"")</f>
        <v>#VALUE!</v>
      </c>
      <c r="S14" s="85" t="e">
        <f>IF(SchmidtTheory!S112&gt;ActuatorSIZING!$G$44,SchmidtTheory!S112,"")</f>
        <v>#VALUE!</v>
      </c>
      <c r="T14" s="85" t="e">
        <f>IF(SchmidtTheory!T112&gt;ActuatorSIZING!$G$44,SchmidtTheory!T112,"")</f>
        <v>#VALUE!</v>
      </c>
      <c r="U14" s="85" t="e">
        <f>IF(SchmidtTheory!U112&gt;ActuatorSIZING!$G$44,SchmidtTheory!U112,"")</f>
        <v>#VALUE!</v>
      </c>
      <c r="V14" s="85" t="e">
        <f>IF(SchmidtTheory!V112&gt;ActuatorSIZING!$G$44,SchmidtTheory!V112,"")</f>
        <v>#VALUE!</v>
      </c>
      <c r="W14" s="85" t="e">
        <f>IF(SchmidtTheory!W112&gt;ActuatorSIZING!$G$44,SchmidtTheory!W112,"")</f>
        <v>#VALUE!</v>
      </c>
      <c r="X14" s="85" t="e">
        <f>IF(SchmidtTheory!X112&gt;ActuatorSIZING!$G$44,SchmidtTheory!X112,"")</f>
        <v>#VALUE!</v>
      </c>
      <c r="Y14" s="85" t="e">
        <f>IF(SchmidtTheory!Y112&gt;ActuatorSIZING!$G$44,SchmidtTheory!Y112,"")</f>
        <v>#VALUE!</v>
      </c>
      <c r="Z14" s="85" t="e">
        <f>IF(SchmidtTheory!Z112&gt;ActuatorSIZING!$G$44,SchmidtTheory!Z112,"")</f>
        <v>#VALUE!</v>
      </c>
      <c r="AA14" s="85" t="e">
        <f>IF(SchmidtTheory!AA112&gt;ActuatorSIZING!$G$44,SchmidtTheory!AA112,"")</f>
        <v>#VALUE!</v>
      </c>
      <c r="AB14" s="85" t="e">
        <f>IF(SchmidtTheory!AB112&gt;ActuatorSIZING!$G$44,SchmidtTheory!AB112,"")</f>
        <v>#VALUE!</v>
      </c>
      <c r="AC14" s="85" t="e">
        <f>IF(SchmidtTheory!AC112&gt;ActuatorSIZING!$G$44,SchmidtTheory!AC112,"")</f>
        <v>#VALUE!</v>
      </c>
      <c r="AD14" s="85" t="e">
        <f>IF(SchmidtTheory!AD112&gt;ActuatorSIZING!$G$44,SchmidtTheory!AD112,"")</f>
        <v>#VALUE!</v>
      </c>
      <c r="AE14" s="85" t="e">
        <f>IF(SchmidtTheory!AE112&gt;ActuatorSIZING!$G$44,SchmidtTheory!AE112,"")</f>
        <v>#VALUE!</v>
      </c>
      <c r="AF14" s="85" t="e">
        <f>IF(SchmidtTheory!AF112&gt;ActuatorSIZING!$G$44,SchmidtTheory!AF112,"")</f>
        <v>#VALUE!</v>
      </c>
      <c r="AG14" s="85" t="e">
        <f>IF(SchmidtTheory!AG112&gt;ActuatorSIZING!$G$44,SchmidtTheory!AG112,"")</f>
        <v>#VALUE!</v>
      </c>
      <c r="AH14" s="85" t="e">
        <f>IF(SchmidtTheory!AH112&gt;ActuatorSIZING!$G$44,SchmidtTheory!AH112,"")</f>
        <v>#VALUE!</v>
      </c>
      <c r="AI14" s="85" t="e">
        <f>IF(SchmidtTheory!AI112&gt;ActuatorSIZING!$G$44,SchmidtTheory!AI112,"")</f>
        <v>#VALUE!</v>
      </c>
      <c r="AJ14" s="85" t="e">
        <f>IF(SchmidtTheory!AJ112&gt;ActuatorSIZING!$G$44,SchmidtTheory!AJ112,"")</f>
        <v>#VALUE!</v>
      </c>
      <c r="AK14" s="85" t="e">
        <f>IF(SchmidtTheory!AK112&gt;ActuatorSIZING!$G$44,SchmidtTheory!AK112,"")</f>
        <v>#VALUE!</v>
      </c>
      <c r="AL14" s="85" t="e">
        <f>IF(SchmidtTheory!AL112&gt;ActuatorSIZING!$G$44,SchmidtTheory!AL112,"")</f>
        <v>#VALUE!</v>
      </c>
      <c r="AM14" s="85" t="e">
        <f>IF(SchmidtTheory!AM112&gt;ActuatorSIZING!$G$44,SchmidtTheory!AM112,"")</f>
        <v>#VALUE!</v>
      </c>
      <c r="AN14" s="85" t="e">
        <f>IF(SchmidtTheory!AN112&gt;ActuatorSIZING!$G$44,SchmidtTheory!AN112,"")</f>
        <v>#VALUE!</v>
      </c>
      <c r="AO14" s="85" t="e">
        <f>IF(SchmidtTheory!AO112&gt;ActuatorSIZING!$G$44,SchmidtTheory!AO112,"")</f>
        <v>#VALUE!</v>
      </c>
      <c r="AP14" s="85" t="e">
        <f>IF(SchmidtTheory!AP112&gt;ActuatorSIZING!$G$44,SchmidtTheory!AP112,"")</f>
        <v>#VALUE!</v>
      </c>
      <c r="AQ14" s="85" t="e">
        <f>IF(SchmidtTheory!AQ112&gt;ActuatorSIZING!$G$44,SchmidtTheory!AQ112,"")</f>
        <v>#VALUE!</v>
      </c>
      <c r="AR14" s="85" t="e">
        <f>IF(SchmidtTheory!AR112&gt;ActuatorSIZING!$G$44,SchmidtTheory!AR112,"")</f>
        <v>#VALUE!</v>
      </c>
      <c r="AS14" s="85" t="e">
        <f>IF(SchmidtTheory!AS112&gt;ActuatorSIZING!$G$44,SchmidtTheory!AS112,"")</f>
        <v>#VALUE!</v>
      </c>
      <c r="AT14" s="85" t="e">
        <f>IF(SchmidtTheory!AT112&gt;ActuatorSIZING!$G$44,SchmidtTheory!AT112,"")</f>
        <v>#VALUE!</v>
      </c>
      <c r="AU14" s="85" t="e">
        <f>IF(SchmidtTheory!AU112&gt;ActuatorSIZING!$G$44,SchmidtTheory!AU112,"")</f>
        <v>#VALUE!</v>
      </c>
      <c r="AV14" s="85" t="e">
        <f>IF(SchmidtTheory!AV112&gt;ActuatorSIZING!$G$44,SchmidtTheory!AV112,"")</f>
        <v>#VALUE!</v>
      </c>
      <c r="AW14" s="96">
        <v>1875</v>
      </c>
      <c r="AX14" s="93" t="e">
        <f>IF(AW14&gt;ActuatorSIZING!$G$44,SchmidtTheory!AW14,"")</f>
        <v>#VALUE!</v>
      </c>
      <c r="AY14" s="95" t="e">
        <f>IF(SELECTION!$P$46=SchmidtTheory!G10,SchmidtTheory!AX14,"")</f>
        <v>#VALUE!</v>
      </c>
      <c r="AZ14" s="93" t="str">
        <f>IF(SELECTION!$AJ$24&gt;(I14+0.3),SchmidtTheory!AY14,"")</f>
        <v/>
      </c>
      <c r="BA14" s="103" t="s">
        <v>224</v>
      </c>
      <c r="BB14" s="93" t="e">
        <f>SMALL(N14:AV14,1)</f>
        <v>#VALUE!</v>
      </c>
      <c r="BC14" s="93" t="e">
        <f>IF(SELECTION!$P$46=SchmidtTheory!G10,SchmidtTheory!BB14,"")</f>
        <v>#VALUE!</v>
      </c>
      <c r="BD14" s="93" t="str">
        <f>IF(SELECTION!$AJ$24&gt;(I14+0.3),SchmidtTheory!BC14,"")</f>
        <v/>
      </c>
      <c r="BE14" s="93" t="b">
        <f t="shared" si="0"/>
        <v>0</v>
      </c>
      <c r="BF14" s="103" t="s">
        <v>224</v>
      </c>
    </row>
    <row r="15" spans="2:58" ht="13.5" customHeight="1" x14ac:dyDescent="0.2">
      <c r="B15" s="42" t="s">
        <v>223</v>
      </c>
      <c r="F15" s="589"/>
      <c r="G15" s="598"/>
      <c r="H15" s="102">
        <v>2</v>
      </c>
      <c r="I15" s="101">
        <v>4.8</v>
      </c>
      <c r="J15" s="100"/>
      <c r="K15" s="99"/>
      <c r="L15" s="98">
        <v>6</v>
      </c>
      <c r="M15" s="97">
        <v>1500</v>
      </c>
      <c r="N15" s="85" t="e">
        <f>IF(SchmidtTheory!N113&gt;ActuatorSIZING!$G$44,SchmidtTheory!N113,"")</f>
        <v>#VALUE!</v>
      </c>
      <c r="O15" s="85" t="e">
        <f>IF(SchmidtTheory!O113&gt;ActuatorSIZING!$G$44,SchmidtTheory!O113,"")</f>
        <v>#VALUE!</v>
      </c>
      <c r="P15" s="85" t="e">
        <f>IF(SchmidtTheory!P113&gt;ActuatorSIZING!$G$44,SchmidtTheory!P113,"")</f>
        <v>#VALUE!</v>
      </c>
      <c r="Q15" s="85" t="e">
        <f>IF(SchmidtTheory!Q113&gt;ActuatorSIZING!$G$44,SchmidtTheory!Q113,"")</f>
        <v>#VALUE!</v>
      </c>
      <c r="R15" s="85" t="e">
        <f>IF(SchmidtTheory!R113&gt;ActuatorSIZING!$G$44,SchmidtTheory!R113,"")</f>
        <v>#VALUE!</v>
      </c>
      <c r="S15" s="85" t="e">
        <f>IF(SchmidtTheory!S113&gt;ActuatorSIZING!$G$44,SchmidtTheory!S113,"")</f>
        <v>#VALUE!</v>
      </c>
      <c r="T15" s="85" t="e">
        <f>IF(SchmidtTheory!T113&gt;ActuatorSIZING!$G$44,SchmidtTheory!T113,"")</f>
        <v>#VALUE!</v>
      </c>
      <c r="U15" s="85" t="e">
        <f>IF(SchmidtTheory!U113&gt;ActuatorSIZING!$G$44,SchmidtTheory!U113,"")</f>
        <v>#VALUE!</v>
      </c>
      <c r="V15" s="85" t="e">
        <f>IF(SchmidtTheory!V113&gt;ActuatorSIZING!$G$44,SchmidtTheory!V113,"")</f>
        <v>#VALUE!</v>
      </c>
      <c r="W15" s="85" t="e">
        <f>IF(SchmidtTheory!W113&gt;ActuatorSIZING!$G$44,SchmidtTheory!W113,"")</f>
        <v>#VALUE!</v>
      </c>
      <c r="X15" s="85" t="e">
        <f>IF(SchmidtTheory!X113&gt;ActuatorSIZING!$G$44,SchmidtTheory!X113,"")</f>
        <v>#VALUE!</v>
      </c>
      <c r="Y15" s="85" t="e">
        <f>IF(SchmidtTheory!Y113&gt;ActuatorSIZING!$G$44,SchmidtTheory!Y113,"")</f>
        <v>#VALUE!</v>
      </c>
      <c r="Z15" s="85" t="e">
        <f>IF(SchmidtTheory!Z113&gt;ActuatorSIZING!$G$44,SchmidtTheory!Z113,"")</f>
        <v>#VALUE!</v>
      </c>
      <c r="AA15" s="85" t="e">
        <f>IF(SchmidtTheory!AA113&gt;ActuatorSIZING!$G$44,SchmidtTheory!AA113,"")</f>
        <v>#VALUE!</v>
      </c>
      <c r="AB15" s="85" t="e">
        <f>IF(SchmidtTheory!AB113&gt;ActuatorSIZING!$G$44,SchmidtTheory!AB113,"")</f>
        <v>#VALUE!</v>
      </c>
      <c r="AC15" s="85" t="e">
        <f>IF(SchmidtTheory!AC113&gt;ActuatorSIZING!$G$44,SchmidtTheory!AC113,"")</f>
        <v>#VALUE!</v>
      </c>
      <c r="AD15" s="85" t="e">
        <f>IF(SchmidtTheory!AD113&gt;ActuatorSIZING!$G$44,SchmidtTheory!AD113,"")</f>
        <v>#VALUE!</v>
      </c>
      <c r="AE15" s="85" t="e">
        <f>IF(SchmidtTheory!AE113&gt;ActuatorSIZING!$G$44,SchmidtTheory!AE113,"")</f>
        <v>#VALUE!</v>
      </c>
      <c r="AF15" s="85" t="e">
        <f>IF(SchmidtTheory!AF113&gt;ActuatorSIZING!$G$44,SchmidtTheory!AF113,"")</f>
        <v>#VALUE!</v>
      </c>
      <c r="AG15" s="85" t="e">
        <f>IF(SchmidtTheory!AG113&gt;ActuatorSIZING!$G$44,SchmidtTheory!AG113,"")</f>
        <v>#VALUE!</v>
      </c>
      <c r="AH15" s="85" t="e">
        <f>IF(SchmidtTheory!AH113&gt;ActuatorSIZING!$G$44,SchmidtTheory!AH113,"")</f>
        <v>#VALUE!</v>
      </c>
      <c r="AI15" s="85" t="e">
        <f>IF(SchmidtTheory!AI113&gt;ActuatorSIZING!$G$44,SchmidtTheory!AI113,"")</f>
        <v>#VALUE!</v>
      </c>
      <c r="AJ15" s="85" t="e">
        <f>IF(SchmidtTheory!AJ113&gt;ActuatorSIZING!$G$44,SchmidtTheory!AJ113,"")</f>
        <v>#VALUE!</v>
      </c>
      <c r="AK15" s="85" t="e">
        <f>IF(SchmidtTheory!AK113&gt;ActuatorSIZING!$G$44,SchmidtTheory!AK113,"")</f>
        <v>#VALUE!</v>
      </c>
      <c r="AL15" s="85" t="e">
        <f>IF(SchmidtTheory!AL113&gt;ActuatorSIZING!$G$44,SchmidtTheory!AL113,"")</f>
        <v>#VALUE!</v>
      </c>
      <c r="AM15" s="85" t="e">
        <f>IF(SchmidtTheory!AM113&gt;ActuatorSIZING!$G$44,SchmidtTheory!AM113,"")</f>
        <v>#VALUE!</v>
      </c>
      <c r="AN15" s="85" t="e">
        <f>IF(SchmidtTheory!AN113&gt;ActuatorSIZING!$G$44,SchmidtTheory!AN113,"")</f>
        <v>#VALUE!</v>
      </c>
      <c r="AO15" s="85" t="e">
        <f>IF(SchmidtTheory!AO113&gt;ActuatorSIZING!$G$44,SchmidtTheory!AO113,"")</f>
        <v>#VALUE!</v>
      </c>
      <c r="AP15" s="85" t="e">
        <f>IF(SchmidtTheory!AP113&gt;ActuatorSIZING!$G$44,SchmidtTheory!AP113,"")</f>
        <v>#VALUE!</v>
      </c>
      <c r="AQ15" s="85" t="e">
        <f>IF(SchmidtTheory!AQ113&gt;ActuatorSIZING!$G$44,SchmidtTheory!AQ113,"")</f>
        <v>#VALUE!</v>
      </c>
      <c r="AR15" s="85" t="e">
        <f>IF(SchmidtTheory!AR113&gt;ActuatorSIZING!$G$44,SchmidtTheory!AR113,"")</f>
        <v>#VALUE!</v>
      </c>
      <c r="AS15" s="85" t="e">
        <f>IF(SchmidtTheory!AS113&gt;ActuatorSIZING!$G$44,SchmidtTheory!AS113,"")</f>
        <v>#VALUE!</v>
      </c>
      <c r="AT15" s="85" t="e">
        <f>IF(SchmidtTheory!AT113&gt;ActuatorSIZING!$G$44,SchmidtTheory!AT113,"")</f>
        <v>#VALUE!</v>
      </c>
      <c r="AU15" s="85" t="e">
        <f>IF(SchmidtTheory!AU113&gt;ActuatorSIZING!$G$44,SchmidtTheory!AU113,"")</f>
        <v>#VALUE!</v>
      </c>
      <c r="AV15" s="85" t="e">
        <f>IF(SchmidtTheory!AV113&gt;ActuatorSIZING!$G$44,SchmidtTheory!AV113,"")</f>
        <v>#VALUE!</v>
      </c>
      <c r="AW15" s="96">
        <v>2500</v>
      </c>
      <c r="AX15" s="93" t="e">
        <f>IF(AW15&gt;ActuatorSIZING!$G$44,SchmidtTheory!AW15,"")</f>
        <v>#VALUE!</v>
      </c>
      <c r="AY15" s="95" t="e">
        <f>IF(SELECTION!$P$46=SchmidtTheory!G10,SchmidtTheory!AX15,"")</f>
        <v>#VALUE!</v>
      </c>
      <c r="AZ15" s="93" t="str">
        <f>IF(SELECTION!$AJ$24&gt;(I15+0.3),SchmidtTheory!AY15,"")</f>
        <v/>
      </c>
      <c r="BA15" s="103" t="s">
        <v>220</v>
      </c>
      <c r="BB15" s="94"/>
      <c r="BC15" s="93" t="str">
        <f>IF(SELECTION!$P$46=SchmidtTheory!G15,SchmidtTheory!BB15,"")</f>
        <v/>
      </c>
      <c r="BD15" s="93" t="str">
        <f>IF(SELECTION!$AJ$24&gt;(I15+0.3),SchmidtTheory!BC15,"")</f>
        <v/>
      </c>
      <c r="BE15" s="93" t="b">
        <f t="shared" si="0"/>
        <v>0</v>
      </c>
      <c r="BF15" s="103" t="s">
        <v>220</v>
      </c>
    </row>
    <row r="16" spans="2:58" x14ac:dyDescent="0.2">
      <c r="B16" s="42" t="s">
        <v>219</v>
      </c>
      <c r="F16" s="589">
        <v>252</v>
      </c>
      <c r="G16" s="593">
        <v>10</v>
      </c>
      <c r="H16" s="102">
        <v>0.8</v>
      </c>
      <c r="I16" s="101">
        <v>1.6</v>
      </c>
      <c r="J16" s="100"/>
      <c r="K16" s="99"/>
      <c r="L16" s="98">
        <v>6</v>
      </c>
      <c r="M16" s="97">
        <v>11000</v>
      </c>
      <c r="N16" s="85" t="e">
        <f>IF(SchmidtTheory!N114&gt;ActuatorSIZING!$G$44,SchmidtTheory!N114,"")</f>
        <v>#VALUE!</v>
      </c>
      <c r="O16" s="85" t="e">
        <f>IF(SchmidtTheory!O114&gt;ActuatorSIZING!$G$44,SchmidtTheory!O114,"")</f>
        <v>#VALUE!</v>
      </c>
      <c r="P16" s="85" t="e">
        <f>IF(SchmidtTheory!P114&gt;ActuatorSIZING!$G$44,SchmidtTheory!P114,"")</f>
        <v>#VALUE!</v>
      </c>
      <c r="Q16" s="85" t="e">
        <f>IF(SchmidtTheory!Q114&gt;ActuatorSIZING!$G$44,SchmidtTheory!Q114,"")</f>
        <v>#VALUE!</v>
      </c>
      <c r="R16" s="85" t="e">
        <f>IF(SchmidtTheory!R114&gt;ActuatorSIZING!$G$44,SchmidtTheory!R114,"")</f>
        <v>#VALUE!</v>
      </c>
      <c r="S16" s="85" t="e">
        <f>IF(SchmidtTheory!S114&gt;ActuatorSIZING!$G$44,SchmidtTheory!S114,"")</f>
        <v>#VALUE!</v>
      </c>
      <c r="T16" s="85" t="e">
        <f>IF(SchmidtTheory!T114&gt;ActuatorSIZING!$G$44,SchmidtTheory!T114,"")</f>
        <v>#VALUE!</v>
      </c>
      <c r="U16" s="85" t="e">
        <f>IF(SchmidtTheory!U114&gt;ActuatorSIZING!$G$44,SchmidtTheory!U114,"")</f>
        <v>#VALUE!</v>
      </c>
      <c r="V16" s="85" t="e">
        <f>IF(SchmidtTheory!V114&gt;ActuatorSIZING!$G$44,SchmidtTheory!V114,"")</f>
        <v>#VALUE!</v>
      </c>
      <c r="W16" s="85" t="e">
        <f>IF(SchmidtTheory!W114&gt;ActuatorSIZING!$G$44,SchmidtTheory!W114,"")</f>
        <v>#VALUE!</v>
      </c>
      <c r="X16" s="85" t="e">
        <f>IF(SchmidtTheory!X114&gt;ActuatorSIZING!$G$44,SchmidtTheory!X114,"")</f>
        <v>#VALUE!</v>
      </c>
      <c r="Y16" s="85" t="e">
        <f>IF(SchmidtTheory!Y114&gt;ActuatorSIZING!$G$44,SchmidtTheory!Y114,"")</f>
        <v>#VALUE!</v>
      </c>
      <c r="Z16" s="85" t="e">
        <f>IF(SchmidtTheory!Z114&gt;ActuatorSIZING!$G$44,SchmidtTheory!Z114,"")</f>
        <v>#VALUE!</v>
      </c>
      <c r="AA16" s="85" t="e">
        <f>IF(SchmidtTheory!AA114&gt;ActuatorSIZING!$G$44,SchmidtTheory!AA114,"")</f>
        <v>#VALUE!</v>
      </c>
      <c r="AB16" s="85" t="e">
        <f>IF(SchmidtTheory!AB114&gt;ActuatorSIZING!$G$44,SchmidtTheory!AB114,"")</f>
        <v>#VALUE!</v>
      </c>
      <c r="AC16" s="85" t="e">
        <f>IF(SchmidtTheory!AC114&gt;ActuatorSIZING!$G$44,SchmidtTheory!AC114,"")</f>
        <v>#VALUE!</v>
      </c>
      <c r="AD16" s="85" t="e">
        <f>IF(SchmidtTheory!AD114&gt;ActuatorSIZING!$G$44,SchmidtTheory!AD114,"")</f>
        <v>#VALUE!</v>
      </c>
      <c r="AE16" s="85" t="e">
        <f>IF(SchmidtTheory!AE114&gt;ActuatorSIZING!$G$44,SchmidtTheory!AE114,"")</f>
        <v>#VALUE!</v>
      </c>
      <c r="AF16" s="85" t="e">
        <f>IF(SchmidtTheory!AF114&gt;ActuatorSIZING!$G$44,SchmidtTheory!AF114,"")</f>
        <v>#VALUE!</v>
      </c>
      <c r="AG16" s="85" t="e">
        <f>IF(SchmidtTheory!AG114&gt;ActuatorSIZING!$G$44,SchmidtTheory!AG114,"")</f>
        <v>#VALUE!</v>
      </c>
      <c r="AH16" s="85" t="e">
        <f>IF(SchmidtTheory!AH114&gt;ActuatorSIZING!$G$44,SchmidtTheory!AH114,"")</f>
        <v>#VALUE!</v>
      </c>
      <c r="AI16" s="85" t="e">
        <f>IF(SchmidtTheory!AI114&gt;ActuatorSIZING!$G$44,SchmidtTheory!AI114,"")</f>
        <v>#VALUE!</v>
      </c>
      <c r="AJ16" s="85" t="e">
        <f>IF(SchmidtTheory!AJ114&gt;ActuatorSIZING!$G$44,SchmidtTheory!AJ114,"")</f>
        <v>#VALUE!</v>
      </c>
      <c r="AK16" s="85" t="e">
        <f>IF(SchmidtTheory!AK114&gt;ActuatorSIZING!$G$44,SchmidtTheory!AK114,"")</f>
        <v>#VALUE!</v>
      </c>
      <c r="AL16" s="85" t="e">
        <f>IF(SchmidtTheory!AL114&gt;ActuatorSIZING!$G$44,SchmidtTheory!AL114,"")</f>
        <v>#VALUE!</v>
      </c>
      <c r="AM16" s="85" t="e">
        <f>IF(SchmidtTheory!AM114&gt;ActuatorSIZING!$G$44,SchmidtTheory!AM114,"")</f>
        <v>#VALUE!</v>
      </c>
      <c r="AN16" s="85" t="e">
        <f>IF(SchmidtTheory!AN114&gt;ActuatorSIZING!$G$44,SchmidtTheory!AN114,"")</f>
        <v>#VALUE!</v>
      </c>
      <c r="AO16" s="85" t="e">
        <f>IF(SchmidtTheory!AO114&gt;ActuatorSIZING!$G$44,SchmidtTheory!AO114,"")</f>
        <v>#VALUE!</v>
      </c>
      <c r="AP16" s="85" t="e">
        <f>IF(SchmidtTheory!AP114&gt;ActuatorSIZING!$G$44,SchmidtTheory!AP114,"")</f>
        <v>#VALUE!</v>
      </c>
      <c r="AQ16" s="85" t="e">
        <f>IF(SchmidtTheory!AQ114&gt;ActuatorSIZING!$G$44,SchmidtTheory!AQ114,"")</f>
        <v>#VALUE!</v>
      </c>
      <c r="AR16" s="85" t="e">
        <f>IF(SchmidtTheory!AR114&gt;ActuatorSIZING!$G$44,SchmidtTheory!AR114,"")</f>
        <v>#VALUE!</v>
      </c>
      <c r="AS16" s="85" t="e">
        <f>IF(SchmidtTheory!AS114&gt;ActuatorSIZING!$G$44,SchmidtTheory!AS114,"")</f>
        <v>#VALUE!</v>
      </c>
      <c r="AT16" s="85" t="e">
        <f>IF(SchmidtTheory!AT114&gt;ActuatorSIZING!$G$44,SchmidtTheory!AT114,"")</f>
        <v>#VALUE!</v>
      </c>
      <c r="AU16" s="85" t="e">
        <f>IF(SchmidtTheory!AU114&gt;ActuatorSIZING!$G$44,SchmidtTheory!AU114,"")</f>
        <v>#VALUE!</v>
      </c>
      <c r="AV16" s="85" t="e">
        <f>IF(SchmidtTheory!AV114&gt;ActuatorSIZING!$G$44,SchmidtTheory!AV114,"")</f>
        <v>#VALUE!</v>
      </c>
      <c r="AW16" s="96">
        <v>2000</v>
      </c>
      <c r="AX16" s="93" t="e">
        <f>IF(AW16&gt;ActuatorSIZING!$G$44,SchmidtTheory!AW16,"")</f>
        <v>#VALUE!</v>
      </c>
      <c r="AY16" s="95" t="str">
        <f>IF(SELECTION!$P$46=SchmidtTheory!G16,SchmidtTheory!AX16,"")</f>
        <v/>
      </c>
      <c r="AZ16" s="93" t="str">
        <f>IF(SELECTION!$AJ$24&gt;(I16+0.3),SchmidtTheory!AY16,"")</f>
        <v/>
      </c>
      <c r="BA16" s="103" t="s">
        <v>217</v>
      </c>
      <c r="BB16" s="93" t="e">
        <f>SMALL(N16:AV16,1)</f>
        <v>#VALUE!</v>
      </c>
      <c r="BC16" s="93" t="str">
        <f>IF(SELECTION!$P$46=SchmidtTheory!G16,SchmidtTheory!BB16,"")</f>
        <v/>
      </c>
      <c r="BD16" s="93" t="str">
        <f>IF(SELECTION!$AJ$24&gt;(I16+0.3),SchmidtTheory!BC16,"")</f>
        <v/>
      </c>
      <c r="BE16" s="93" t="b">
        <f t="shared" si="0"/>
        <v>0</v>
      </c>
      <c r="BF16" s="103" t="s">
        <v>217</v>
      </c>
    </row>
    <row r="17" spans="2:58" x14ac:dyDescent="0.2">
      <c r="B17" s="42" t="s">
        <v>216</v>
      </c>
      <c r="F17" s="589"/>
      <c r="G17" s="593"/>
      <c r="H17" s="102">
        <v>1.4</v>
      </c>
      <c r="I17" s="101">
        <v>2.4</v>
      </c>
      <c r="J17" s="100"/>
      <c r="K17" s="99"/>
      <c r="L17" s="98">
        <v>6</v>
      </c>
      <c r="M17" s="97">
        <v>9000</v>
      </c>
      <c r="N17" s="85" t="e">
        <f>IF(SchmidtTheory!N115&gt;ActuatorSIZING!$G$44,SchmidtTheory!N115,"")</f>
        <v>#VALUE!</v>
      </c>
      <c r="O17" s="85" t="e">
        <f>IF(SchmidtTheory!O115&gt;ActuatorSIZING!$G$44,SchmidtTheory!O115,"")</f>
        <v>#VALUE!</v>
      </c>
      <c r="P17" s="85" t="e">
        <f>IF(SchmidtTheory!P115&gt;ActuatorSIZING!$G$44,SchmidtTheory!P115,"")</f>
        <v>#VALUE!</v>
      </c>
      <c r="Q17" s="85" t="e">
        <f>IF(SchmidtTheory!Q115&gt;ActuatorSIZING!$G$44,SchmidtTheory!Q115,"")</f>
        <v>#VALUE!</v>
      </c>
      <c r="R17" s="85" t="e">
        <f>IF(SchmidtTheory!R115&gt;ActuatorSIZING!$G$44,SchmidtTheory!R115,"")</f>
        <v>#VALUE!</v>
      </c>
      <c r="S17" s="85" t="e">
        <f>IF(SchmidtTheory!S115&gt;ActuatorSIZING!$G$44,SchmidtTheory!S115,"")</f>
        <v>#VALUE!</v>
      </c>
      <c r="T17" s="85" t="e">
        <f>IF(SchmidtTheory!T115&gt;ActuatorSIZING!$G$44,SchmidtTheory!T115,"")</f>
        <v>#VALUE!</v>
      </c>
      <c r="U17" s="85" t="e">
        <f>IF(SchmidtTheory!U115&gt;ActuatorSIZING!$G$44,SchmidtTheory!U115,"")</f>
        <v>#VALUE!</v>
      </c>
      <c r="V17" s="85" t="e">
        <f>IF(SchmidtTheory!V115&gt;ActuatorSIZING!$G$44,SchmidtTheory!V115,"")</f>
        <v>#VALUE!</v>
      </c>
      <c r="W17" s="85" t="e">
        <f>IF(SchmidtTheory!W115&gt;ActuatorSIZING!$G$44,SchmidtTheory!W115,"")</f>
        <v>#VALUE!</v>
      </c>
      <c r="X17" s="85" t="e">
        <f>IF(SchmidtTheory!X115&gt;ActuatorSIZING!$G$44,SchmidtTheory!X115,"")</f>
        <v>#VALUE!</v>
      </c>
      <c r="Y17" s="85" t="e">
        <f>IF(SchmidtTheory!Y115&gt;ActuatorSIZING!$G$44,SchmidtTheory!Y115,"")</f>
        <v>#VALUE!</v>
      </c>
      <c r="Z17" s="85" t="e">
        <f>IF(SchmidtTheory!Z115&gt;ActuatorSIZING!$G$44,SchmidtTheory!Z115,"")</f>
        <v>#VALUE!</v>
      </c>
      <c r="AA17" s="85" t="e">
        <f>IF(SchmidtTheory!AA115&gt;ActuatorSIZING!$G$44,SchmidtTheory!AA115,"")</f>
        <v>#VALUE!</v>
      </c>
      <c r="AB17" s="85" t="e">
        <f>IF(SchmidtTheory!AB115&gt;ActuatorSIZING!$G$44,SchmidtTheory!AB115,"")</f>
        <v>#VALUE!</v>
      </c>
      <c r="AC17" s="85" t="e">
        <f>IF(SchmidtTheory!AC115&gt;ActuatorSIZING!$G$44,SchmidtTheory!AC115,"")</f>
        <v>#VALUE!</v>
      </c>
      <c r="AD17" s="85" t="e">
        <f>IF(SchmidtTheory!AD115&gt;ActuatorSIZING!$G$44,SchmidtTheory!AD115,"")</f>
        <v>#VALUE!</v>
      </c>
      <c r="AE17" s="85" t="e">
        <f>IF(SchmidtTheory!AE115&gt;ActuatorSIZING!$G$44,SchmidtTheory!AE115,"")</f>
        <v>#VALUE!</v>
      </c>
      <c r="AF17" s="85" t="e">
        <f>IF(SchmidtTheory!AF115&gt;ActuatorSIZING!$G$44,SchmidtTheory!AF115,"")</f>
        <v>#VALUE!</v>
      </c>
      <c r="AG17" s="85" t="e">
        <f>IF(SchmidtTheory!AG115&gt;ActuatorSIZING!$G$44,SchmidtTheory!AG115,"")</f>
        <v>#VALUE!</v>
      </c>
      <c r="AH17" s="85" t="e">
        <f>IF(SchmidtTheory!AH115&gt;ActuatorSIZING!$G$44,SchmidtTheory!AH115,"")</f>
        <v>#VALUE!</v>
      </c>
      <c r="AI17" s="85" t="e">
        <f>IF(SchmidtTheory!AI115&gt;ActuatorSIZING!$G$44,SchmidtTheory!AI115,"")</f>
        <v>#VALUE!</v>
      </c>
      <c r="AJ17" s="85" t="e">
        <f>IF(SchmidtTheory!AJ115&gt;ActuatorSIZING!$G$44,SchmidtTheory!AJ115,"")</f>
        <v>#VALUE!</v>
      </c>
      <c r="AK17" s="85" t="e">
        <f>IF(SchmidtTheory!AK115&gt;ActuatorSIZING!$G$44,SchmidtTheory!AK115,"")</f>
        <v>#VALUE!</v>
      </c>
      <c r="AL17" s="85" t="e">
        <f>IF(SchmidtTheory!AL115&gt;ActuatorSIZING!$G$44,SchmidtTheory!AL115,"")</f>
        <v>#VALUE!</v>
      </c>
      <c r="AM17" s="85" t="e">
        <f>IF(SchmidtTheory!AM115&gt;ActuatorSIZING!$G$44,SchmidtTheory!AM115,"")</f>
        <v>#VALUE!</v>
      </c>
      <c r="AN17" s="85" t="e">
        <f>IF(SchmidtTheory!AN115&gt;ActuatorSIZING!$G$44,SchmidtTheory!AN115,"")</f>
        <v>#VALUE!</v>
      </c>
      <c r="AO17" s="85" t="e">
        <f>IF(SchmidtTheory!AO115&gt;ActuatorSIZING!$G$44,SchmidtTheory!AO115,"")</f>
        <v>#VALUE!</v>
      </c>
      <c r="AP17" s="85" t="e">
        <f>IF(SchmidtTheory!AP115&gt;ActuatorSIZING!$G$44,SchmidtTheory!AP115,"")</f>
        <v>#VALUE!</v>
      </c>
      <c r="AQ17" s="85" t="e">
        <f>IF(SchmidtTheory!AQ115&gt;ActuatorSIZING!$G$44,SchmidtTheory!AQ115,"")</f>
        <v>#VALUE!</v>
      </c>
      <c r="AR17" s="85" t="e">
        <f>IF(SchmidtTheory!AR115&gt;ActuatorSIZING!$G$44,SchmidtTheory!AR115,"")</f>
        <v>#VALUE!</v>
      </c>
      <c r="AS17" s="85" t="e">
        <f>IF(SchmidtTheory!AS115&gt;ActuatorSIZING!$G$44,SchmidtTheory!AS115,"")</f>
        <v>#VALUE!</v>
      </c>
      <c r="AT17" s="85" t="e">
        <f>IF(SchmidtTheory!AT115&gt;ActuatorSIZING!$G$44,SchmidtTheory!AT115,"")</f>
        <v>#VALUE!</v>
      </c>
      <c r="AU17" s="85" t="e">
        <f>IF(SchmidtTheory!AU115&gt;ActuatorSIZING!$G$44,SchmidtTheory!AU115,"")</f>
        <v>#VALUE!</v>
      </c>
      <c r="AV17" s="85" t="e">
        <f>IF(SchmidtTheory!AV115&gt;ActuatorSIZING!$G$44,SchmidtTheory!AV115,"")</f>
        <v>#VALUE!</v>
      </c>
      <c r="AW17" s="96">
        <v>3500</v>
      </c>
      <c r="AX17" s="93" t="e">
        <f>IF(AW17&gt;ActuatorSIZING!$G$44,SchmidtTheory!AW17,"")</f>
        <v>#VALUE!</v>
      </c>
      <c r="AY17" s="95" t="str">
        <f>IF(SELECTION!$P$46=SchmidtTheory!G16,SchmidtTheory!AX17,"")</f>
        <v/>
      </c>
      <c r="AZ17" s="93" t="str">
        <f>IF(SELECTION!$AJ$24&gt;(I17+0.3),SchmidtTheory!AY17,"")</f>
        <v/>
      </c>
      <c r="BA17" s="103" t="s">
        <v>215</v>
      </c>
      <c r="BB17" s="94"/>
      <c r="BC17" s="93" t="str">
        <f>IF(SELECTION!$P$46=SchmidtTheory!G16,SchmidtTheory!BB17,"")</f>
        <v/>
      </c>
      <c r="BD17" s="93" t="str">
        <f>IF(SELECTION!$AJ$24&gt;(I17+0.3),SchmidtTheory!BC17,"")</f>
        <v/>
      </c>
      <c r="BE17" s="93" t="b">
        <f t="shared" si="0"/>
        <v>0</v>
      </c>
      <c r="BF17" s="103" t="s">
        <v>215</v>
      </c>
    </row>
    <row r="18" spans="2:58" x14ac:dyDescent="0.2">
      <c r="B18" s="42" t="s">
        <v>214</v>
      </c>
      <c r="C18" s="107" t="s">
        <v>213</v>
      </c>
      <c r="D18" s="107">
        <v>125</v>
      </c>
      <c r="F18" s="589"/>
      <c r="G18" s="593"/>
      <c r="H18" s="102">
        <v>2.7</v>
      </c>
      <c r="I18" s="101">
        <v>4.0999999999999996</v>
      </c>
      <c r="J18" s="100"/>
      <c r="K18" s="99"/>
      <c r="L18" s="98">
        <v>6</v>
      </c>
      <c r="M18" s="97">
        <v>4750</v>
      </c>
      <c r="N18" s="85" t="e">
        <f>IF(SchmidtTheory!N116&gt;ActuatorSIZING!$G$44,SchmidtTheory!N116,"")</f>
        <v>#VALUE!</v>
      </c>
      <c r="O18" s="85" t="e">
        <f>IF(SchmidtTheory!O116&gt;ActuatorSIZING!$G$44,SchmidtTheory!O116,"")</f>
        <v>#VALUE!</v>
      </c>
      <c r="P18" s="85" t="e">
        <f>IF(SchmidtTheory!P116&gt;ActuatorSIZING!$G$44,SchmidtTheory!P116,"")</f>
        <v>#VALUE!</v>
      </c>
      <c r="Q18" s="85" t="e">
        <f>IF(SchmidtTheory!Q116&gt;ActuatorSIZING!$G$44,SchmidtTheory!Q116,"")</f>
        <v>#VALUE!</v>
      </c>
      <c r="R18" s="85" t="e">
        <f>IF(SchmidtTheory!R116&gt;ActuatorSIZING!$G$44,SchmidtTheory!R116,"")</f>
        <v>#VALUE!</v>
      </c>
      <c r="S18" s="85" t="e">
        <f>IF(SchmidtTheory!S116&gt;ActuatorSIZING!$G$44,SchmidtTheory!S116,"")</f>
        <v>#VALUE!</v>
      </c>
      <c r="T18" s="85" t="e">
        <f>IF(SchmidtTheory!T116&gt;ActuatorSIZING!$G$44,SchmidtTheory!T116,"")</f>
        <v>#VALUE!</v>
      </c>
      <c r="U18" s="85" t="e">
        <f>IF(SchmidtTheory!U116&gt;ActuatorSIZING!$G$44,SchmidtTheory!U116,"")</f>
        <v>#VALUE!</v>
      </c>
      <c r="V18" s="85" t="e">
        <f>IF(SchmidtTheory!V116&gt;ActuatorSIZING!$G$44,SchmidtTheory!V116,"")</f>
        <v>#VALUE!</v>
      </c>
      <c r="W18" s="85" t="e">
        <f>IF(SchmidtTheory!W116&gt;ActuatorSIZING!$G$44,SchmidtTheory!W116,"")</f>
        <v>#VALUE!</v>
      </c>
      <c r="X18" s="85" t="e">
        <f>IF(SchmidtTheory!X116&gt;ActuatorSIZING!$G$44,SchmidtTheory!X116,"")</f>
        <v>#VALUE!</v>
      </c>
      <c r="Y18" s="85" t="e">
        <f>IF(SchmidtTheory!Y116&gt;ActuatorSIZING!$G$44,SchmidtTheory!Y116,"")</f>
        <v>#VALUE!</v>
      </c>
      <c r="Z18" s="85" t="e">
        <f>IF(SchmidtTheory!Z116&gt;ActuatorSIZING!$G$44,SchmidtTheory!Z116,"")</f>
        <v>#VALUE!</v>
      </c>
      <c r="AA18" s="85" t="e">
        <f>IF(SchmidtTheory!AA116&gt;ActuatorSIZING!$G$44,SchmidtTheory!AA116,"")</f>
        <v>#VALUE!</v>
      </c>
      <c r="AB18" s="85" t="e">
        <f>IF(SchmidtTheory!AB116&gt;ActuatorSIZING!$G$44,SchmidtTheory!AB116,"")</f>
        <v>#VALUE!</v>
      </c>
      <c r="AC18" s="85" t="e">
        <f>IF(SchmidtTheory!AC116&gt;ActuatorSIZING!$G$44,SchmidtTheory!AC116,"")</f>
        <v>#VALUE!</v>
      </c>
      <c r="AD18" s="85" t="e">
        <f>IF(SchmidtTheory!AD116&gt;ActuatorSIZING!$G$44,SchmidtTheory!AD116,"")</f>
        <v>#VALUE!</v>
      </c>
      <c r="AE18" s="85" t="e">
        <f>IF(SchmidtTheory!AE116&gt;ActuatorSIZING!$G$44,SchmidtTheory!AE116,"")</f>
        <v>#VALUE!</v>
      </c>
      <c r="AF18" s="85" t="e">
        <f>IF(SchmidtTheory!AF116&gt;ActuatorSIZING!$G$44,SchmidtTheory!AF116,"")</f>
        <v>#VALUE!</v>
      </c>
      <c r="AG18" s="85" t="e">
        <f>IF(SchmidtTheory!AG116&gt;ActuatorSIZING!$G$44,SchmidtTheory!AG116,"")</f>
        <v>#VALUE!</v>
      </c>
      <c r="AH18" s="85" t="e">
        <f>IF(SchmidtTheory!AH116&gt;ActuatorSIZING!$G$44,SchmidtTheory!AH116,"")</f>
        <v>#VALUE!</v>
      </c>
      <c r="AI18" s="85" t="e">
        <f>IF(SchmidtTheory!AI116&gt;ActuatorSIZING!$G$44,SchmidtTheory!AI116,"")</f>
        <v>#VALUE!</v>
      </c>
      <c r="AJ18" s="85" t="e">
        <f>IF(SchmidtTheory!AJ116&gt;ActuatorSIZING!$G$44,SchmidtTheory!AJ116,"")</f>
        <v>#VALUE!</v>
      </c>
      <c r="AK18" s="85" t="e">
        <f>IF(SchmidtTheory!AK116&gt;ActuatorSIZING!$G$44,SchmidtTheory!AK116,"")</f>
        <v>#VALUE!</v>
      </c>
      <c r="AL18" s="85" t="e">
        <f>IF(SchmidtTheory!AL116&gt;ActuatorSIZING!$G$44,SchmidtTheory!AL116,"")</f>
        <v>#VALUE!</v>
      </c>
      <c r="AM18" s="85" t="e">
        <f>IF(SchmidtTheory!AM116&gt;ActuatorSIZING!$G$44,SchmidtTheory!AM116,"")</f>
        <v>#VALUE!</v>
      </c>
      <c r="AN18" s="85" t="e">
        <f>IF(SchmidtTheory!AN116&gt;ActuatorSIZING!$G$44,SchmidtTheory!AN116,"")</f>
        <v>#VALUE!</v>
      </c>
      <c r="AO18" s="85" t="e">
        <f>IF(SchmidtTheory!AO116&gt;ActuatorSIZING!$G$44,SchmidtTheory!AO116,"")</f>
        <v>#VALUE!</v>
      </c>
      <c r="AP18" s="85" t="e">
        <f>IF(SchmidtTheory!AP116&gt;ActuatorSIZING!$G$44,SchmidtTheory!AP116,"")</f>
        <v>#VALUE!</v>
      </c>
      <c r="AQ18" s="85" t="e">
        <f>IF(SchmidtTheory!AQ116&gt;ActuatorSIZING!$G$44,SchmidtTheory!AQ116,"")</f>
        <v>#VALUE!</v>
      </c>
      <c r="AR18" s="85" t="e">
        <f>IF(SchmidtTheory!AR116&gt;ActuatorSIZING!$G$44,SchmidtTheory!AR116,"")</f>
        <v>#VALUE!</v>
      </c>
      <c r="AS18" s="85" t="e">
        <f>IF(SchmidtTheory!AS116&gt;ActuatorSIZING!$G$44,SchmidtTheory!AS116,"")</f>
        <v>#VALUE!</v>
      </c>
      <c r="AT18" s="85" t="e">
        <f>IF(SchmidtTheory!AT116&gt;ActuatorSIZING!$G$44,SchmidtTheory!AT116,"")</f>
        <v>#VALUE!</v>
      </c>
      <c r="AU18" s="85" t="e">
        <f>IF(SchmidtTheory!AU116&gt;ActuatorSIZING!$G$44,SchmidtTheory!AU116,"")</f>
        <v>#VALUE!</v>
      </c>
      <c r="AV18" s="85" t="e">
        <f>IF(SchmidtTheory!AV116&gt;ActuatorSIZING!$G$44,SchmidtTheory!AV116,"")</f>
        <v>#VALUE!</v>
      </c>
      <c r="AW18" s="96">
        <v>6750</v>
      </c>
      <c r="AX18" s="93" t="e">
        <f>IF(AW18&gt;ActuatorSIZING!$G$44,SchmidtTheory!AW18,"")</f>
        <v>#VALUE!</v>
      </c>
      <c r="AY18" s="95" t="str">
        <f>IF(SELECTION!$P$46=SchmidtTheory!G16,SchmidtTheory!AX18,"")</f>
        <v/>
      </c>
      <c r="AZ18" s="93" t="str">
        <f>IF(SELECTION!$AJ$24&gt;(I18+0.3),SchmidtTheory!AY18,"")</f>
        <v/>
      </c>
      <c r="BA18" s="103" t="s">
        <v>212</v>
      </c>
      <c r="BB18" s="94"/>
      <c r="BC18" s="93" t="str">
        <f>IF(SELECTION!$P$46=SchmidtTheory!G16,SchmidtTheory!BB18,"")</f>
        <v/>
      </c>
      <c r="BD18" s="93" t="str">
        <f>IF(SELECTION!$AJ$24&gt;(I18+0.3),SchmidtTheory!BC18,"")</f>
        <v/>
      </c>
      <c r="BE18" s="93" t="b">
        <f t="shared" si="0"/>
        <v>0</v>
      </c>
      <c r="BF18" s="103" t="s">
        <v>212</v>
      </c>
    </row>
    <row r="19" spans="2:58" x14ac:dyDescent="0.2">
      <c r="B19" s="42" t="s">
        <v>211</v>
      </c>
      <c r="D19" s="107">
        <v>250</v>
      </c>
      <c r="F19" s="589"/>
      <c r="G19" s="598">
        <v>20</v>
      </c>
      <c r="H19" s="102">
        <v>0.2</v>
      </c>
      <c r="I19" s="101">
        <v>1</v>
      </c>
      <c r="J19" s="100"/>
      <c r="K19" s="99"/>
      <c r="L19" s="98">
        <v>6</v>
      </c>
      <c r="M19" s="97">
        <v>12500</v>
      </c>
      <c r="N19" s="85" t="e">
        <f>IF(SchmidtTheory!N117&gt;ActuatorSIZING!$G$44,SchmidtTheory!N117,"")</f>
        <v>#VALUE!</v>
      </c>
      <c r="O19" s="85" t="e">
        <f>IF(SchmidtTheory!O117&gt;ActuatorSIZING!$G$44,SchmidtTheory!O117,"")</f>
        <v>#VALUE!</v>
      </c>
      <c r="P19" s="85" t="e">
        <f>IF(SchmidtTheory!P117&gt;ActuatorSIZING!$G$44,SchmidtTheory!P117,"")</f>
        <v>#VALUE!</v>
      </c>
      <c r="Q19" s="85" t="e">
        <f>IF(SchmidtTheory!Q117&gt;ActuatorSIZING!$G$44,SchmidtTheory!Q117,"")</f>
        <v>#VALUE!</v>
      </c>
      <c r="R19" s="85" t="e">
        <f>IF(SchmidtTheory!R117&gt;ActuatorSIZING!$G$44,SchmidtTheory!R117,"")</f>
        <v>#VALUE!</v>
      </c>
      <c r="S19" s="85" t="e">
        <f>IF(SchmidtTheory!S117&gt;ActuatorSIZING!$G$44,SchmidtTheory!S117,"")</f>
        <v>#VALUE!</v>
      </c>
      <c r="T19" s="85" t="e">
        <f>IF(SchmidtTheory!T117&gt;ActuatorSIZING!$G$44,SchmidtTheory!T117,"")</f>
        <v>#VALUE!</v>
      </c>
      <c r="U19" s="85" t="e">
        <f>IF(SchmidtTheory!U117&gt;ActuatorSIZING!$G$44,SchmidtTheory!U117,"")</f>
        <v>#VALUE!</v>
      </c>
      <c r="V19" s="85" t="e">
        <f>IF(SchmidtTheory!V117&gt;ActuatorSIZING!$G$44,SchmidtTheory!V117,"")</f>
        <v>#VALUE!</v>
      </c>
      <c r="W19" s="85" t="e">
        <f>IF(SchmidtTheory!W117&gt;ActuatorSIZING!$G$44,SchmidtTheory!W117,"")</f>
        <v>#VALUE!</v>
      </c>
      <c r="X19" s="85" t="e">
        <f>IF(SchmidtTheory!X117&gt;ActuatorSIZING!$G$44,SchmidtTheory!X117,"")</f>
        <v>#VALUE!</v>
      </c>
      <c r="Y19" s="85" t="e">
        <f>IF(SchmidtTheory!Y117&gt;ActuatorSIZING!$G$44,SchmidtTheory!Y117,"")</f>
        <v>#VALUE!</v>
      </c>
      <c r="Z19" s="85" t="e">
        <f>IF(SchmidtTheory!Z117&gt;ActuatorSIZING!$G$44,SchmidtTheory!Z117,"")</f>
        <v>#VALUE!</v>
      </c>
      <c r="AA19" s="85" t="e">
        <f>IF(SchmidtTheory!AA117&gt;ActuatorSIZING!$G$44,SchmidtTheory!AA117,"")</f>
        <v>#VALUE!</v>
      </c>
      <c r="AB19" s="85" t="e">
        <f>IF(SchmidtTheory!AB117&gt;ActuatorSIZING!$G$44,SchmidtTheory!AB117,"")</f>
        <v>#VALUE!</v>
      </c>
      <c r="AC19" s="85" t="e">
        <f>IF(SchmidtTheory!AC117&gt;ActuatorSIZING!$G$44,SchmidtTheory!AC117,"")</f>
        <v>#VALUE!</v>
      </c>
      <c r="AD19" s="85" t="e">
        <f>IF(SchmidtTheory!AD117&gt;ActuatorSIZING!$G$44,SchmidtTheory!AD117,"")</f>
        <v>#VALUE!</v>
      </c>
      <c r="AE19" s="85" t="e">
        <f>IF(SchmidtTheory!AE117&gt;ActuatorSIZING!$G$44,SchmidtTheory!AE117,"")</f>
        <v>#VALUE!</v>
      </c>
      <c r="AF19" s="85" t="e">
        <f>IF(SchmidtTheory!AF117&gt;ActuatorSIZING!$G$44,SchmidtTheory!AF117,"")</f>
        <v>#VALUE!</v>
      </c>
      <c r="AG19" s="85" t="e">
        <f>IF(SchmidtTheory!AG117&gt;ActuatorSIZING!$G$44,SchmidtTheory!AG117,"")</f>
        <v>#VALUE!</v>
      </c>
      <c r="AH19" s="85" t="e">
        <f>IF(SchmidtTheory!AH117&gt;ActuatorSIZING!$G$44,SchmidtTheory!AH117,"")</f>
        <v>#VALUE!</v>
      </c>
      <c r="AI19" s="85" t="e">
        <f>IF(SchmidtTheory!AI117&gt;ActuatorSIZING!$G$44,SchmidtTheory!AI117,"")</f>
        <v>#VALUE!</v>
      </c>
      <c r="AJ19" s="85" t="e">
        <f>IF(SchmidtTheory!AJ117&gt;ActuatorSIZING!$G$44,SchmidtTheory!AJ117,"")</f>
        <v>#VALUE!</v>
      </c>
      <c r="AK19" s="85" t="e">
        <f>IF(SchmidtTheory!AK117&gt;ActuatorSIZING!$G$44,SchmidtTheory!AK117,"")</f>
        <v>#VALUE!</v>
      </c>
      <c r="AL19" s="85" t="e">
        <f>IF(SchmidtTheory!AL117&gt;ActuatorSIZING!$G$44,SchmidtTheory!AL117,"")</f>
        <v>#VALUE!</v>
      </c>
      <c r="AM19" s="85" t="e">
        <f>IF(SchmidtTheory!AM117&gt;ActuatorSIZING!$G$44,SchmidtTheory!AM117,"")</f>
        <v>#VALUE!</v>
      </c>
      <c r="AN19" s="85" t="e">
        <f>IF(SchmidtTheory!AN117&gt;ActuatorSIZING!$G$44,SchmidtTheory!AN117,"")</f>
        <v>#VALUE!</v>
      </c>
      <c r="AO19" s="85" t="e">
        <f>IF(SchmidtTheory!AO117&gt;ActuatorSIZING!$G$44,SchmidtTheory!AO117,"")</f>
        <v>#VALUE!</v>
      </c>
      <c r="AP19" s="85" t="e">
        <f>IF(SchmidtTheory!AP117&gt;ActuatorSIZING!$G$44,SchmidtTheory!AP117,"")</f>
        <v>#VALUE!</v>
      </c>
      <c r="AQ19" s="85" t="e">
        <f>IF(SchmidtTheory!AQ117&gt;ActuatorSIZING!$G$44,SchmidtTheory!AQ117,"")</f>
        <v>#VALUE!</v>
      </c>
      <c r="AR19" s="85" t="e">
        <f>IF(SchmidtTheory!AR117&gt;ActuatorSIZING!$G$44,SchmidtTheory!AR117,"")</f>
        <v>#VALUE!</v>
      </c>
      <c r="AS19" s="85" t="e">
        <f>IF(SchmidtTheory!AS117&gt;ActuatorSIZING!$G$44,SchmidtTheory!AS117,"")</f>
        <v>#VALUE!</v>
      </c>
      <c r="AT19" s="85" t="e">
        <f>IF(SchmidtTheory!AT117&gt;ActuatorSIZING!$G$44,SchmidtTheory!AT117,"")</f>
        <v>#VALUE!</v>
      </c>
      <c r="AU19" s="85" t="e">
        <f>IF(SchmidtTheory!AU117&gt;ActuatorSIZING!$G$44,SchmidtTheory!AU117,"")</f>
        <v>#VALUE!</v>
      </c>
      <c r="AV19" s="85" t="e">
        <f>IF(SchmidtTheory!AV117&gt;ActuatorSIZING!$G$44,SchmidtTheory!AV117,"")</f>
        <v>#VALUE!</v>
      </c>
      <c r="AW19" s="96">
        <v>500</v>
      </c>
      <c r="AX19" s="93" t="e">
        <f>IF(AW19&gt;ActuatorSIZING!$G$44,SchmidtTheory!AW19,"")</f>
        <v>#VALUE!</v>
      </c>
      <c r="AY19" s="95" t="e">
        <f>IF(SELECTION!$P$46=SchmidtTheory!G19,SchmidtTheory!AX19,"")</f>
        <v>#VALUE!</v>
      </c>
      <c r="AZ19" s="93" t="e">
        <f>IF(SELECTION!$AJ$24&gt;(I19+0.3),SchmidtTheory!AY19,"")</f>
        <v>#VALUE!</v>
      </c>
      <c r="BA19" s="103" t="s">
        <v>210</v>
      </c>
      <c r="BB19" s="93" t="e">
        <f t="shared" ref="BB19:BB38" si="1">SMALL(N19:AV19,1)</f>
        <v>#VALUE!</v>
      </c>
      <c r="BC19" s="93" t="e">
        <f>IF(SELECTION!$P$46=SchmidtTheory!G19,SchmidtTheory!BB19,"")</f>
        <v>#VALUE!</v>
      </c>
      <c r="BD19" s="93" t="e">
        <f>IF(SELECTION!$AJ$24&gt;(I19+0.3),SchmidtTheory!BC19,"")</f>
        <v>#VALUE!</v>
      </c>
      <c r="BE19" s="93" t="b">
        <f t="shared" si="0"/>
        <v>0</v>
      </c>
      <c r="BF19" s="103" t="s">
        <v>210</v>
      </c>
    </row>
    <row r="20" spans="2:58" x14ac:dyDescent="0.2">
      <c r="B20" s="42" t="s">
        <v>209</v>
      </c>
      <c r="D20" s="107">
        <v>500</v>
      </c>
      <c r="F20" s="589"/>
      <c r="G20" s="598"/>
      <c r="H20" s="102">
        <v>0.5</v>
      </c>
      <c r="I20" s="101">
        <v>1.9</v>
      </c>
      <c r="J20" s="100">
        <v>2.4</v>
      </c>
      <c r="K20" s="99">
        <v>1250</v>
      </c>
      <c r="L20" s="98">
        <v>6</v>
      </c>
      <c r="M20" s="97">
        <v>10250</v>
      </c>
      <c r="N20" s="85" t="e">
        <f>IF(SchmidtTheory!N118&gt;ActuatorSIZING!$G$44,SchmidtTheory!N118,"")</f>
        <v>#VALUE!</v>
      </c>
      <c r="O20" s="85" t="e">
        <f>IF(SchmidtTheory!O118&gt;ActuatorSIZING!$G$44,SchmidtTheory!O118,"")</f>
        <v>#VALUE!</v>
      </c>
      <c r="P20" s="85" t="e">
        <f>IF(SchmidtTheory!P118&gt;ActuatorSIZING!$G$44,SchmidtTheory!P118,"")</f>
        <v>#VALUE!</v>
      </c>
      <c r="Q20" s="85" t="e">
        <f>IF(SchmidtTheory!Q118&gt;ActuatorSIZING!$G$44,SchmidtTheory!Q118,"")</f>
        <v>#VALUE!</v>
      </c>
      <c r="R20" s="85" t="e">
        <f>IF(SchmidtTheory!R118&gt;ActuatorSIZING!$G$44,SchmidtTheory!R118,"")</f>
        <v>#VALUE!</v>
      </c>
      <c r="S20" s="85" t="e">
        <f>IF(SchmidtTheory!S118&gt;ActuatorSIZING!$G$44,SchmidtTheory!S118,"")</f>
        <v>#VALUE!</v>
      </c>
      <c r="T20" s="85" t="e">
        <f>IF(SchmidtTheory!T118&gt;ActuatorSIZING!$G$44,SchmidtTheory!T118,"")</f>
        <v>#VALUE!</v>
      </c>
      <c r="U20" s="85" t="e">
        <f>IF(SchmidtTheory!U118&gt;ActuatorSIZING!$G$44,SchmidtTheory!U118,"")</f>
        <v>#VALUE!</v>
      </c>
      <c r="V20" s="85" t="e">
        <f>IF(SchmidtTheory!V118&gt;ActuatorSIZING!$G$44,SchmidtTheory!V118,"")</f>
        <v>#VALUE!</v>
      </c>
      <c r="W20" s="85" t="e">
        <f>IF(SchmidtTheory!W118&gt;ActuatorSIZING!$G$44,SchmidtTheory!W118,"")</f>
        <v>#VALUE!</v>
      </c>
      <c r="X20" s="85" t="e">
        <f>IF(SchmidtTheory!X118&gt;ActuatorSIZING!$G$44,SchmidtTheory!X118,"")</f>
        <v>#VALUE!</v>
      </c>
      <c r="Y20" s="85" t="e">
        <f>IF(SchmidtTheory!Y118&gt;ActuatorSIZING!$G$44,SchmidtTheory!Y118,"")</f>
        <v>#VALUE!</v>
      </c>
      <c r="Z20" s="85" t="e">
        <f>IF(SchmidtTheory!Z118&gt;ActuatorSIZING!$G$44,SchmidtTheory!Z118,"")</f>
        <v>#VALUE!</v>
      </c>
      <c r="AA20" s="85" t="e">
        <f>IF(SchmidtTheory!AA118&gt;ActuatorSIZING!$G$44,SchmidtTheory!AA118,"")</f>
        <v>#VALUE!</v>
      </c>
      <c r="AB20" s="85" t="e">
        <f>IF(SchmidtTheory!AB118&gt;ActuatorSIZING!$G$44,SchmidtTheory!AB118,"")</f>
        <v>#VALUE!</v>
      </c>
      <c r="AC20" s="85" t="e">
        <f>IF(SchmidtTheory!AC118&gt;ActuatorSIZING!$G$44,SchmidtTheory!AC118,"")</f>
        <v>#VALUE!</v>
      </c>
      <c r="AD20" s="85" t="e">
        <f>IF(SchmidtTheory!AD118&gt;ActuatorSIZING!$G$44,SchmidtTheory!AD118,"")</f>
        <v>#VALUE!</v>
      </c>
      <c r="AE20" s="85" t="e">
        <f>IF(SchmidtTheory!AE118&gt;ActuatorSIZING!$G$44,SchmidtTheory!AE118,"")</f>
        <v>#VALUE!</v>
      </c>
      <c r="AF20" s="85" t="e">
        <f>IF(SchmidtTheory!AF118&gt;ActuatorSIZING!$G$44,SchmidtTheory!AF118,"")</f>
        <v>#VALUE!</v>
      </c>
      <c r="AG20" s="85" t="e">
        <f>IF(SchmidtTheory!AG118&gt;ActuatorSIZING!$G$44,SchmidtTheory!AG118,"")</f>
        <v>#VALUE!</v>
      </c>
      <c r="AH20" s="85" t="e">
        <f>IF(SchmidtTheory!AH118&gt;ActuatorSIZING!$G$44,SchmidtTheory!AH118,"")</f>
        <v>#VALUE!</v>
      </c>
      <c r="AI20" s="85" t="e">
        <f>IF(SchmidtTheory!AI118&gt;ActuatorSIZING!$G$44,SchmidtTheory!AI118,"")</f>
        <v>#VALUE!</v>
      </c>
      <c r="AJ20" s="85" t="e">
        <f>IF(SchmidtTheory!AJ118&gt;ActuatorSIZING!$G$44,SchmidtTheory!AJ118,"")</f>
        <v>#VALUE!</v>
      </c>
      <c r="AK20" s="85" t="e">
        <f>IF(SchmidtTheory!AK118&gt;ActuatorSIZING!$G$44,SchmidtTheory!AK118,"")</f>
        <v>#VALUE!</v>
      </c>
      <c r="AL20" s="85" t="e">
        <f>IF(SchmidtTheory!AL118&gt;ActuatorSIZING!$G$44,SchmidtTheory!AL118,"")</f>
        <v>#VALUE!</v>
      </c>
      <c r="AM20" s="85" t="e">
        <f>IF(SchmidtTheory!AM118&gt;ActuatorSIZING!$G$44,SchmidtTheory!AM118,"")</f>
        <v>#VALUE!</v>
      </c>
      <c r="AN20" s="85" t="e">
        <f>IF(SchmidtTheory!AN118&gt;ActuatorSIZING!$G$44,SchmidtTheory!AN118,"")</f>
        <v>#VALUE!</v>
      </c>
      <c r="AO20" s="85" t="e">
        <f>IF(SchmidtTheory!AO118&gt;ActuatorSIZING!$G$44,SchmidtTheory!AO118,"")</f>
        <v>#VALUE!</v>
      </c>
      <c r="AP20" s="85" t="e">
        <f>IF(SchmidtTheory!AP118&gt;ActuatorSIZING!$G$44,SchmidtTheory!AP118,"")</f>
        <v>#VALUE!</v>
      </c>
      <c r="AQ20" s="85" t="e">
        <f>IF(SchmidtTheory!AQ118&gt;ActuatorSIZING!$G$44,SchmidtTheory!AQ118,"")</f>
        <v>#VALUE!</v>
      </c>
      <c r="AR20" s="85" t="e">
        <f>IF(SchmidtTheory!AR118&gt;ActuatorSIZING!$G$44,SchmidtTheory!AR118,"")</f>
        <v>#VALUE!</v>
      </c>
      <c r="AS20" s="85" t="e">
        <f>IF(SchmidtTheory!AS118&gt;ActuatorSIZING!$G$44,SchmidtTheory!AS118,"")</f>
        <v>#VALUE!</v>
      </c>
      <c r="AT20" s="85" t="e">
        <f>IF(SchmidtTheory!AT118&gt;ActuatorSIZING!$G$44,SchmidtTheory!AT118,"")</f>
        <v>#VALUE!</v>
      </c>
      <c r="AU20" s="85" t="e">
        <f>IF(SchmidtTheory!AU118&gt;ActuatorSIZING!$G$44,SchmidtTheory!AU118,"")</f>
        <v>#VALUE!</v>
      </c>
      <c r="AV20" s="85" t="e">
        <f>IF(SchmidtTheory!AV118&gt;ActuatorSIZING!$G$44,SchmidtTheory!AV118,"")</f>
        <v>#VALUE!</v>
      </c>
      <c r="AW20" s="96">
        <v>1250</v>
      </c>
      <c r="AX20" s="93" t="e">
        <f>IF(AW20&gt;ActuatorSIZING!$G$44,SchmidtTheory!AW20,"")</f>
        <v>#VALUE!</v>
      </c>
      <c r="AY20" s="95" t="e">
        <f>IF(SELECTION!$P$46=SchmidtTheory!G19,SchmidtTheory!AX20,"")</f>
        <v>#VALUE!</v>
      </c>
      <c r="AZ20" s="93" t="e">
        <f>IF(SELECTION!$AJ$24&gt;(I20+0.3),SchmidtTheory!AY20,"")</f>
        <v>#VALUE!</v>
      </c>
      <c r="BA20" s="103" t="s">
        <v>208</v>
      </c>
      <c r="BB20" s="93" t="e">
        <f t="shared" si="1"/>
        <v>#VALUE!</v>
      </c>
      <c r="BC20" s="93" t="e">
        <f>IF(SELECTION!$P$46=SchmidtTheory!G19,SchmidtTheory!BB20,"")</f>
        <v>#VALUE!</v>
      </c>
      <c r="BD20" s="93" t="e">
        <f>IF(SELECTION!$AJ$24&gt;(I20+0.3),SchmidtTheory!BC20,"")</f>
        <v>#VALUE!</v>
      </c>
      <c r="BE20" s="93" t="b">
        <f t="shared" si="0"/>
        <v>0</v>
      </c>
      <c r="BF20" s="103" t="s">
        <v>208</v>
      </c>
    </row>
    <row r="21" spans="2:58" x14ac:dyDescent="0.2">
      <c r="B21" s="42" t="s">
        <v>207</v>
      </c>
      <c r="D21" s="107">
        <v>700</v>
      </c>
      <c r="F21" s="589"/>
      <c r="G21" s="598"/>
      <c r="H21" s="102">
        <v>1</v>
      </c>
      <c r="I21" s="101">
        <v>2.4</v>
      </c>
      <c r="J21" s="100">
        <v>3.4</v>
      </c>
      <c r="K21" s="99">
        <v>2500</v>
      </c>
      <c r="L21" s="98">
        <v>6</v>
      </c>
      <c r="M21" s="97">
        <v>9000</v>
      </c>
      <c r="N21" s="85" t="e">
        <f>IF(SchmidtTheory!N119&gt;ActuatorSIZING!$G$44,SchmidtTheory!N119,"")</f>
        <v>#VALUE!</v>
      </c>
      <c r="O21" s="85" t="e">
        <f>IF(SchmidtTheory!O119&gt;ActuatorSIZING!$G$44,SchmidtTheory!O119,"")</f>
        <v>#VALUE!</v>
      </c>
      <c r="P21" s="85" t="e">
        <f>IF(SchmidtTheory!P119&gt;ActuatorSIZING!$G$44,SchmidtTheory!P119,"")</f>
        <v>#VALUE!</v>
      </c>
      <c r="Q21" s="85" t="e">
        <f>IF(SchmidtTheory!Q119&gt;ActuatorSIZING!$G$44,SchmidtTheory!Q119,"")</f>
        <v>#VALUE!</v>
      </c>
      <c r="R21" s="85" t="e">
        <f>IF(SchmidtTheory!R119&gt;ActuatorSIZING!$G$44,SchmidtTheory!R119,"")</f>
        <v>#VALUE!</v>
      </c>
      <c r="S21" s="85" t="e">
        <f>IF(SchmidtTheory!S119&gt;ActuatorSIZING!$G$44,SchmidtTheory!S119,"")</f>
        <v>#VALUE!</v>
      </c>
      <c r="T21" s="85" t="e">
        <f>IF(SchmidtTheory!T119&gt;ActuatorSIZING!$G$44,SchmidtTheory!T119,"")</f>
        <v>#VALUE!</v>
      </c>
      <c r="U21" s="85" t="e">
        <f>IF(SchmidtTheory!U119&gt;ActuatorSIZING!$G$44,SchmidtTheory!U119,"")</f>
        <v>#VALUE!</v>
      </c>
      <c r="V21" s="85" t="e">
        <f>IF(SchmidtTheory!V119&gt;ActuatorSIZING!$G$44,SchmidtTheory!V119,"")</f>
        <v>#VALUE!</v>
      </c>
      <c r="W21" s="85" t="e">
        <f>IF(SchmidtTheory!W119&gt;ActuatorSIZING!$G$44,SchmidtTheory!W119,"")</f>
        <v>#VALUE!</v>
      </c>
      <c r="X21" s="85" t="e">
        <f>IF(SchmidtTheory!X119&gt;ActuatorSIZING!$G$44,SchmidtTheory!X119,"")</f>
        <v>#VALUE!</v>
      </c>
      <c r="Y21" s="85" t="e">
        <f>IF(SchmidtTheory!Y119&gt;ActuatorSIZING!$G$44,SchmidtTheory!Y119,"")</f>
        <v>#VALUE!</v>
      </c>
      <c r="Z21" s="85" t="e">
        <f>IF(SchmidtTheory!Z119&gt;ActuatorSIZING!$G$44,SchmidtTheory!Z119,"")</f>
        <v>#VALUE!</v>
      </c>
      <c r="AA21" s="85" t="e">
        <f>IF(SchmidtTheory!AA119&gt;ActuatorSIZING!$G$44,SchmidtTheory!AA119,"")</f>
        <v>#VALUE!</v>
      </c>
      <c r="AB21" s="85" t="e">
        <f>IF(SchmidtTheory!AB119&gt;ActuatorSIZING!$G$44,SchmidtTheory!AB119,"")</f>
        <v>#VALUE!</v>
      </c>
      <c r="AC21" s="85" t="e">
        <f>IF(SchmidtTheory!AC119&gt;ActuatorSIZING!$G$44,SchmidtTheory!AC119,"")</f>
        <v>#VALUE!</v>
      </c>
      <c r="AD21" s="85" t="e">
        <f>IF(SchmidtTheory!AD119&gt;ActuatorSIZING!$G$44,SchmidtTheory!AD119,"")</f>
        <v>#VALUE!</v>
      </c>
      <c r="AE21" s="85" t="e">
        <f>IF(SchmidtTheory!AE119&gt;ActuatorSIZING!$G$44,SchmidtTheory!AE119,"")</f>
        <v>#VALUE!</v>
      </c>
      <c r="AF21" s="85" t="e">
        <f>IF(SchmidtTheory!AF119&gt;ActuatorSIZING!$G$44,SchmidtTheory!AF119,"")</f>
        <v>#VALUE!</v>
      </c>
      <c r="AG21" s="85" t="e">
        <f>IF(SchmidtTheory!AG119&gt;ActuatorSIZING!$G$44,SchmidtTheory!AG119,"")</f>
        <v>#VALUE!</v>
      </c>
      <c r="AH21" s="85" t="e">
        <f>IF(SchmidtTheory!AH119&gt;ActuatorSIZING!$G$44,SchmidtTheory!AH119,"")</f>
        <v>#VALUE!</v>
      </c>
      <c r="AI21" s="85" t="e">
        <f>IF(SchmidtTheory!AI119&gt;ActuatorSIZING!$G$44,SchmidtTheory!AI119,"")</f>
        <v>#VALUE!</v>
      </c>
      <c r="AJ21" s="85" t="e">
        <f>IF(SchmidtTheory!AJ119&gt;ActuatorSIZING!$G$44,SchmidtTheory!AJ119,"")</f>
        <v>#VALUE!</v>
      </c>
      <c r="AK21" s="85" t="e">
        <f>IF(SchmidtTheory!AK119&gt;ActuatorSIZING!$G$44,SchmidtTheory!AK119,"")</f>
        <v>#VALUE!</v>
      </c>
      <c r="AL21" s="85" t="e">
        <f>IF(SchmidtTheory!AL119&gt;ActuatorSIZING!$G$44,SchmidtTheory!AL119,"")</f>
        <v>#VALUE!</v>
      </c>
      <c r="AM21" s="85" t="e">
        <f>IF(SchmidtTheory!AM119&gt;ActuatorSIZING!$G$44,SchmidtTheory!AM119,"")</f>
        <v>#VALUE!</v>
      </c>
      <c r="AN21" s="85" t="e">
        <f>IF(SchmidtTheory!AN119&gt;ActuatorSIZING!$G$44,SchmidtTheory!AN119,"")</f>
        <v>#VALUE!</v>
      </c>
      <c r="AO21" s="85" t="e">
        <f>IF(SchmidtTheory!AO119&gt;ActuatorSIZING!$G$44,SchmidtTheory!AO119,"")</f>
        <v>#VALUE!</v>
      </c>
      <c r="AP21" s="85" t="e">
        <f>IF(SchmidtTheory!AP119&gt;ActuatorSIZING!$G$44,SchmidtTheory!AP119,"")</f>
        <v>#VALUE!</v>
      </c>
      <c r="AQ21" s="85" t="e">
        <f>IF(SchmidtTheory!AQ119&gt;ActuatorSIZING!$G$44,SchmidtTheory!AQ119,"")</f>
        <v>#VALUE!</v>
      </c>
      <c r="AR21" s="85" t="e">
        <f>IF(SchmidtTheory!AR119&gt;ActuatorSIZING!$G$44,SchmidtTheory!AR119,"")</f>
        <v>#VALUE!</v>
      </c>
      <c r="AS21" s="85" t="e">
        <f>IF(SchmidtTheory!AS119&gt;ActuatorSIZING!$G$44,SchmidtTheory!AS119,"")</f>
        <v>#VALUE!</v>
      </c>
      <c r="AT21" s="85" t="e">
        <f>IF(SchmidtTheory!AT119&gt;ActuatorSIZING!$G$44,SchmidtTheory!AT119,"")</f>
        <v>#VALUE!</v>
      </c>
      <c r="AU21" s="85" t="e">
        <f>IF(SchmidtTheory!AU119&gt;ActuatorSIZING!$G$44,SchmidtTheory!AU119,"")</f>
        <v>#VALUE!</v>
      </c>
      <c r="AV21" s="85" t="e">
        <f>IF(SchmidtTheory!AV119&gt;ActuatorSIZING!$G$44,SchmidtTheory!AV119,"")</f>
        <v>#VALUE!</v>
      </c>
      <c r="AW21" s="96">
        <v>2500</v>
      </c>
      <c r="AX21" s="93" t="e">
        <f>IF(AW21&gt;ActuatorSIZING!$G$44,SchmidtTheory!AW21,"")</f>
        <v>#VALUE!</v>
      </c>
      <c r="AY21" s="95" t="e">
        <f>IF(SELECTION!$P$46=SchmidtTheory!G19,SchmidtTheory!AX21,"")</f>
        <v>#VALUE!</v>
      </c>
      <c r="AZ21" s="93" t="e">
        <f>IF(SELECTION!$AJ$24&gt;(I21+0.3),SchmidtTheory!AY21,"")</f>
        <v>#VALUE!</v>
      </c>
      <c r="BA21" s="103" t="s">
        <v>206</v>
      </c>
      <c r="BB21" s="93" t="e">
        <f t="shared" si="1"/>
        <v>#VALUE!</v>
      </c>
      <c r="BC21" s="93" t="e">
        <f>IF(SELECTION!$P$46=SchmidtTheory!G19,SchmidtTheory!BB21,"")</f>
        <v>#VALUE!</v>
      </c>
      <c r="BD21" s="93" t="e">
        <f>IF(SELECTION!$AJ$24&gt;(I21+0.3),SchmidtTheory!BC21,"")</f>
        <v>#VALUE!</v>
      </c>
      <c r="BE21" s="93" t="b">
        <f t="shared" si="0"/>
        <v>0</v>
      </c>
      <c r="BF21" s="103" t="s">
        <v>206</v>
      </c>
    </row>
    <row r="22" spans="2:58" x14ac:dyDescent="0.2">
      <c r="B22" s="42" t="s">
        <v>205</v>
      </c>
      <c r="D22" s="107">
        <v>1500</v>
      </c>
      <c r="F22" s="589"/>
      <c r="G22" s="598"/>
      <c r="H22" s="102">
        <v>1.5</v>
      </c>
      <c r="I22" s="101">
        <v>2.7</v>
      </c>
      <c r="J22" s="100">
        <v>4.2</v>
      </c>
      <c r="K22" s="99">
        <v>3750</v>
      </c>
      <c r="L22" s="98">
        <v>6</v>
      </c>
      <c r="M22" s="97">
        <v>8250</v>
      </c>
      <c r="N22" s="85" t="e">
        <f>IF(SchmidtTheory!N120&gt;ActuatorSIZING!$G$44,SchmidtTheory!N120,"")</f>
        <v>#VALUE!</v>
      </c>
      <c r="O22" s="85" t="e">
        <f>IF(SchmidtTheory!O120&gt;ActuatorSIZING!$G$44,SchmidtTheory!O120,"")</f>
        <v>#VALUE!</v>
      </c>
      <c r="P22" s="85" t="e">
        <f>IF(SchmidtTheory!P120&gt;ActuatorSIZING!$G$44,SchmidtTheory!P120,"")</f>
        <v>#VALUE!</v>
      </c>
      <c r="Q22" s="85" t="e">
        <f>IF(SchmidtTheory!Q120&gt;ActuatorSIZING!$G$44,SchmidtTheory!Q120,"")</f>
        <v>#VALUE!</v>
      </c>
      <c r="R22" s="85" t="e">
        <f>IF(SchmidtTheory!R120&gt;ActuatorSIZING!$G$44,SchmidtTheory!R120,"")</f>
        <v>#VALUE!</v>
      </c>
      <c r="S22" s="85" t="e">
        <f>IF(SchmidtTheory!S120&gt;ActuatorSIZING!$G$44,SchmidtTheory!S120,"")</f>
        <v>#VALUE!</v>
      </c>
      <c r="T22" s="85" t="e">
        <f>IF(SchmidtTheory!T120&gt;ActuatorSIZING!$G$44,SchmidtTheory!T120,"")</f>
        <v>#VALUE!</v>
      </c>
      <c r="U22" s="85" t="e">
        <f>IF(SchmidtTheory!U120&gt;ActuatorSIZING!$G$44,SchmidtTheory!U120,"")</f>
        <v>#VALUE!</v>
      </c>
      <c r="V22" s="85" t="e">
        <f>IF(SchmidtTheory!V120&gt;ActuatorSIZING!$G$44,SchmidtTheory!V120,"")</f>
        <v>#VALUE!</v>
      </c>
      <c r="W22" s="85" t="e">
        <f>IF(SchmidtTheory!W120&gt;ActuatorSIZING!$G$44,SchmidtTheory!W120,"")</f>
        <v>#VALUE!</v>
      </c>
      <c r="X22" s="85" t="e">
        <f>IF(SchmidtTheory!X120&gt;ActuatorSIZING!$G$44,SchmidtTheory!X120,"")</f>
        <v>#VALUE!</v>
      </c>
      <c r="Y22" s="85" t="e">
        <f>IF(SchmidtTheory!Y120&gt;ActuatorSIZING!$G$44,SchmidtTheory!Y120,"")</f>
        <v>#VALUE!</v>
      </c>
      <c r="Z22" s="85" t="e">
        <f>IF(SchmidtTheory!Z120&gt;ActuatorSIZING!$G$44,SchmidtTheory!Z120,"")</f>
        <v>#VALUE!</v>
      </c>
      <c r="AA22" s="85" t="e">
        <f>IF(SchmidtTheory!AA120&gt;ActuatorSIZING!$G$44,SchmidtTheory!AA120,"")</f>
        <v>#VALUE!</v>
      </c>
      <c r="AB22" s="85" t="e">
        <f>IF(SchmidtTheory!AB120&gt;ActuatorSIZING!$G$44,SchmidtTheory!AB120,"")</f>
        <v>#VALUE!</v>
      </c>
      <c r="AC22" s="85" t="e">
        <f>IF(SchmidtTheory!AC120&gt;ActuatorSIZING!$G$44,SchmidtTheory!AC120,"")</f>
        <v>#VALUE!</v>
      </c>
      <c r="AD22" s="85" t="e">
        <f>IF(SchmidtTheory!AD120&gt;ActuatorSIZING!$G$44,SchmidtTheory!AD120,"")</f>
        <v>#VALUE!</v>
      </c>
      <c r="AE22" s="85" t="e">
        <f>IF(SchmidtTheory!AE120&gt;ActuatorSIZING!$G$44,SchmidtTheory!AE120,"")</f>
        <v>#VALUE!</v>
      </c>
      <c r="AF22" s="85" t="e">
        <f>IF(SchmidtTheory!AF120&gt;ActuatorSIZING!$G$44,SchmidtTheory!AF120,"")</f>
        <v>#VALUE!</v>
      </c>
      <c r="AG22" s="85" t="e">
        <f>IF(SchmidtTheory!AG120&gt;ActuatorSIZING!$G$44,SchmidtTheory!AG120,"")</f>
        <v>#VALUE!</v>
      </c>
      <c r="AH22" s="85" t="e">
        <f>IF(SchmidtTheory!AH120&gt;ActuatorSIZING!$G$44,SchmidtTheory!AH120,"")</f>
        <v>#VALUE!</v>
      </c>
      <c r="AI22" s="85" t="e">
        <f>IF(SchmidtTheory!AI120&gt;ActuatorSIZING!$G$44,SchmidtTheory!AI120,"")</f>
        <v>#VALUE!</v>
      </c>
      <c r="AJ22" s="85" t="e">
        <f>IF(SchmidtTheory!AJ120&gt;ActuatorSIZING!$G$44,SchmidtTheory!AJ120,"")</f>
        <v>#VALUE!</v>
      </c>
      <c r="AK22" s="85" t="e">
        <f>IF(SchmidtTheory!AK120&gt;ActuatorSIZING!$G$44,SchmidtTheory!AK120,"")</f>
        <v>#VALUE!</v>
      </c>
      <c r="AL22" s="85" t="e">
        <f>IF(SchmidtTheory!AL120&gt;ActuatorSIZING!$G$44,SchmidtTheory!AL120,"")</f>
        <v>#VALUE!</v>
      </c>
      <c r="AM22" s="85" t="e">
        <f>IF(SchmidtTheory!AM120&gt;ActuatorSIZING!$G$44,SchmidtTheory!AM120,"")</f>
        <v>#VALUE!</v>
      </c>
      <c r="AN22" s="85" t="e">
        <f>IF(SchmidtTheory!AN120&gt;ActuatorSIZING!$G$44,SchmidtTheory!AN120,"")</f>
        <v>#VALUE!</v>
      </c>
      <c r="AO22" s="85" t="e">
        <f>IF(SchmidtTheory!AO120&gt;ActuatorSIZING!$G$44,SchmidtTheory!AO120,"")</f>
        <v>#VALUE!</v>
      </c>
      <c r="AP22" s="85" t="e">
        <f>IF(SchmidtTheory!AP120&gt;ActuatorSIZING!$G$44,SchmidtTheory!AP120,"")</f>
        <v>#VALUE!</v>
      </c>
      <c r="AQ22" s="85" t="e">
        <f>IF(SchmidtTheory!AQ120&gt;ActuatorSIZING!$G$44,SchmidtTheory!AQ120,"")</f>
        <v>#VALUE!</v>
      </c>
      <c r="AR22" s="85" t="e">
        <f>IF(SchmidtTheory!AR120&gt;ActuatorSIZING!$G$44,SchmidtTheory!AR120,"")</f>
        <v>#VALUE!</v>
      </c>
      <c r="AS22" s="85" t="e">
        <f>IF(SchmidtTheory!AS120&gt;ActuatorSIZING!$G$44,SchmidtTheory!AS120,"")</f>
        <v>#VALUE!</v>
      </c>
      <c r="AT22" s="85" t="e">
        <f>IF(SchmidtTheory!AT120&gt;ActuatorSIZING!$G$44,SchmidtTheory!AT120,"")</f>
        <v>#VALUE!</v>
      </c>
      <c r="AU22" s="85" t="e">
        <f>IF(SchmidtTheory!AU120&gt;ActuatorSIZING!$G$44,SchmidtTheory!AU120,"")</f>
        <v>#VALUE!</v>
      </c>
      <c r="AV22" s="85" t="e">
        <f>IF(SchmidtTheory!AV120&gt;ActuatorSIZING!$G$44,SchmidtTheory!AV120,"")</f>
        <v>#VALUE!</v>
      </c>
      <c r="AW22" s="96">
        <v>3750</v>
      </c>
      <c r="AX22" s="93" t="e">
        <f>IF(AW22&gt;ActuatorSIZING!$G$44,SchmidtTheory!AW22,"")</f>
        <v>#VALUE!</v>
      </c>
      <c r="AY22" s="95" t="e">
        <f>IF(SELECTION!$P$46=SchmidtTheory!G19,SchmidtTheory!AX22,"")</f>
        <v>#VALUE!</v>
      </c>
      <c r="AZ22" s="93" t="e">
        <f>IF(SELECTION!$AJ$24&gt;(I22+0.3),SchmidtTheory!AY22,"")</f>
        <v>#VALUE!</v>
      </c>
      <c r="BA22" s="103" t="s">
        <v>204</v>
      </c>
      <c r="BB22" s="93" t="e">
        <f t="shared" si="1"/>
        <v>#VALUE!</v>
      </c>
      <c r="BC22" s="93" t="e">
        <f>IF(SELECTION!$P$46=SchmidtTheory!G19,SchmidtTheory!BB22,"")</f>
        <v>#VALUE!</v>
      </c>
      <c r="BD22" s="93" t="e">
        <f>IF(SELECTION!$AJ$24&gt;(I22+0.3),SchmidtTheory!BC22,"")</f>
        <v>#VALUE!</v>
      </c>
      <c r="BE22" s="93" t="b">
        <f t="shared" si="0"/>
        <v>0</v>
      </c>
      <c r="BF22" s="103" t="s">
        <v>204</v>
      </c>
    </row>
    <row r="23" spans="2:58" x14ac:dyDescent="0.2">
      <c r="B23" s="42" t="s">
        <v>203</v>
      </c>
      <c r="D23" s="107">
        <v>3000</v>
      </c>
      <c r="F23" s="589"/>
      <c r="G23" s="598"/>
      <c r="H23" s="102">
        <v>1.5</v>
      </c>
      <c r="I23" s="101">
        <v>3.8</v>
      </c>
      <c r="J23" s="100">
        <v>5.3</v>
      </c>
      <c r="K23" s="99">
        <v>3750</v>
      </c>
      <c r="L23" s="98">
        <v>6</v>
      </c>
      <c r="M23" s="97">
        <v>5500</v>
      </c>
      <c r="N23" s="85" t="e">
        <f>IF(SchmidtTheory!N121&gt;ActuatorSIZING!$G$44,SchmidtTheory!N121,"")</f>
        <v>#VALUE!</v>
      </c>
      <c r="O23" s="85" t="e">
        <f>IF(SchmidtTheory!O121&gt;ActuatorSIZING!$G$44,SchmidtTheory!O121,"")</f>
        <v>#VALUE!</v>
      </c>
      <c r="P23" s="85" t="e">
        <f>IF(SchmidtTheory!P121&gt;ActuatorSIZING!$G$44,SchmidtTheory!P121,"")</f>
        <v>#VALUE!</v>
      </c>
      <c r="Q23" s="85" t="e">
        <f>IF(SchmidtTheory!Q121&gt;ActuatorSIZING!$G$44,SchmidtTheory!Q121,"")</f>
        <v>#VALUE!</v>
      </c>
      <c r="R23" s="85" t="e">
        <f>IF(SchmidtTheory!R121&gt;ActuatorSIZING!$G$44,SchmidtTheory!R121,"")</f>
        <v>#VALUE!</v>
      </c>
      <c r="S23" s="85" t="e">
        <f>IF(SchmidtTheory!S121&gt;ActuatorSIZING!$G$44,SchmidtTheory!S121,"")</f>
        <v>#VALUE!</v>
      </c>
      <c r="T23" s="85" t="e">
        <f>IF(SchmidtTheory!T121&gt;ActuatorSIZING!$G$44,SchmidtTheory!T121,"")</f>
        <v>#VALUE!</v>
      </c>
      <c r="U23" s="85" t="e">
        <f>IF(SchmidtTheory!U121&gt;ActuatorSIZING!$G$44,SchmidtTheory!U121,"")</f>
        <v>#VALUE!</v>
      </c>
      <c r="V23" s="85" t="e">
        <f>IF(SchmidtTheory!V121&gt;ActuatorSIZING!$G$44,SchmidtTheory!V121,"")</f>
        <v>#VALUE!</v>
      </c>
      <c r="W23" s="85" t="e">
        <f>IF(SchmidtTheory!W121&gt;ActuatorSIZING!$G$44,SchmidtTheory!W121,"")</f>
        <v>#VALUE!</v>
      </c>
      <c r="X23" s="85" t="e">
        <f>IF(SchmidtTheory!X121&gt;ActuatorSIZING!$G$44,SchmidtTheory!X121,"")</f>
        <v>#VALUE!</v>
      </c>
      <c r="Y23" s="85" t="e">
        <f>IF(SchmidtTheory!Y121&gt;ActuatorSIZING!$G$44,SchmidtTheory!Y121,"")</f>
        <v>#VALUE!</v>
      </c>
      <c r="Z23" s="85" t="e">
        <f>IF(SchmidtTheory!Z121&gt;ActuatorSIZING!$G$44,SchmidtTheory!Z121,"")</f>
        <v>#VALUE!</v>
      </c>
      <c r="AA23" s="85" t="e">
        <f>IF(SchmidtTheory!AA121&gt;ActuatorSIZING!$G$44,SchmidtTheory!AA121,"")</f>
        <v>#VALUE!</v>
      </c>
      <c r="AB23" s="85" t="e">
        <f>IF(SchmidtTheory!AB121&gt;ActuatorSIZING!$G$44,SchmidtTheory!AB121,"")</f>
        <v>#VALUE!</v>
      </c>
      <c r="AC23" s="85" t="e">
        <f>IF(SchmidtTheory!AC121&gt;ActuatorSIZING!$G$44,SchmidtTheory!AC121,"")</f>
        <v>#VALUE!</v>
      </c>
      <c r="AD23" s="85" t="e">
        <f>IF(SchmidtTheory!AD121&gt;ActuatorSIZING!$G$44,SchmidtTheory!AD121,"")</f>
        <v>#VALUE!</v>
      </c>
      <c r="AE23" s="85" t="e">
        <f>IF(SchmidtTheory!AE121&gt;ActuatorSIZING!$G$44,SchmidtTheory!AE121,"")</f>
        <v>#VALUE!</v>
      </c>
      <c r="AF23" s="85" t="e">
        <f>IF(SchmidtTheory!AF121&gt;ActuatorSIZING!$G$44,SchmidtTheory!AF121,"")</f>
        <v>#VALUE!</v>
      </c>
      <c r="AG23" s="85" t="e">
        <f>IF(SchmidtTheory!AG121&gt;ActuatorSIZING!$G$44,SchmidtTheory!AG121,"")</f>
        <v>#VALUE!</v>
      </c>
      <c r="AH23" s="85" t="e">
        <f>IF(SchmidtTheory!AH121&gt;ActuatorSIZING!$G$44,SchmidtTheory!AH121,"")</f>
        <v>#VALUE!</v>
      </c>
      <c r="AI23" s="85" t="e">
        <f>IF(SchmidtTheory!AI121&gt;ActuatorSIZING!$G$44,SchmidtTheory!AI121,"")</f>
        <v>#VALUE!</v>
      </c>
      <c r="AJ23" s="85" t="e">
        <f>IF(SchmidtTheory!AJ121&gt;ActuatorSIZING!$G$44,SchmidtTheory!AJ121,"")</f>
        <v>#VALUE!</v>
      </c>
      <c r="AK23" s="85" t="e">
        <f>IF(SchmidtTheory!AK121&gt;ActuatorSIZING!$G$44,SchmidtTheory!AK121,"")</f>
        <v>#VALUE!</v>
      </c>
      <c r="AL23" s="85" t="e">
        <f>IF(SchmidtTheory!AL121&gt;ActuatorSIZING!$G$44,SchmidtTheory!AL121,"")</f>
        <v>#VALUE!</v>
      </c>
      <c r="AM23" s="85" t="e">
        <f>IF(SchmidtTheory!AM121&gt;ActuatorSIZING!$G$44,SchmidtTheory!AM121,"")</f>
        <v>#VALUE!</v>
      </c>
      <c r="AN23" s="85" t="e">
        <f>IF(SchmidtTheory!AN121&gt;ActuatorSIZING!$G$44,SchmidtTheory!AN121,"")</f>
        <v>#VALUE!</v>
      </c>
      <c r="AO23" s="85" t="e">
        <f>IF(SchmidtTheory!AO121&gt;ActuatorSIZING!$G$44,SchmidtTheory!AO121,"")</f>
        <v>#VALUE!</v>
      </c>
      <c r="AP23" s="85" t="e">
        <f>IF(SchmidtTheory!AP121&gt;ActuatorSIZING!$G$44,SchmidtTheory!AP121,"")</f>
        <v>#VALUE!</v>
      </c>
      <c r="AQ23" s="85" t="e">
        <f>IF(SchmidtTheory!AQ121&gt;ActuatorSIZING!$G$44,SchmidtTheory!AQ121,"")</f>
        <v>#VALUE!</v>
      </c>
      <c r="AR23" s="85" t="e">
        <f>IF(SchmidtTheory!AR121&gt;ActuatorSIZING!$G$44,SchmidtTheory!AR121,"")</f>
        <v>#VALUE!</v>
      </c>
      <c r="AS23" s="85" t="e">
        <f>IF(SchmidtTheory!AS121&gt;ActuatorSIZING!$G$44,SchmidtTheory!AS121,"")</f>
        <v>#VALUE!</v>
      </c>
      <c r="AT23" s="85" t="e">
        <f>IF(SchmidtTheory!AT121&gt;ActuatorSIZING!$G$44,SchmidtTheory!AT121,"")</f>
        <v>#VALUE!</v>
      </c>
      <c r="AU23" s="85" t="e">
        <f>IF(SchmidtTheory!AU121&gt;ActuatorSIZING!$G$44,SchmidtTheory!AU121,"")</f>
        <v>#VALUE!</v>
      </c>
      <c r="AV23" s="85" t="e">
        <f>IF(SchmidtTheory!AV121&gt;ActuatorSIZING!$G$44,SchmidtTheory!AV121,"")</f>
        <v>#VALUE!</v>
      </c>
      <c r="AW23" s="96">
        <v>3750</v>
      </c>
      <c r="AX23" s="93" t="e">
        <f>IF(AW23&gt;ActuatorSIZING!$G$44,SchmidtTheory!AW23,"")</f>
        <v>#VALUE!</v>
      </c>
      <c r="AY23" s="95" t="e">
        <f>IF(SELECTION!$P$46=SchmidtTheory!G19,SchmidtTheory!AX23,"")</f>
        <v>#VALUE!</v>
      </c>
      <c r="AZ23" s="93" t="str">
        <f>IF(SELECTION!$AJ$24&gt;(I23+0.3),SchmidtTheory!AY23,"")</f>
        <v/>
      </c>
      <c r="BA23" s="103" t="s">
        <v>202</v>
      </c>
      <c r="BB23" s="93" t="e">
        <f t="shared" si="1"/>
        <v>#VALUE!</v>
      </c>
      <c r="BC23" s="93" t="e">
        <f>IF(SELECTION!$P$46=SchmidtTheory!G19,SchmidtTheory!BB23,"")</f>
        <v>#VALUE!</v>
      </c>
      <c r="BD23" s="93" t="str">
        <f>IF(SELECTION!$AJ$24&gt;(I23+0.3),SchmidtTheory!BC23,"")</f>
        <v/>
      </c>
      <c r="BE23" s="93" t="b">
        <f t="shared" si="0"/>
        <v>0</v>
      </c>
      <c r="BF23" s="103" t="s">
        <v>202</v>
      </c>
    </row>
    <row r="24" spans="2:58" x14ac:dyDescent="0.2">
      <c r="B24" s="42" t="s">
        <v>201</v>
      </c>
      <c r="F24" s="589"/>
      <c r="G24" s="598"/>
      <c r="H24" s="102">
        <v>2</v>
      </c>
      <c r="I24" s="101">
        <v>4.8</v>
      </c>
      <c r="J24" s="100"/>
      <c r="K24" s="99"/>
      <c r="L24" s="98">
        <v>6</v>
      </c>
      <c r="M24" s="97">
        <v>3000</v>
      </c>
      <c r="N24" s="85" t="e">
        <f>IF(SchmidtTheory!N122&gt;ActuatorSIZING!$G$44,SchmidtTheory!N122,"")</f>
        <v>#VALUE!</v>
      </c>
      <c r="O24" s="85" t="e">
        <f>IF(SchmidtTheory!O122&gt;ActuatorSIZING!$G$44,SchmidtTheory!O122,"")</f>
        <v>#VALUE!</v>
      </c>
      <c r="P24" s="85" t="e">
        <f>IF(SchmidtTheory!P122&gt;ActuatorSIZING!$G$44,SchmidtTheory!P122,"")</f>
        <v>#VALUE!</v>
      </c>
      <c r="Q24" s="85" t="e">
        <f>IF(SchmidtTheory!Q122&gt;ActuatorSIZING!$G$44,SchmidtTheory!Q122,"")</f>
        <v>#VALUE!</v>
      </c>
      <c r="R24" s="85" t="e">
        <f>IF(SchmidtTheory!R122&gt;ActuatorSIZING!$G$44,SchmidtTheory!R122,"")</f>
        <v>#VALUE!</v>
      </c>
      <c r="S24" s="85" t="e">
        <f>IF(SchmidtTheory!S122&gt;ActuatorSIZING!$G$44,SchmidtTheory!S122,"")</f>
        <v>#VALUE!</v>
      </c>
      <c r="T24" s="85" t="e">
        <f>IF(SchmidtTheory!T122&gt;ActuatorSIZING!$G$44,SchmidtTheory!T122,"")</f>
        <v>#VALUE!</v>
      </c>
      <c r="U24" s="85" t="e">
        <f>IF(SchmidtTheory!U122&gt;ActuatorSIZING!$G$44,SchmidtTheory!U122,"")</f>
        <v>#VALUE!</v>
      </c>
      <c r="V24" s="85" t="e">
        <f>IF(SchmidtTheory!V122&gt;ActuatorSIZING!$G$44,SchmidtTheory!V122,"")</f>
        <v>#VALUE!</v>
      </c>
      <c r="W24" s="85" t="e">
        <f>IF(SchmidtTheory!W122&gt;ActuatorSIZING!$G$44,SchmidtTheory!W122,"")</f>
        <v>#VALUE!</v>
      </c>
      <c r="X24" s="85" t="e">
        <f>IF(SchmidtTheory!X122&gt;ActuatorSIZING!$G$44,SchmidtTheory!X122,"")</f>
        <v>#VALUE!</v>
      </c>
      <c r="Y24" s="85" t="e">
        <f>IF(SchmidtTheory!Y122&gt;ActuatorSIZING!$G$44,SchmidtTheory!Y122,"")</f>
        <v>#VALUE!</v>
      </c>
      <c r="Z24" s="85" t="e">
        <f>IF(SchmidtTheory!Z122&gt;ActuatorSIZING!$G$44,SchmidtTheory!Z122,"")</f>
        <v>#VALUE!</v>
      </c>
      <c r="AA24" s="85" t="e">
        <f>IF(SchmidtTheory!AA122&gt;ActuatorSIZING!$G$44,SchmidtTheory!AA122,"")</f>
        <v>#VALUE!</v>
      </c>
      <c r="AB24" s="85" t="e">
        <f>IF(SchmidtTheory!AB122&gt;ActuatorSIZING!$G$44,SchmidtTheory!AB122,"")</f>
        <v>#VALUE!</v>
      </c>
      <c r="AC24" s="85" t="e">
        <f>IF(SchmidtTheory!AC122&gt;ActuatorSIZING!$G$44,SchmidtTheory!AC122,"")</f>
        <v>#VALUE!</v>
      </c>
      <c r="AD24" s="85" t="e">
        <f>IF(SchmidtTheory!AD122&gt;ActuatorSIZING!$G$44,SchmidtTheory!AD122,"")</f>
        <v>#VALUE!</v>
      </c>
      <c r="AE24" s="85" t="e">
        <f>IF(SchmidtTheory!AE122&gt;ActuatorSIZING!$G$44,SchmidtTheory!AE122,"")</f>
        <v>#VALUE!</v>
      </c>
      <c r="AF24" s="85" t="e">
        <f>IF(SchmidtTheory!AF122&gt;ActuatorSIZING!$G$44,SchmidtTheory!AF122,"")</f>
        <v>#VALUE!</v>
      </c>
      <c r="AG24" s="85" t="e">
        <f>IF(SchmidtTheory!AG122&gt;ActuatorSIZING!$G$44,SchmidtTheory!AG122,"")</f>
        <v>#VALUE!</v>
      </c>
      <c r="AH24" s="85" t="e">
        <f>IF(SchmidtTheory!AH122&gt;ActuatorSIZING!$G$44,SchmidtTheory!AH122,"")</f>
        <v>#VALUE!</v>
      </c>
      <c r="AI24" s="85" t="e">
        <f>IF(SchmidtTheory!AI122&gt;ActuatorSIZING!$G$44,SchmidtTheory!AI122,"")</f>
        <v>#VALUE!</v>
      </c>
      <c r="AJ24" s="85" t="e">
        <f>IF(SchmidtTheory!AJ122&gt;ActuatorSIZING!$G$44,SchmidtTheory!AJ122,"")</f>
        <v>#VALUE!</v>
      </c>
      <c r="AK24" s="85" t="e">
        <f>IF(SchmidtTheory!AK122&gt;ActuatorSIZING!$G$44,SchmidtTheory!AK122,"")</f>
        <v>#VALUE!</v>
      </c>
      <c r="AL24" s="85" t="e">
        <f>IF(SchmidtTheory!AL122&gt;ActuatorSIZING!$G$44,SchmidtTheory!AL122,"")</f>
        <v>#VALUE!</v>
      </c>
      <c r="AM24" s="85" t="e">
        <f>IF(SchmidtTheory!AM122&gt;ActuatorSIZING!$G$44,SchmidtTheory!AM122,"")</f>
        <v>#VALUE!</v>
      </c>
      <c r="AN24" s="85" t="e">
        <f>IF(SchmidtTheory!AN122&gt;ActuatorSIZING!$G$44,SchmidtTheory!AN122,"")</f>
        <v>#VALUE!</v>
      </c>
      <c r="AO24" s="85" t="e">
        <f>IF(SchmidtTheory!AO122&gt;ActuatorSIZING!$G$44,SchmidtTheory!AO122,"")</f>
        <v>#VALUE!</v>
      </c>
      <c r="AP24" s="85" t="e">
        <f>IF(SchmidtTheory!AP122&gt;ActuatorSIZING!$G$44,SchmidtTheory!AP122,"")</f>
        <v>#VALUE!</v>
      </c>
      <c r="AQ24" s="85" t="e">
        <f>IF(SchmidtTheory!AQ122&gt;ActuatorSIZING!$G$44,SchmidtTheory!AQ122,"")</f>
        <v>#VALUE!</v>
      </c>
      <c r="AR24" s="85" t="e">
        <f>IF(SchmidtTheory!AR122&gt;ActuatorSIZING!$G$44,SchmidtTheory!AR122,"")</f>
        <v>#VALUE!</v>
      </c>
      <c r="AS24" s="85" t="e">
        <f>IF(SchmidtTheory!AS122&gt;ActuatorSIZING!$G$44,SchmidtTheory!AS122,"")</f>
        <v>#VALUE!</v>
      </c>
      <c r="AT24" s="85" t="e">
        <f>IF(SchmidtTheory!AT122&gt;ActuatorSIZING!$G$44,SchmidtTheory!AT122,"")</f>
        <v>#VALUE!</v>
      </c>
      <c r="AU24" s="85" t="e">
        <f>IF(SchmidtTheory!AU122&gt;ActuatorSIZING!$G$44,SchmidtTheory!AU122,"")</f>
        <v>#VALUE!</v>
      </c>
      <c r="AV24" s="85" t="e">
        <f>IF(SchmidtTheory!AV122&gt;ActuatorSIZING!$G$44,SchmidtTheory!AV122,"")</f>
        <v>#VALUE!</v>
      </c>
      <c r="AW24" s="96">
        <v>5000</v>
      </c>
      <c r="AX24" s="93" t="e">
        <f>IF(AW24&gt;ActuatorSIZING!$G$44,SchmidtTheory!AW24,"")</f>
        <v>#VALUE!</v>
      </c>
      <c r="AY24" s="95" t="e">
        <f>IF(SELECTION!$P$46=SchmidtTheory!G19,SchmidtTheory!AX24,"")</f>
        <v>#VALUE!</v>
      </c>
      <c r="AZ24" s="93" t="str">
        <f>IF(SELECTION!$AJ$24&gt;(I24+0.3),SchmidtTheory!AY24,"")</f>
        <v/>
      </c>
      <c r="BA24" s="103" t="s">
        <v>200</v>
      </c>
      <c r="BB24" s="93" t="e">
        <f t="shared" si="1"/>
        <v>#VALUE!</v>
      </c>
      <c r="BC24" s="93" t="e">
        <f>IF(SELECTION!$P$46=SchmidtTheory!G19,SchmidtTheory!BB24,"")</f>
        <v>#VALUE!</v>
      </c>
      <c r="BD24" s="93" t="str">
        <f>IF(SELECTION!$AJ$24&gt;(I24+0.3),SchmidtTheory!BC24,"")</f>
        <v/>
      </c>
      <c r="BE24" s="93" t="b">
        <f t="shared" si="0"/>
        <v>0</v>
      </c>
      <c r="BF24" s="103" t="s">
        <v>200</v>
      </c>
    </row>
    <row r="25" spans="2:58" x14ac:dyDescent="0.2">
      <c r="B25" s="42" t="s">
        <v>199</v>
      </c>
      <c r="C25" s="42" t="s">
        <v>307</v>
      </c>
      <c r="D25" s="42" t="s">
        <v>306</v>
      </c>
      <c r="F25" s="589">
        <v>502</v>
      </c>
      <c r="G25" s="598">
        <v>20</v>
      </c>
      <c r="H25" s="102">
        <v>0.2</v>
      </c>
      <c r="I25" s="101">
        <v>1</v>
      </c>
      <c r="J25" s="100"/>
      <c r="K25" s="99"/>
      <c r="L25" s="98">
        <v>6</v>
      </c>
      <c r="M25" s="97">
        <v>25000</v>
      </c>
      <c r="N25" s="85" t="e">
        <f>IF(SchmidtTheory!N123&gt;ActuatorSIZING!$G$44,SchmidtTheory!N123,"")</f>
        <v>#VALUE!</v>
      </c>
      <c r="O25" s="85" t="e">
        <f>IF(SchmidtTheory!O123&gt;ActuatorSIZING!$G$44,SchmidtTheory!O123,"")</f>
        <v>#VALUE!</v>
      </c>
      <c r="P25" s="85" t="e">
        <f>IF(SchmidtTheory!P123&gt;ActuatorSIZING!$G$44,SchmidtTheory!P123,"")</f>
        <v>#VALUE!</v>
      </c>
      <c r="Q25" s="85" t="e">
        <f>IF(SchmidtTheory!Q123&gt;ActuatorSIZING!$G$44,SchmidtTheory!Q123,"")</f>
        <v>#VALUE!</v>
      </c>
      <c r="R25" s="85" t="e">
        <f>IF(SchmidtTheory!R123&gt;ActuatorSIZING!$G$44,SchmidtTheory!R123,"")</f>
        <v>#VALUE!</v>
      </c>
      <c r="S25" s="85" t="e">
        <f>IF(SchmidtTheory!S123&gt;ActuatorSIZING!$G$44,SchmidtTheory!S123,"")</f>
        <v>#VALUE!</v>
      </c>
      <c r="T25" s="85" t="e">
        <f>IF(SchmidtTheory!T123&gt;ActuatorSIZING!$G$44,SchmidtTheory!T123,"")</f>
        <v>#VALUE!</v>
      </c>
      <c r="U25" s="85" t="e">
        <f>IF(SchmidtTheory!U123&gt;ActuatorSIZING!$G$44,SchmidtTheory!U123,"")</f>
        <v>#VALUE!</v>
      </c>
      <c r="V25" s="85" t="e">
        <f>IF(SchmidtTheory!V123&gt;ActuatorSIZING!$G$44,SchmidtTheory!V123,"")</f>
        <v>#VALUE!</v>
      </c>
      <c r="W25" s="85" t="e">
        <f>IF(SchmidtTheory!W123&gt;ActuatorSIZING!$G$44,SchmidtTheory!W123,"")</f>
        <v>#VALUE!</v>
      </c>
      <c r="X25" s="85" t="e">
        <f>IF(SchmidtTheory!X123&gt;ActuatorSIZING!$G$44,SchmidtTheory!X123,"")</f>
        <v>#VALUE!</v>
      </c>
      <c r="Y25" s="85" t="e">
        <f>IF(SchmidtTheory!Y123&gt;ActuatorSIZING!$G$44,SchmidtTheory!Y123,"")</f>
        <v>#VALUE!</v>
      </c>
      <c r="Z25" s="85" t="e">
        <f>IF(SchmidtTheory!Z123&gt;ActuatorSIZING!$G$44,SchmidtTheory!Z123,"")</f>
        <v>#VALUE!</v>
      </c>
      <c r="AA25" s="85" t="e">
        <f>IF(SchmidtTheory!AA123&gt;ActuatorSIZING!$G$44,SchmidtTheory!AA123,"")</f>
        <v>#VALUE!</v>
      </c>
      <c r="AB25" s="85" t="e">
        <f>IF(SchmidtTheory!AB123&gt;ActuatorSIZING!$G$44,SchmidtTheory!AB123,"")</f>
        <v>#VALUE!</v>
      </c>
      <c r="AC25" s="85" t="e">
        <f>IF(SchmidtTheory!AC123&gt;ActuatorSIZING!$G$44,SchmidtTheory!AC123,"")</f>
        <v>#VALUE!</v>
      </c>
      <c r="AD25" s="85" t="e">
        <f>IF(SchmidtTheory!AD123&gt;ActuatorSIZING!$G$44,SchmidtTheory!AD123,"")</f>
        <v>#VALUE!</v>
      </c>
      <c r="AE25" s="85" t="e">
        <f>IF(SchmidtTheory!AE123&gt;ActuatorSIZING!$G$44,SchmidtTheory!AE123,"")</f>
        <v>#VALUE!</v>
      </c>
      <c r="AF25" s="85" t="e">
        <f>IF(SchmidtTheory!AF123&gt;ActuatorSIZING!$G$44,SchmidtTheory!AF123,"")</f>
        <v>#VALUE!</v>
      </c>
      <c r="AG25" s="85" t="e">
        <f>IF(SchmidtTheory!AG123&gt;ActuatorSIZING!$G$44,SchmidtTheory!AG123,"")</f>
        <v>#VALUE!</v>
      </c>
      <c r="AH25" s="85" t="e">
        <f>IF(SchmidtTheory!AH123&gt;ActuatorSIZING!$G$44,SchmidtTheory!AH123,"")</f>
        <v>#VALUE!</v>
      </c>
      <c r="AI25" s="85" t="e">
        <f>IF(SchmidtTheory!AI123&gt;ActuatorSIZING!$G$44,SchmidtTheory!AI123,"")</f>
        <v>#VALUE!</v>
      </c>
      <c r="AJ25" s="85" t="e">
        <f>IF(SchmidtTheory!AJ123&gt;ActuatorSIZING!$G$44,SchmidtTheory!AJ123,"")</f>
        <v>#VALUE!</v>
      </c>
      <c r="AK25" s="85" t="e">
        <f>IF(SchmidtTheory!AK123&gt;ActuatorSIZING!$G$44,SchmidtTheory!AK123,"")</f>
        <v>#VALUE!</v>
      </c>
      <c r="AL25" s="85" t="e">
        <f>IF(SchmidtTheory!AL123&gt;ActuatorSIZING!$G$44,SchmidtTheory!AL123,"")</f>
        <v>#VALUE!</v>
      </c>
      <c r="AM25" s="85" t="e">
        <f>IF(SchmidtTheory!AM123&gt;ActuatorSIZING!$G$44,SchmidtTheory!AM123,"")</f>
        <v>#VALUE!</v>
      </c>
      <c r="AN25" s="85" t="e">
        <f>IF(SchmidtTheory!AN123&gt;ActuatorSIZING!$G$44,SchmidtTheory!AN123,"")</f>
        <v>#VALUE!</v>
      </c>
      <c r="AO25" s="85" t="e">
        <f>IF(SchmidtTheory!AO123&gt;ActuatorSIZING!$G$44,SchmidtTheory!AO123,"")</f>
        <v>#VALUE!</v>
      </c>
      <c r="AP25" s="85" t="e">
        <f>IF(SchmidtTheory!AP123&gt;ActuatorSIZING!$G$44,SchmidtTheory!AP123,"")</f>
        <v>#VALUE!</v>
      </c>
      <c r="AQ25" s="85" t="e">
        <f>IF(SchmidtTheory!AQ123&gt;ActuatorSIZING!$G$44,SchmidtTheory!AQ123,"")</f>
        <v>#VALUE!</v>
      </c>
      <c r="AR25" s="85" t="e">
        <f>IF(SchmidtTheory!AR123&gt;ActuatorSIZING!$G$44,SchmidtTheory!AR123,"")</f>
        <v>#VALUE!</v>
      </c>
      <c r="AS25" s="85" t="e">
        <f>IF(SchmidtTheory!AS123&gt;ActuatorSIZING!$G$44,SchmidtTheory!AS123,"")</f>
        <v>#VALUE!</v>
      </c>
      <c r="AT25" s="85" t="e">
        <f>IF(SchmidtTheory!AT123&gt;ActuatorSIZING!$G$44,SchmidtTheory!AT123,"")</f>
        <v>#VALUE!</v>
      </c>
      <c r="AU25" s="85" t="e">
        <f>IF(SchmidtTheory!AU123&gt;ActuatorSIZING!$G$44,SchmidtTheory!AU123,"")</f>
        <v>#VALUE!</v>
      </c>
      <c r="AV25" s="85" t="e">
        <f>IF(SchmidtTheory!AV123&gt;ActuatorSIZING!$G$44,SchmidtTheory!AV123,"")</f>
        <v>#VALUE!</v>
      </c>
      <c r="AW25" s="96">
        <v>1000</v>
      </c>
      <c r="AX25" s="93" t="e">
        <f>IF(AW25&gt;ActuatorSIZING!$G$44,SchmidtTheory!AW25,"")</f>
        <v>#VALUE!</v>
      </c>
      <c r="AY25" s="95" t="e">
        <f>IF(SELECTION!$P$46=SchmidtTheory!G19,SchmidtTheory!AX25,"")</f>
        <v>#VALUE!</v>
      </c>
      <c r="AZ25" s="93" t="e">
        <f>IF(SELECTION!$AJ$24&gt;(I25+0.3),SchmidtTheory!AY25,"")</f>
        <v>#VALUE!</v>
      </c>
      <c r="BA25" s="103" t="s">
        <v>198</v>
      </c>
      <c r="BB25" s="93" t="e">
        <f t="shared" si="1"/>
        <v>#VALUE!</v>
      </c>
      <c r="BC25" s="93" t="e">
        <f>IF(SELECTION!$P$46=SchmidtTheory!G25,SchmidtTheory!BB25,"")</f>
        <v>#VALUE!</v>
      </c>
      <c r="BD25" s="93" t="e">
        <f>IF(SELECTION!$AJ$24&gt;(I25+0.3),SchmidtTheory!BC25,"")</f>
        <v>#VALUE!</v>
      </c>
      <c r="BE25" s="93" t="b">
        <f t="shared" si="0"/>
        <v>0</v>
      </c>
      <c r="BF25" s="103" t="s">
        <v>198</v>
      </c>
    </row>
    <row r="26" spans="2:58" x14ac:dyDescent="0.2">
      <c r="B26" s="42" t="s">
        <v>197</v>
      </c>
      <c r="C26" s="42" t="s">
        <v>262</v>
      </c>
      <c r="D26" s="42" t="s">
        <v>261</v>
      </c>
      <c r="F26" s="589"/>
      <c r="G26" s="598"/>
      <c r="H26" s="102">
        <v>0.5</v>
      </c>
      <c r="I26" s="101">
        <v>1.9</v>
      </c>
      <c r="J26" s="100">
        <v>2.4</v>
      </c>
      <c r="K26" s="99">
        <v>2500</v>
      </c>
      <c r="L26" s="98">
        <v>6</v>
      </c>
      <c r="M26" s="97">
        <v>20500</v>
      </c>
      <c r="N26" s="85" t="e">
        <f>IF(SchmidtTheory!N124&gt;ActuatorSIZING!$G$44,SchmidtTheory!N124,"")</f>
        <v>#VALUE!</v>
      </c>
      <c r="O26" s="85" t="e">
        <f>IF(SchmidtTheory!O124&gt;ActuatorSIZING!$G$44,SchmidtTheory!O124,"")</f>
        <v>#VALUE!</v>
      </c>
      <c r="P26" s="85" t="e">
        <f>IF(SchmidtTheory!P124&gt;ActuatorSIZING!$G$44,SchmidtTheory!P124,"")</f>
        <v>#VALUE!</v>
      </c>
      <c r="Q26" s="85" t="e">
        <f>IF(SchmidtTheory!Q124&gt;ActuatorSIZING!$G$44,SchmidtTheory!Q124,"")</f>
        <v>#VALUE!</v>
      </c>
      <c r="R26" s="85" t="e">
        <f>IF(SchmidtTheory!R124&gt;ActuatorSIZING!$G$44,SchmidtTheory!R124,"")</f>
        <v>#VALUE!</v>
      </c>
      <c r="S26" s="85" t="e">
        <f>IF(SchmidtTheory!S124&gt;ActuatorSIZING!$G$44,SchmidtTheory!S124,"")</f>
        <v>#VALUE!</v>
      </c>
      <c r="T26" s="85" t="e">
        <f>IF(SchmidtTheory!T124&gt;ActuatorSIZING!$G$44,SchmidtTheory!T124,"")</f>
        <v>#VALUE!</v>
      </c>
      <c r="U26" s="85" t="e">
        <f>IF(SchmidtTheory!U124&gt;ActuatorSIZING!$G$44,SchmidtTheory!U124,"")</f>
        <v>#VALUE!</v>
      </c>
      <c r="V26" s="85" t="e">
        <f>IF(SchmidtTheory!V124&gt;ActuatorSIZING!$G$44,SchmidtTheory!V124,"")</f>
        <v>#VALUE!</v>
      </c>
      <c r="W26" s="85" t="e">
        <f>IF(SchmidtTheory!W124&gt;ActuatorSIZING!$G$44,SchmidtTheory!W124,"")</f>
        <v>#VALUE!</v>
      </c>
      <c r="X26" s="85" t="e">
        <f>IF(SchmidtTheory!X124&gt;ActuatorSIZING!$G$44,SchmidtTheory!X124,"")</f>
        <v>#VALUE!</v>
      </c>
      <c r="Y26" s="85" t="e">
        <f>IF(SchmidtTheory!Y124&gt;ActuatorSIZING!$G$44,SchmidtTheory!Y124,"")</f>
        <v>#VALUE!</v>
      </c>
      <c r="Z26" s="85" t="e">
        <f>IF(SchmidtTheory!Z124&gt;ActuatorSIZING!$G$44,SchmidtTheory!Z124,"")</f>
        <v>#VALUE!</v>
      </c>
      <c r="AA26" s="85" t="e">
        <f>IF(SchmidtTheory!AA124&gt;ActuatorSIZING!$G$44,SchmidtTheory!AA124,"")</f>
        <v>#VALUE!</v>
      </c>
      <c r="AB26" s="85" t="e">
        <f>IF(SchmidtTheory!AB124&gt;ActuatorSIZING!$G$44,SchmidtTheory!AB124,"")</f>
        <v>#VALUE!</v>
      </c>
      <c r="AC26" s="85" t="e">
        <f>IF(SchmidtTheory!AC124&gt;ActuatorSIZING!$G$44,SchmidtTheory!AC124,"")</f>
        <v>#VALUE!</v>
      </c>
      <c r="AD26" s="85" t="e">
        <f>IF(SchmidtTheory!AD124&gt;ActuatorSIZING!$G$44,SchmidtTheory!AD124,"")</f>
        <v>#VALUE!</v>
      </c>
      <c r="AE26" s="85" t="e">
        <f>IF(SchmidtTheory!AE124&gt;ActuatorSIZING!$G$44,SchmidtTheory!AE124,"")</f>
        <v>#VALUE!</v>
      </c>
      <c r="AF26" s="85" t="e">
        <f>IF(SchmidtTheory!AF124&gt;ActuatorSIZING!$G$44,SchmidtTheory!AF124,"")</f>
        <v>#VALUE!</v>
      </c>
      <c r="AG26" s="85" t="e">
        <f>IF(SchmidtTheory!AG124&gt;ActuatorSIZING!$G$44,SchmidtTheory!AG124,"")</f>
        <v>#VALUE!</v>
      </c>
      <c r="AH26" s="85" t="e">
        <f>IF(SchmidtTheory!AH124&gt;ActuatorSIZING!$G$44,SchmidtTheory!AH124,"")</f>
        <v>#VALUE!</v>
      </c>
      <c r="AI26" s="85" t="e">
        <f>IF(SchmidtTheory!AI124&gt;ActuatorSIZING!$G$44,SchmidtTheory!AI124,"")</f>
        <v>#VALUE!</v>
      </c>
      <c r="AJ26" s="85" t="e">
        <f>IF(SchmidtTheory!AJ124&gt;ActuatorSIZING!$G$44,SchmidtTheory!AJ124,"")</f>
        <v>#VALUE!</v>
      </c>
      <c r="AK26" s="85" t="e">
        <f>IF(SchmidtTheory!AK124&gt;ActuatorSIZING!$G$44,SchmidtTheory!AK124,"")</f>
        <v>#VALUE!</v>
      </c>
      <c r="AL26" s="85" t="e">
        <f>IF(SchmidtTheory!AL124&gt;ActuatorSIZING!$G$44,SchmidtTheory!AL124,"")</f>
        <v>#VALUE!</v>
      </c>
      <c r="AM26" s="85" t="e">
        <f>IF(SchmidtTheory!AM124&gt;ActuatorSIZING!$G$44,SchmidtTheory!AM124,"")</f>
        <v>#VALUE!</v>
      </c>
      <c r="AN26" s="85" t="e">
        <f>IF(SchmidtTheory!AN124&gt;ActuatorSIZING!$G$44,SchmidtTheory!AN124,"")</f>
        <v>#VALUE!</v>
      </c>
      <c r="AO26" s="85" t="e">
        <f>IF(SchmidtTheory!AO124&gt;ActuatorSIZING!$G$44,SchmidtTheory!AO124,"")</f>
        <v>#VALUE!</v>
      </c>
      <c r="AP26" s="85" t="e">
        <f>IF(SchmidtTheory!AP124&gt;ActuatorSIZING!$G$44,SchmidtTheory!AP124,"")</f>
        <v>#VALUE!</v>
      </c>
      <c r="AQ26" s="85" t="e">
        <f>IF(SchmidtTheory!AQ124&gt;ActuatorSIZING!$G$44,SchmidtTheory!AQ124,"")</f>
        <v>#VALUE!</v>
      </c>
      <c r="AR26" s="85" t="e">
        <f>IF(SchmidtTheory!AR124&gt;ActuatorSIZING!$G$44,SchmidtTheory!AR124,"")</f>
        <v>#VALUE!</v>
      </c>
      <c r="AS26" s="85" t="e">
        <f>IF(SchmidtTheory!AS124&gt;ActuatorSIZING!$G$44,SchmidtTheory!AS124,"")</f>
        <v>#VALUE!</v>
      </c>
      <c r="AT26" s="85" t="e">
        <f>IF(SchmidtTheory!AT124&gt;ActuatorSIZING!$G$44,SchmidtTheory!AT124,"")</f>
        <v>#VALUE!</v>
      </c>
      <c r="AU26" s="85" t="e">
        <f>IF(SchmidtTheory!AU124&gt;ActuatorSIZING!$G$44,SchmidtTheory!AU124,"")</f>
        <v>#VALUE!</v>
      </c>
      <c r="AV26" s="85" t="e">
        <f>IF(SchmidtTheory!AV124&gt;ActuatorSIZING!$G$44,SchmidtTheory!AV124,"")</f>
        <v>#VALUE!</v>
      </c>
      <c r="AW26" s="96">
        <v>2500</v>
      </c>
      <c r="AX26" s="93" t="e">
        <f>IF(AW26&gt;ActuatorSIZING!$G$44,SchmidtTheory!AW26,"")</f>
        <v>#VALUE!</v>
      </c>
      <c r="AY26" s="95" t="e">
        <f>IF(SELECTION!$P$46=SchmidtTheory!G19,SchmidtTheory!AX26,"")</f>
        <v>#VALUE!</v>
      </c>
      <c r="AZ26" s="93" t="e">
        <f>IF(SELECTION!$AJ$24&gt;(I26+0.3),SchmidtTheory!AY26,"")</f>
        <v>#VALUE!</v>
      </c>
      <c r="BA26" s="103" t="s">
        <v>196</v>
      </c>
      <c r="BB26" s="93" t="e">
        <f t="shared" si="1"/>
        <v>#VALUE!</v>
      </c>
      <c r="BC26" s="93" t="e">
        <f>IF(SELECTION!$P$46=SchmidtTheory!G25,SchmidtTheory!BB26,"")</f>
        <v>#VALUE!</v>
      </c>
      <c r="BD26" s="93" t="e">
        <f>IF(SELECTION!$AJ$24&gt;(I26+0.3),SchmidtTheory!BC26,"")</f>
        <v>#VALUE!</v>
      </c>
      <c r="BE26" s="93" t="b">
        <f t="shared" si="0"/>
        <v>0</v>
      </c>
      <c r="BF26" s="103" t="s">
        <v>196</v>
      </c>
    </row>
    <row r="27" spans="2:58" x14ac:dyDescent="0.2">
      <c r="B27" s="42" t="s">
        <v>195</v>
      </c>
      <c r="C27" s="42" t="s">
        <v>253</v>
      </c>
      <c r="D27" s="42" t="s">
        <v>252</v>
      </c>
      <c r="F27" s="589"/>
      <c r="G27" s="598"/>
      <c r="H27" s="102">
        <v>1</v>
      </c>
      <c r="I27" s="101">
        <v>2.4</v>
      </c>
      <c r="J27" s="100">
        <v>3.4</v>
      </c>
      <c r="K27" s="99">
        <v>5000</v>
      </c>
      <c r="L27" s="98">
        <v>6</v>
      </c>
      <c r="M27" s="97">
        <v>18000</v>
      </c>
      <c r="N27" s="85" t="e">
        <f>IF(SchmidtTheory!N125&gt;ActuatorSIZING!$G$44,SchmidtTheory!N125,"")</f>
        <v>#VALUE!</v>
      </c>
      <c r="O27" s="85" t="e">
        <f>IF(SchmidtTheory!O125&gt;ActuatorSIZING!$G$44,SchmidtTheory!O125,"")</f>
        <v>#VALUE!</v>
      </c>
      <c r="P27" s="85" t="e">
        <f>IF(SchmidtTheory!P125&gt;ActuatorSIZING!$G$44,SchmidtTheory!P125,"")</f>
        <v>#VALUE!</v>
      </c>
      <c r="Q27" s="85" t="e">
        <f>IF(SchmidtTheory!Q125&gt;ActuatorSIZING!$G$44,SchmidtTheory!Q125,"")</f>
        <v>#VALUE!</v>
      </c>
      <c r="R27" s="85" t="e">
        <f>IF(SchmidtTheory!R125&gt;ActuatorSIZING!$G$44,SchmidtTheory!R125,"")</f>
        <v>#VALUE!</v>
      </c>
      <c r="S27" s="85" t="e">
        <f>IF(SchmidtTheory!S125&gt;ActuatorSIZING!$G$44,SchmidtTheory!S125,"")</f>
        <v>#VALUE!</v>
      </c>
      <c r="T27" s="85" t="e">
        <f>IF(SchmidtTheory!T125&gt;ActuatorSIZING!$G$44,SchmidtTheory!T125,"")</f>
        <v>#VALUE!</v>
      </c>
      <c r="U27" s="85" t="e">
        <f>IF(SchmidtTheory!U125&gt;ActuatorSIZING!$G$44,SchmidtTheory!U125,"")</f>
        <v>#VALUE!</v>
      </c>
      <c r="V27" s="85" t="e">
        <f>IF(SchmidtTheory!V125&gt;ActuatorSIZING!$G$44,SchmidtTheory!V125,"")</f>
        <v>#VALUE!</v>
      </c>
      <c r="W27" s="85" t="e">
        <f>IF(SchmidtTheory!W125&gt;ActuatorSIZING!$G$44,SchmidtTheory!W125,"")</f>
        <v>#VALUE!</v>
      </c>
      <c r="X27" s="85" t="e">
        <f>IF(SchmidtTheory!X125&gt;ActuatorSIZING!$G$44,SchmidtTheory!X125,"")</f>
        <v>#VALUE!</v>
      </c>
      <c r="Y27" s="85" t="e">
        <f>IF(SchmidtTheory!Y125&gt;ActuatorSIZING!$G$44,SchmidtTheory!Y125,"")</f>
        <v>#VALUE!</v>
      </c>
      <c r="Z27" s="85" t="e">
        <f>IF(SchmidtTheory!Z125&gt;ActuatorSIZING!$G$44,SchmidtTheory!Z125,"")</f>
        <v>#VALUE!</v>
      </c>
      <c r="AA27" s="85" t="e">
        <f>IF(SchmidtTheory!AA125&gt;ActuatorSIZING!$G$44,SchmidtTheory!AA125,"")</f>
        <v>#VALUE!</v>
      </c>
      <c r="AB27" s="85" t="e">
        <f>IF(SchmidtTheory!AB125&gt;ActuatorSIZING!$G$44,SchmidtTheory!AB125,"")</f>
        <v>#VALUE!</v>
      </c>
      <c r="AC27" s="85" t="e">
        <f>IF(SchmidtTheory!AC125&gt;ActuatorSIZING!$G$44,SchmidtTheory!AC125,"")</f>
        <v>#VALUE!</v>
      </c>
      <c r="AD27" s="85" t="e">
        <f>IF(SchmidtTheory!AD125&gt;ActuatorSIZING!$G$44,SchmidtTheory!AD125,"")</f>
        <v>#VALUE!</v>
      </c>
      <c r="AE27" s="85" t="e">
        <f>IF(SchmidtTheory!AE125&gt;ActuatorSIZING!$G$44,SchmidtTheory!AE125,"")</f>
        <v>#VALUE!</v>
      </c>
      <c r="AF27" s="85" t="e">
        <f>IF(SchmidtTheory!AF125&gt;ActuatorSIZING!$G$44,SchmidtTheory!AF125,"")</f>
        <v>#VALUE!</v>
      </c>
      <c r="AG27" s="85" t="e">
        <f>IF(SchmidtTheory!AG125&gt;ActuatorSIZING!$G$44,SchmidtTheory!AG125,"")</f>
        <v>#VALUE!</v>
      </c>
      <c r="AH27" s="85" t="e">
        <f>IF(SchmidtTheory!AH125&gt;ActuatorSIZING!$G$44,SchmidtTheory!AH125,"")</f>
        <v>#VALUE!</v>
      </c>
      <c r="AI27" s="85" t="e">
        <f>IF(SchmidtTheory!AI125&gt;ActuatorSIZING!$G$44,SchmidtTheory!AI125,"")</f>
        <v>#VALUE!</v>
      </c>
      <c r="AJ27" s="85" t="e">
        <f>IF(SchmidtTheory!AJ125&gt;ActuatorSIZING!$G$44,SchmidtTheory!AJ125,"")</f>
        <v>#VALUE!</v>
      </c>
      <c r="AK27" s="85" t="e">
        <f>IF(SchmidtTheory!AK125&gt;ActuatorSIZING!$G$44,SchmidtTheory!AK125,"")</f>
        <v>#VALUE!</v>
      </c>
      <c r="AL27" s="85" t="e">
        <f>IF(SchmidtTheory!AL125&gt;ActuatorSIZING!$G$44,SchmidtTheory!AL125,"")</f>
        <v>#VALUE!</v>
      </c>
      <c r="AM27" s="85" t="e">
        <f>IF(SchmidtTheory!AM125&gt;ActuatorSIZING!$G$44,SchmidtTheory!AM125,"")</f>
        <v>#VALUE!</v>
      </c>
      <c r="AN27" s="85" t="e">
        <f>IF(SchmidtTheory!AN125&gt;ActuatorSIZING!$G$44,SchmidtTheory!AN125,"")</f>
        <v>#VALUE!</v>
      </c>
      <c r="AO27" s="85" t="e">
        <f>IF(SchmidtTheory!AO125&gt;ActuatorSIZING!$G$44,SchmidtTheory!AO125,"")</f>
        <v>#VALUE!</v>
      </c>
      <c r="AP27" s="85" t="e">
        <f>IF(SchmidtTheory!AP125&gt;ActuatorSIZING!$G$44,SchmidtTheory!AP125,"")</f>
        <v>#VALUE!</v>
      </c>
      <c r="AQ27" s="85" t="e">
        <f>IF(SchmidtTheory!AQ125&gt;ActuatorSIZING!$G$44,SchmidtTheory!AQ125,"")</f>
        <v>#VALUE!</v>
      </c>
      <c r="AR27" s="85" t="e">
        <f>IF(SchmidtTheory!AR125&gt;ActuatorSIZING!$G$44,SchmidtTheory!AR125,"")</f>
        <v>#VALUE!</v>
      </c>
      <c r="AS27" s="85" t="e">
        <f>IF(SchmidtTheory!AS125&gt;ActuatorSIZING!$G$44,SchmidtTheory!AS125,"")</f>
        <v>#VALUE!</v>
      </c>
      <c r="AT27" s="85" t="e">
        <f>IF(SchmidtTheory!AT125&gt;ActuatorSIZING!$G$44,SchmidtTheory!AT125,"")</f>
        <v>#VALUE!</v>
      </c>
      <c r="AU27" s="85" t="e">
        <f>IF(SchmidtTheory!AU125&gt;ActuatorSIZING!$G$44,SchmidtTheory!AU125,"")</f>
        <v>#VALUE!</v>
      </c>
      <c r="AV27" s="85" t="e">
        <f>IF(SchmidtTheory!AV125&gt;ActuatorSIZING!$G$44,SchmidtTheory!AV125,"")</f>
        <v>#VALUE!</v>
      </c>
      <c r="AW27" s="96">
        <v>5000</v>
      </c>
      <c r="AX27" s="93" t="e">
        <f>IF(AW27&gt;ActuatorSIZING!$G$44,SchmidtTheory!AW27,"")</f>
        <v>#VALUE!</v>
      </c>
      <c r="AY27" s="95" t="e">
        <f>IF(SELECTION!$P$46=SchmidtTheory!G25,SchmidtTheory!AX27,"")</f>
        <v>#VALUE!</v>
      </c>
      <c r="AZ27" s="93" t="e">
        <f>IF(SELECTION!$AJ$24&gt;(I27+0.3),SchmidtTheory!AY27,"")</f>
        <v>#VALUE!</v>
      </c>
      <c r="BA27" s="103" t="s">
        <v>194</v>
      </c>
      <c r="BB27" s="93" t="e">
        <f t="shared" si="1"/>
        <v>#VALUE!</v>
      </c>
      <c r="BC27" s="93" t="e">
        <f>IF(SELECTION!$P$46=SchmidtTheory!G25,SchmidtTheory!BB27,"")</f>
        <v>#VALUE!</v>
      </c>
      <c r="BD27" s="93" t="e">
        <f>IF(SELECTION!$AJ$24&gt;(I27+0.3),SchmidtTheory!BC27,"")</f>
        <v>#VALUE!</v>
      </c>
      <c r="BE27" s="93" t="b">
        <f t="shared" si="0"/>
        <v>0</v>
      </c>
      <c r="BF27" s="103" t="s">
        <v>194</v>
      </c>
    </row>
    <row r="28" spans="2:58" x14ac:dyDescent="0.2">
      <c r="B28" s="42" t="s">
        <v>193</v>
      </c>
      <c r="C28" s="42" t="s">
        <v>249</v>
      </c>
      <c r="D28" s="42" t="s">
        <v>248</v>
      </c>
      <c r="F28" s="589"/>
      <c r="G28" s="598"/>
      <c r="H28" s="102">
        <v>1.5</v>
      </c>
      <c r="I28" s="101">
        <v>2.7</v>
      </c>
      <c r="J28" s="100">
        <v>4.2</v>
      </c>
      <c r="K28" s="99">
        <v>7500</v>
      </c>
      <c r="L28" s="98">
        <v>6</v>
      </c>
      <c r="M28" s="97">
        <v>16500</v>
      </c>
      <c r="N28" s="85" t="e">
        <f>IF(SchmidtTheory!N126&gt;ActuatorSIZING!$G$44,SchmidtTheory!N126,"")</f>
        <v>#VALUE!</v>
      </c>
      <c r="O28" s="85" t="e">
        <f>IF(SchmidtTheory!O126&gt;ActuatorSIZING!$G$44,SchmidtTheory!O126,"")</f>
        <v>#VALUE!</v>
      </c>
      <c r="P28" s="85" t="e">
        <f>IF(SchmidtTheory!P126&gt;ActuatorSIZING!$G$44,SchmidtTheory!P126,"")</f>
        <v>#VALUE!</v>
      </c>
      <c r="Q28" s="85" t="e">
        <f>IF(SchmidtTheory!Q126&gt;ActuatorSIZING!$G$44,SchmidtTheory!Q126,"")</f>
        <v>#VALUE!</v>
      </c>
      <c r="R28" s="85" t="e">
        <f>IF(SchmidtTheory!R126&gt;ActuatorSIZING!$G$44,SchmidtTheory!R126,"")</f>
        <v>#VALUE!</v>
      </c>
      <c r="S28" s="85" t="e">
        <f>IF(SchmidtTheory!S126&gt;ActuatorSIZING!$G$44,SchmidtTheory!S126,"")</f>
        <v>#VALUE!</v>
      </c>
      <c r="T28" s="85" t="e">
        <f>IF(SchmidtTheory!T126&gt;ActuatorSIZING!$G$44,SchmidtTheory!T126,"")</f>
        <v>#VALUE!</v>
      </c>
      <c r="U28" s="85" t="e">
        <f>IF(SchmidtTheory!U126&gt;ActuatorSIZING!$G$44,SchmidtTheory!U126,"")</f>
        <v>#VALUE!</v>
      </c>
      <c r="V28" s="85" t="e">
        <f>IF(SchmidtTheory!V126&gt;ActuatorSIZING!$G$44,SchmidtTheory!V126,"")</f>
        <v>#VALUE!</v>
      </c>
      <c r="W28" s="85" t="e">
        <f>IF(SchmidtTheory!W126&gt;ActuatorSIZING!$G$44,SchmidtTheory!W126,"")</f>
        <v>#VALUE!</v>
      </c>
      <c r="X28" s="85" t="e">
        <f>IF(SchmidtTheory!X126&gt;ActuatorSIZING!$G$44,SchmidtTheory!X126,"")</f>
        <v>#VALUE!</v>
      </c>
      <c r="Y28" s="85" t="e">
        <f>IF(SchmidtTheory!Y126&gt;ActuatorSIZING!$G$44,SchmidtTheory!Y126,"")</f>
        <v>#VALUE!</v>
      </c>
      <c r="Z28" s="85" t="e">
        <f>IF(SchmidtTheory!Z126&gt;ActuatorSIZING!$G$44,SchmidtTheory!Z126,"")</f>
        <v>#VALUE!</v>
      </c>
      <c r="AA28" s="85" t="e">
        <f>IF(SchmidtTheory!AA126&gt;ActuatorSIZING!$G$44,SchmidtTheory!AA126,"")</f>
        <v>#VALUE!</v>
      </c>
      <c r="AB28" s="85" t="e">
        <f>IF(SchmidtTheory!AB126&gt;ActuatorSIZING!$G$44,SchmidtTheory!AB126,"")</f>
        <v>#VALUE!</v>
      </c>
      <c r="AC28" s="85" t="e">
        <f>IF(SchmidtTheory!AC126&gt;ActuatorSIZING!$G$44,SchmidtTheory!AC126,"")</f>
        <v>#VALUE!</v>
      </c>
      <c r="AD28" s="85" t="e">
        <f>IF(SchmidtTheory!AD126&gt;ActuatorSIZING!$G$44,SchmidtTheory!AD126,"")</f>
        <v>#VALUE!</v>
      </c>
      <c r="AE28" s="85" t="e">
        <f>IF(SchmidtTheory!AE126&gt;ActuatorSIZING!$G$44,SchmidtTheory!AE126,"")</f>
        <v>#VALUE!</v>
      </c>
      <c r="AF28" s="85" t="e">
        <f>IF(SchmidtTheory!AF126&gt;ActuatorSIZING!$G$44,SchmidtTheory!AF126,"")</f>
        <v>#VALUE!</v>
      </c>
      <c r="AG28" s="85" t="e">
        <f>IF(SchmidtTheory!AG126&gt;ActuatorSIZING!$G$44,SchmidtTheory!AG126,"")</f>
        <v>#VALUE!</v>
      </c>
      <c r="AH28" s="85" t="e">
        <f>IF(SchmidtTheory!AH126&gt;ActuatorSIZING!$G$44,SchmidtTheory!AH126,"")</f>
        <v>#VALUE!</v>
      </c>
      <c r="AI28" s="85" t="e">
        <f>IF(SchmidtTheory!AI126&gt;ActuatorSIZING!$G$44,SchmidtTheory!AI126,"")</f>
        <v>#VALUE!</v>
      </c>
      <c r="AJ28" s="85" t="e">
        <f>IF(SchmidtTheory!AJ126&gt;ActuatorSIZING!$G$44,SchmidtTheory!AJ126,"")</f>
        <v>#VALUE!</v>
      </c>
      <c r="AK28" s="85" t="e">
        <f>IF(SchmidtTheory!AK126&gt;ActuatorSIZING!$G$44,SchmidtTheory!AK126,"")</f>
        <v>#VALUE!</v>
      </c>
      <c r="AL28" s="85" t="e">
        <f>IF(SchmidtTheory!AL126&gt;ActuatorSIZING!$G$44,SchmidtTheory!AL126,"")</f>
        <v>#VALUE!</v>
      </c>
      <c r="AM28" s="85" t="e">
        <f>IF(SchmidtTheory!AM126&gt;ActuatorSIZING!$G$44,SchmidtTheory!AM126,"")</f>
        <v>#VALUE!</v>
      </c>
      <c r="AN28" s="85" t="e">
        <f>IF(SchmidtTheory!AN126&gt;ActuatorSIZING!$G$44,SchmidtTheory!AN126,"")</f>
        <v>#VALUE!</v>
      </c>
      <c r="AO28" s="85" t="e">
        <f>IF(SchmidtTheory!AO126&gt;ActuatorSIZING!$G$44,SchmidtTheory!AO126,"")</f>
        <v>#VALUE!</v>
      </c>
      <c r="AP28" s="85" t="e">
        <f>IF(SchmidtTheory!AP126&gt;ActuatorSIZING!$G$44,SchmidtTheory!AP126,"")</f>
        <v>#VALUE!</v>
      </c>
      <c r="AQ28" s="85" t="e">
        <f>IF(SchmidtTheory!AQ126&gt;ActuatorSIZING!$G$44,SchmidtTheory!AQ126,"")</f>
        <v>#VALUE!</v>
      </c>
      <c r="AR28" s="85" t="e">
        <f>IF(SchmidtTheory!AR126&gt;ActuatorSIZING!$G$44,SchmidtTheory!AR126,"")</f>
        <v>#VALUE!</v>
      </c>
      <c r="AS28" s="85" t="e">
        <f>IF(SchmidtTheory!AS126&gt;ActuatorSIZING!$G$44,SchmidtTheory!AS126,"")</f>
        <v>#VALUE!</v>
      </c>
      <c r="AT28" s="85" t="e">
        <f>IF(SchmidtTheory!AT126&gt;ActuatorSIZING!$G$44,SchmidtTheory!AT126,"")</f>
        <v>#VALUE!</v>
      </c>
      <c r="AU28" s="85" t="e">
        <f>IF(SchmidtTheory!AU126&gt;ActuatorSIZING!$G$44,SchmidtTheory!AU126,"")</f>
        <v>#VALUE!</v>
      </c>
      <c r="AV28" s="85" t="e">
        <f>IF(SchmidtTheory!AV126&gt;ActuatorSIZING!$G$44,SchmidtTheory!AV126,"")</f>
        <v>#VALUE!</v>
      </c>
      <c r="AW28" s="96">
        <v>7500</v>
      </c>
      <c r="AX28" s="93" t="e">
        <f>IF(AW28&gt;ActuatorSIZING!$G$44,SchmidtTheory!AW28,"")</f>
        <v>#VALUE!</v>
      </c>
      <c r="AY28" s="95" t="e">
        <f>IF(SELECTION!$P$46=SchmidtTheory!G25,SchmidtTheory!AX28,"")</f>
        <v>#VALUE!</v>
      </c>
      <c r="AZ28" s="93" t="e">
        <f>IF(SELECTION!$AJ$24&gt;(I28+0.3),SchmidtTheory!AY28,"")</f>
        <v>#VALUE!</v>
      </c>
      <c r="BA28" s="103" t="s">
        <v>192</v>
      </c>
      <c r="BB28" s="93" t="e">
        <f t="shared" si="1"/>
        <v>#VALUE!</v>
      </c>
      <c r="BC28" s="93" t="e">
        <f>IF(SELECTION!$P$46=SchmidtTheory!G25,SchmidtTheory!BB28,"")</f>
        <v>#VALUE!</v>
      </c>
      <c r="BD28" s="93" t="e">
        <f>IF(SELECTION!$AJ$24&gt;(I28+0.3),SchmidtTheory!BC28,"")</f>
        <v>#VALUE!</v>
      </c>
      <c r="BE28" s="93" t="b">
        <f t="shared" si="0"/>
        <v>0</v>
      </c>
      <c r="BF28" s="103" t="s">
        <v>192</v>
      </c>
    </row>
    <row r="29" spans="2:58" x14ac:dyDescent="0.2">
      <c r="B29" s="42" t="s">
        <v>191</v>
      </c>
      <c r="C29" s="42" t="s">
        <v>245</v>
      </c>
      <c r="D29" s="42" t="s">
        <v>244</v>
      </c>
      <c r="F29" s="589"/>
      <c r="G29" s="598"/>
      <c r="H29" s="102">
        <v>1.5</v>
      </c>
      <c r="I29" s="101">
        <v>3.8</v>
      </c>
      <c r="J29" s="100">
        <v>5.3</v>
      </c>
      <c r="K29" s="99">
        <v>7500</v>
      </c>
      <c r="L29" s="98">
        <v>6</v>
      </c>
      <c r="M29" s="97">
        <v>11000</v>
      </c>
      <c r="N29" s="85" t="e">
        <f>IF(SchmidtTheory!N127&gt;ActuatorSIZING!$G$44,SchmidtTheory!N127,"")</f>
        <v>#VALUE!</v>
      </c>
      <c r="O29" s="85" t="e">
        <f>IF(SchmidtTheory!O127&gt;ActuatorSIZING!$G$44,SchmidtTheory!O127,"")</f>
        <v>#VALUE!</v>
      </c>
      <c r="P29" s="85" t="e">
        <f>IF(SchmidtTheory!P127&gt;ActuatorSIZING!$G$44,SchmidtTheory!P127,"")</f>
        <v>#VALUE!</v>
      </c>
      <c r="Q29" s="85" t="e">
        <f>IF(SchmidtTheory!Q127&gt;ActuatorSIZING!$G$44,SchmidtTheory!Q127,"")</f>
        <v>#VALUE!</v>
      </c>
      <c r="R29" s="85" t="e">
        <f>IF(SchmidtTheory!R127&gt;ActuatorSIZING!$G$44,SchmidtTheory!R127,"")</f>
        <v>#VALUE!</v>
      </c>
      <c r="S29" s="85" t="e">
        <f>IF(SchmidtTheory!S127&gt;ActuatorSIZING!$G$44,SchmidtTheory!S127,"")</f>
        <v>#VALUE!</v>
      </c>
      <c r="T29" s="85" t="e">
        <f>IF(SchmidtTheory!T127&gt;ActuatorSIZING!$G$44,SchmidtTheory!T127,"")</f>
        <v>#VALUE!</v>
      </c>
      <c r="U29" s="85" t="e">
        <f>IF(SchmidtTheory!U127&gt;ActuatorSIZING!$G$44,SchmidtTheory!U127,"")</f>
        <v>#VALUE!</v>
      </c>
      <c r="V29" s="85" t="e">
        <f>IF(SchmidtTheory!V127&gt;ActuatorSIZING!$G$44,SchmidtTheory!V127,"")</f>
        <v>#VALUE!</v>
      </c>
      <c r="W29" s="85" t="e">
        <f>IF(SchmidtTheory!W127&gt;ActuatorSIZING!$G$44,SchmidtTheory!W127,"")</f>
        <v>#VALUE!</v>
      </c>
      <c r="X29" s="85" t="e">
        <f>IF(SchmidtTheory!X127&gt;ActuatorSIZING!$G$44,SchmidtTheory!X127,"")</f>
        <v>#VALUE!</v>
      </c>
      <c r="Y29" s="85" t="e">
        <f>IF(SchmidtTheory!Y127&gt;ActuatorSIZING!$G$44,SchmidtTheory!Y127,"")</f>
        <v>#VALUE!</v>
      </c>
      <c r="Z29" s="85" t="e">
        <f>IF(SchmidtTheory!Z127&gt;ActuatorSIZING!$G$44,SchmidtTheory!Z127,"")</f>
        <v>#VALUE!</v>
      </c>
      <c r="AA29" s="85" t="e">
        <f>IF(SchmidtTheory!AA127&gt;ActuatorSIZING!$G$44,SchmidtTheory!AA127,"")</f>
        <v>#VALUE!</v>
      </c>
      <c r="AB29" s="85" t="e">
        <f>IF(SchmidtTheory!AB127&gt;ActuatorSIZING!$G$44,SchmidtTheory!AB127,"")</f>
        <v>#VALUE!</v>
      </c>
      <c r="AC29" s="85" t="e">
        <f>IF(SchmidtTheory!AC127&gt;ActuatorSIZING!$G$44,SchmidtTheory!AC127,"")</f>
        <v>#VALUE!</v>
      </c>
      <c r="AD29" s="85" t="e">
        <f>IF(SchmidtTheory!AD127&gt;ActuatorSIZING!$G$44,SchmidtTheory!AD127,"")</f>
        <v>#VALUE!</v>
      </c>
      <c r="AE29" s="85" t="e">
        <f>IF(SchmidtTheory!AE127&gt;ActuatorSIZING!$G$44,SchmidtTheory!AE127,"")</f>
        <v>#VALUE!</v>
      </c>
      <c r="AF29" s="85" t="e">
        <f>IF(SchmidtTheory!AF127&gt;ActuatorSIZING!$G$44,SchmidtTheory!AF127,"")</f>
        <v>#VALUE!</v>
      </c>
      <c r="AG29" s="85" t="e">
        <f>IF(SchmidtTheory!AG127&gt;ActuatorSIZING!$G$44,SchmidtTheory!AG127,"")</f>
        <v>#VALUE!</v>
      </c>
      <c r="AH29" s="85" t="e">
        <f>IF(SchmidtTheory!AH127&gt;ActuatorSIZING!$G$44,SchmidtTheory!AH127,"")</f>
        <v>#VALUE!</v>
      </c>
      <c r="AI29" s="85" t="e">
        <f>IF(SchmidtTheory!AI127&gt;ActuatorSIZING!$G$44,SchmidtTheory!AI127,"")</f>
        <v>#VALUE!</v>
      </c>
      <c r="AJ29" s="85" t="e">
        <f>IF(SchmidtTheory!AJ127&gt;ActuatorSIZING!$G$44,SchmidtTheory!AJ127,"")</f>
        <v>#VALUE!</v>
      </c>
      <c r="AK29" s="85" t="e">
        <f>IF(SchmidtTheory!AK127&gt;ActuatorSIZING!$G$44,SchmidtTheory!AK127,"")</f>
        <v>#VALUE!</v>
      </c>
      <c r="AL29" s="85" t="e">
        <f>IF(SchmidtTheory!AL127&gt;ActuatorSIZING!$G$44,SchmidtTheory!AL127,"")</f>
        <v>#VALUE!</v>
      </c>
      <c r="AM29" s="85" t="e">
        <f>IF(SchmidtTheory!AM127&gt;ActuatorSIZING!$G$44,SchmidtTheory!AM127,"")</f>
        <v>#VALUE!</v>
      </c>
      <c r="AN29" s="85" t="e">
        <f>IF(SchmidtTheory!AN127&gt;ActuatorSIZING!$G$44,SchmidtTheory!AN127,"")</f>
        <v>#VALUE!</v>
      </c>
      <c r="AO29" s="85" t="e">
        <f>IF(SchmidtTheory!AO127&gt;ActuatorSIZING!$G$44,SchmidtTheory!AO127,"")</f>
        <v>#VALUE!</v>
      </c>
      <c r="AP29" s="85" t="e">
        <f>IF(SchmidtTheory!AP127&gt;ActuatorSIZING!$G$44,SchmidtTheory!AP127,"")</f>
        <v>#VALUE!</v>
      </c>
      <c r="AQ29" s="85" t="e">
        <f>IF(SchmidtTheory!AQ127&gt;ActuatorSIZING!$G$44,SchmidtTheory!AQ127,"")</f>
        <v>#VALUE!</v>
      </c>
      <c r="AR29" s="85" t="e">
        <f>IF(SchmidtTheory!AR127&gt;ActuatorSIZING!$G$44,SchmidtTheory!AR127,"")</f>
        <v>#VALUE!</v>
      </c>
      <c r="AS29" s="85" t="e">
        <f>IF(SchmidtTheory!AS127&gt;ActuatorSIZING!$G$44,SchmidtTheory!AS127,"")</f>
        <v>#VALUE!</v>
      </c>
      <c r="AT29" s="85" t="e">
        <f>IF(SchmidtTheory!AT127&gt;ActuatorSIZING!$G$44,SchmidtTheory!AT127,"")</f>
        <v>#VALUE!</v>
      </c>
      <c r="AU29" s="85" t="e">
        <f>IF(SchmidtTheory!AU127&gt;ActuatorSIZING!$G$44,SchmidtTheory!AU127,"")</f>
        <v>#VALUE!</v>
      </c>
      <c r="AV29" s="85" t="e">
        <f>IF(SchmidtTheory!AV127&gt;ActuatorSIZING!$G$44,SchmidtTheory!AV127,"")</f>
        <v>#VALUE!</v>
      </c>
      <c r="AW29" s="96">
        <v>7500</v>
      </c>
      <c r="AX29" s="93" t="e">
        <f>IF(AW29&gt;ActuatorSIZING!$G$44,SchmidtTheory!AW29,"")</f>
        <v>#VALUE!</v>
      </c>
      <c r="AY29" s="95" t="e">
        <f>IF(SELECTION!$P$46=SchmidtTheory!G25,SchmidtTheory!AX29,"")</f>
        <v>#VALUE!</v>
      </c>
      <c r="AZ29" s="93" t="str">
        <f>IF(SELECTION!$AJ$24&gt;(I29+0.3),SchmidtTheory!AY29,"")</f>
        <v/>
      </c>
      <c r="BA29" s="103" t="s">
        <v>190</v>
      </c>
      <c r="BB29" s="93" t="e">
        <f t="shared" si="1"/>
        <v>#VALUE!</v>
      </c>
      <c r="BC29" s="93" t="e">
        <f>IF(SELECTION!$P$46=SchmidtTheory!G25,SchmidtTheory!BB29,"")</f>
        <v>#VALUE!</v>
      </c>
      <c r="BD29" s="93" t="str">
        <f>IF(SELECTION!$AJ$24&gt;(I29+0.3),SchmidtTheory!BC29,"")</f>
        <v/>
      </c>
      <c r="BE29" s="93" t="b">
        <f t="shared" si="0"/>
        <v>0</v>
      </c>
      <c r="BF29" s="103" t="s">
        <v>190</v>
      </c>
    </row>
    <row r="30" spans="2:58" x14ac:dyDescent="0.2">
      <c r="B30" s="42" t="s">
        <v>189</v>
      </c>
      <c r="C30" s="42" t="s">
        <v>803</v>
      </c>
      <c r="D30" s="42" t="s">
        <v>804</v>
      </c>
      <c r="F30" s="589"/>
      <c r="G30" s="598"/>
      <c r="H30" s="102">
        <v>2</v>
      </c>
      <c r="I30" s="101">
        <v>4.8</v>
      </c>
      <c r="J30" s="100"/>
      <c r="K30" s="99"/>
      <c r="L30" s="98">
        <v>6</v>
      </c>
      <c r="M30" s="97">
        <v>6000</v>
      </c>
      <c r="N30" s="85" t="e">
        <f>IF(SchmidtTheory!N128&gt;ActuatorSIZING!$G$44,SchmidtTheory!N128,"")</f>
        <v>#VALUE!</v>
      </c>
      <c r="O30" s="85" t="e">
        <f>IF(SchmidtTheory!O128&gt;ActuatorSIZING!$G$44,SchmidtTheory!O128,"")</f>
        <v>#VALUE!</v>
      </c>
      <c r="P30" s="85" t="e">
        <f>IF(SchmidtTheory!P128&gt;ActuatorSIZING!$G$44,SchmidtTheory!P128,"")</f>
        <v>#VALUE!</v>
      </c>
      <c r="Q30" s="85" t="e">
        <f>IF(SchmidtTheory!Q128&gt;ActuatorSIZING!$G$44,SchmidtTheory!Q128,"")</f>
        <v>#VALUE!</v>
      </c>
      <c r="R30" s="85" t="e">
        <f>IF(SchmidtTheory!R128&gt;ActuatorSIZING!$G$44,SchmidtTheory!R128,"")</f>
        <v>#VALUE!</v>
      </c>
      <c r="S30" s="85" t="e">
        <f>IF(SchmidtTheory!S128&gt;ActuatorSIZING!$G$44,SchmidtTheory!S128,"")</f>
        <v>#VALUE!</v>
      </c>
      <c r="T30" s="85" t="e">
        <f>IF(SchmidtTheory!T128&gt;ActuatorSIZING!$G$44,SchmidtTheory!T128,"")</f>
        <v>#VALUE!</v>
      </c>
      <c r="U30" s="85" t="e">
        <f>IF(SchmidtTheory!U128&gt;ActuatorSIZING!$G$44,SchmidtTheory!U128,"")</f>
        <v>#VALUE!</v>
      </c>
      <c r="V30" s="85" t="e">
        <f>IF(SchmidtTheory!V128&gt;ActuatorSIZING!$G$44,SchmidtTheory!V128,"")</f>
        <v>#VALUE!</v>
      </c>
      <c r="W30" s="85" t="e">
        <f>IF(SchmidtTheory!W128&gt;ActuatorSIZING!$G$44,SchmidtTheory!W128,"")</f>
        <v>#VALUE!</v>
      </c>
      <c r="X30" s="85" t="e">
        <f>IF(SchmidtTheory!X128&gt;ActuatorSIZING!$G$44,SchmidtTheory!X128,"")</f>
        <v>#VALUE!</v>
      </c>
      <c r="Y30" s="85" t="e">
        <f>IF(SchmidtTheory!Y128&gt;ActuatorSIZING!$G$44,SchmidtTheory!Y128,"")</f>
        <v>#VALUE!</v>
      </c>
      <c r="Z30" s="85" t="e">
        <f>IF(SchmidtTheory!Z128&gt;ActuatorSIZING!$G$44,SchmidtTheory!Z128,"")</f>
        <v>#VALUE!</v>
      </c>
      <c r="AA30" s="85" t="e">
        <f>IF(SchmidtTheory!AA128&gt;ActuatorSIZING!$G$44,SchmidtTheory!AA128,"")</f>
        <v>#VALUE!</v>
      </c>
      <c r="AB30" s="85" t="e">
        <f>IF(SchmidtTheory!AB128&gt;ActuatorSIZING!$G$44,SchmidtTheory!AB128,"")</f>
        <v>#VALUE!</v>
      </c>
      <c r="AC30" s="85" t="e">
        <f>IF(SchmidtTheory!AC128&gt;ActuatorSIZING!$G$44,SchmidtTheory!AC128,"")</f>
        <v>#VALUE!</v>
      </c>
      <c r="AD30" s="85" t="e">
        <f>IF(SchmidtTheory!AD128&gt;ActuatorSIZING!$G$44,SchmidtTheory!AD128,"")</f>
        <v>#VALUE!</v>
      </c>
      <c r="AE30" s="85" t="e">
        <f>IF(SchmidtTheory!AE128&gt;ActuatorSIZING!$G$44,SchmidtTheory!AE128,"")</f>
        <v>#VALUE!</v>
      </c>
      <c r="AF30" s="85" t="e">
        <f>IF(SchmidtTheory!AF128&gt;ActuatorSIZING!$G$44,SchmidtTheory!AF128,"")</f>
        <v>#VALUE!</v>
      </c>
      <c r="AG30" s="85" t="e">
        <f>IF(SchmidtTheory!AG128&gt;ActuatorSIZING!$G$44,SchmidtTheory!AG128,"")</f>
        <v>#VALUE!</v>
      </c>
      <c r="AH30" s="85" t="e">
        <f>IF(SchmidtTheory!AH128&gt;ActuatorSIZING!$G$44,SchmidtTheory!AH128,"")</f>
        <v>#VALUE!</v>
      </c>
      <c r="AI30" s="85" t="e">
        <f>IF(SchmidtTheory!AI128&gt;ActuatorSIZING!$G$44,SchmidtTheory!AI128,"")</f>
        <v>#VALUE!</v>
      </c>
      <c r="AJ30" s="85" t="e">
        <f>IF(SchmidtTheory!AJ128&gt;ActuatorSIZING!$G$44,SchmidtTheory!AJ128,"")</f>
        <v>#VALUE!</v>
      </c>
      <c r="AK30" s="85" t="e">
        <f>IF(SchmidtTheory!AK128&gt;ActuatorSIZING!$G$44,SchmidtTheory!AK128,"")</f>
        <v>#VALUE!</v>
      </c>
      <c r="AL30" s="85" t="e">
        <f>IF(SchmidtTheory!AL128&gt;ActuatorSIZING!$G$44,SchmidtTheory!AL128,"")</f>
        <v>#VALUE!</v>
      </c>
      <c r="AM30" s="85" t="e">
        <f>IF(SchmidtTheory!AM128&gt;ActuatorSIZING!$G$44,SchmidtTheory!AM128,"")</f>
        <v>#VALUE!</v>
      </c>
      <c r="AN30" s="85" t="e">
        <f>IF(SchmidtTheory!AN128&gt;ActuatorSIZING!$G$44,SchmidtTheory!AN128,"")</f>
        <v>#VALUE!</v>
      </c>
      <c r="AO30" s="85" t="e">
        <f>IF(SchmidtTheory!AO128&gt;ActuatorSIZING!$G$44,SchmidtTheory!AO128,"")</f>
        <v>#VALUE!</v>
      </c>
      <c r="AP30" s="85" t="e">
        <f>IF(SchmidtTheory!AP128&gt;ActuatorSIZING!$G$44,SchmidtTheory!AP128,"")</f>
        <v>#VALUE!</v>
      </c>
      <c r="AQ30" s="85" t="e">
        <f>IF(SchmidtTheory!AQ128&gt;ActuatorSIZING!$G$44,SchmidtTheory!AQ128,"")</f>
        <v>#VALUE!</v>
      </c>
      <c r="AR30" s="85" t="e">
        <f>IF(SchmidtTheory!AR128&gt;ActuatorSIZING!$G$44,SchmidtTheory!AR128,"")</f>
        <v>#VALUE!</v>
      </c>
      <c r="AS30" s="85" t="e">
        <f>IF(SchmidtTheory!AS128&gt;ActuatorSIZING!$G$44,SchmidtTheory!AS128,"")</f>
        <v>#VALUE!</v>
      </c>
      <c r="AT30" s="85" t="e">
        <f>IF(SchmidtTheory!AT128&gt;ActuatorSIZING!$G$44,SchmidtTheory!AT128,"")</f>
        <v>#VALUE!</v>
      </c>
      <c r="AU30" s="85" t="e">
        <f>IF(SchmidtTheory!AU128&gt;ActuatorSIZING!$G$44,SchmidtTheory!AU128,"")</f>
        <v>#VALUE!</v>
      </c>
      <c r="AV30" s="85" t="e">
        <f>IF(SchmidtTheory!AV128&gt;ActuatorSIZING!$G$44,SchmidtTheory!AV128,"")</f>
        <v>#VALUE!</v>
      </c>
      <c r="AW30" s="96">
        <v>10000</v>
      </c>
      <c r="AX30" s="93" t="e">
        <f>IF(AW30&gt;ActuatorSIZING!$G$44,SchmidtTheory!AW30,"")</f>
        <v>#VALUE!</v>
      </c>
      <c r="AY30" s="95" t="e">
        <f>IF(SELECTION!$P$46=SchmidtTheory!G25,SchmidtTheory!AX30,"")</f>
        <v>#VALUE!</v>
      </c>
      <c r="AZ30" s="93" t="str">
        <f>IF(SELECTION!$AJ$24&gt;(I30+0.3),SchmidtTheory!AY30,"")</f>
        <v/>
      </c>
      <c r="BA30" s="103" t="s">
        <v>188</v>
      </c>
      <c r="BB30" s="93" t="e">
        <f t="shared" si="1"/>
        <v>#VALUE!</v>
      </c>
      <c r="BC30" s="93" t="e">
        <f>IF(SELECTION!$P$46=SchmidtTheory!G25,SchmidtTheory!BB30,"")</f>
        <v>#VALUE!</v>
      </c>
      <c r="BD30" s="93" t="str">
        <f>IF(SELECTION!$AJ$24&gt;(I30+0.3),SchmidtTheory!BC30,"")</f>
        <v/>
      </c>
      <c r="BE30" s="93" t="b">
        <f t="shared" si="0"/>
        <v>0</v>
      </c>
      <c r="BF30" s="103" t="s">
        <v>188</v>
      </c>
    </row>
    <row r="31" spans="2:58" x14ac:dyDescent="0.2">
      <c r="B31" s="42" t="s">
        <v>187</v>
      </c>
      <c r="C31" s="42" t="s">
        <v>241</v>
      </c>
      <c r="D31" s="42" t="s">
        <v>805</v>
      </c>
      <c r="F31" s="589"/>
      <c r="G31" s="598">
        <v>40</v>
      </c>
      <c r="H31" s="102">
        <v>0.2</v>
      </c>
      <c r="I31" s="101">
        <v>1</v>
      </c>
      <c r="J31" s="100"/>
      <c r="K31" s="99"/>
      <c r="L31" s="98">
        <v>6</v>
      </c>
      <c r="M31" s="97">
        <v>25000</v>
      </c>
      <c r="N31" s="85" t="e">
        <f>IF(SchmidtTheory!N129&gt;ActuatorSIZING!$G$44,SchmidtTheory!N129,"")</f>
        <v>#VALUE!</v>
      </c>
      <c r="O31" s="85" t="e">
        <f>IF(SchmidtTheory!O129&gt;ActuatorSIZING!$G$44,SchmidtTheory!O129,"")</f>
        <v>#VALUE!</v>
      </c>
      <c r="P31" s="85" t="e">
        <f>IF(SchmidtTheory!P129&gt;ActuatorSIZING!$G$44,SchmidtTheory!P129,"")</f>
        <v>#VALUE!</v>
      </c>
      <c r="Q31" s="85" t="e">
        <f>IF(SchmidtTheory!Q129&gt;ActuatorSIZING!$G$44,SchmidtTheory!Q129,"")</f>
        <v>#VALUE!</v>
      </c>
      <c r="R31" s="85" t="e">
        <f>IF(SchmidtTheory!R129&gt;ActuatorSIZING!$G$44,SchmidtTheory!R129,"")</f>
        <v>#VALUE!</v>
      </c>
      <c r="S31" s="85" t="e">
        <f>IF(SchmidtTheory!S129&gt;ActuatorSIZING!$G$44,SchmidtTheory!S129,"")</f>
        <v>#VALUE!</v>
      </c>
      <c r="T31" s="85" t="e">
        <f>IF(SchmidtTheory!T129&gt;ActuatorSIZING!$G$44,SchmidtTheory!T129,"")</f>
        <v>#VALUE!</v>
      </c>
      <c r="U31" s="85" t="e">
        <f>IF(SchmidtTheory!U129&gt;ActuatorSIZING!$G$44,SchmidtTheory!U129,"")</f>
        <v>#VALUE!</v>
      </c>
      <c r="V31" s="85" t="e">
        <f>IF(SchmidtTheory!V129&gt;ActuatorSIZING!$G$44,SchmidtTheory!V129,"")</f>
        <v>#VALUE!</v>
      </c>
      <c r="W31" s="85" t="e">
        <f>IF(SchmidtTheory!W129&gt;ActuatorSIZING!$G$44,SchmidtTheory!W129,"")</f>
        <v>#VALUE!</v>
      </c>
      <c r="X31" s="85" t="e">
        <f>IF(SchmidtTheory!X129&gt;ActuatorSIZING!$G$44,SchmidtTheory!X129,"")</f>
        <v>#VALUE!</v>
      </c>
      <c r="Y31" s="85" t="e">
        <f>IF(SchmidtTheory!Y129&gt;ActuatorSIZING!$G$44,SchmidtTheory!Y129,"")</f>
        <v>#VALUE!</v>
      </c>
      <c r="Z31" s="85" t="e">
        <f>IF(SchmidtTheory!Z129&gt;ActuatorSIZING!$G$44,SchmidtTheory!Z129,"")</f>
        <v>#VALUE!</v>
      </c>
      <c r="AA31" s="85" t="e">
        <f>IF(SchmidtTheory!AA129&gt;ActuatorSIZING!$G$44,SchmidtTheory!AA129,"")</f>
        <v>#VALUE!</v>
      </c>
      <c r="AB31" s="85" t="e">
        <f>IF(SchmidtTheory!AB129&gt;ActuatorSIZING!$G$44,SchmidtTheory!AB129,"")</f>
        <v>#VALUE!</v>
      </c>
      <c r="AC31" s="85" t="e">
        <f>IF(SchmidtTheory!AC129&gt;ActuatorSIZING!$G$44,SchmidtTheory!AC129,"")</f>
        <v>#VALUE!</v>
      </c>
      <c r="AD31" s="85" t="e">
        <f>IF(SchmidtTheory!AD129&gt;ActuatorSIZING!$G$44,SchmidtTheory!AD129,"")</f>
        <v>#VALUE!</v>
      </c>
      <c r="AE31" s="85" t="e">
        <f>IF(SchmidtTheory!AE129&gt;ActuatorSIZING!$G$44,SchmidtTheory!AE129,"")</f>
        <v>#VALUE!</v>
      </c>
      <c r="AF31" s="85" t="e">
        <f>IF(SchmidtTheory!AF129&gt;ActuatorSIZING!$G$44,SchmidtTheory!AF129,"")</f>
        <v>#VALUE!</v>
      </c>
      <c r="AG31" s="85" t="e">
        <f>IF(SchmidtTheory!AG129&gt;ActuatorSIZING!$G$44,SchmidtTheory!AG129,"")</f>
        <v>#VALUE!</v>
      </c>
      <c r="AH31" s="85" t="e">
        <f>IF(SchmidtTheory!AH129&gt;ActuatorSIZING!$G$44,SchmidtTheory!AH129,"")</f>
        <v>#VALUE!</v>
      </c>
      <c r="AI31" s="85" t="e">
        <f>IF(SchmidtTheory!AI129&gt;ActuatorSIZING!$G$44,SchmidtTheory!AI129,"")</f>
        <v>#VALUE!</v>
      </c>
      <c r="AJ31" s="85" t="e">
        <f>IF(SchmidtTheory!AJ129&gt;ActuatorSIZING!$G$44,SchmidtTheory!AJ129,"")</f>
        <v>#VALUE!</v>
      </c>
      <c r="AK31" s="85" t="e">
        <f>IF(SchmidtTheory!AK129&gt;ActuatorSIZING!$G$44,SchmidtTheory!AK129,"")</f>
        <v>#VALUE!</v>
      </c>
      <c r="AL31" s="85" t="e">
        <f>IF(SchmidtTheory!AL129&gt;ActuatorSIZING!$G$44,SchmidtTheory!AL129,"")</f>
        <v>#VALUE!</v>
      </c>
      <c r="AM31" s="85" t="e">
        <f>IF(SchmidtTheory!AM129&gt;ActuatorSIZING!$G$44,SchmidtTheory!AM129,"")</f>
        <v>#VALUE!</v>
      </c>
      <c r="AN31" s="85" t="e">
        <f>IF(SchmidtTheory!AN129&gt;ActuatorSIZING!$G$44,SchmidtTheory!AN129,"")</f>
        <v>#VALUE!</v>
      </c>
      <c r="AO31" s="85" t="e">
        <f>IF(SchmidtTheory!AO129&gt;ActuatorSIZING!$G$44,SchmidtTheory!AO129,"")</f>
        <v>#VALUE!</v>
      </c>
      <c r="AP31" s="85" t="e">
        <f>IF(SchmidtTheory!AP129&gt;ActuatorSIZING!$G$44,SchmidtTheory!AP129,"")</f>
        <v>#VALUE!</v>
      </c>
      <c r="AQ31" s="85" t="e">
        <f>IF(SchmidtTheory!AQ129&gt;ActuatorSIZING!$G$44,SchmidtTheory!AQ129,"")</f>
        <v>#VALUE!</v>
      </c>
      <c r="AR31" s="85" t="e">
        <f>IF(SchmidtTheory!AR129&gt;ActuatorSIZING!$G$44,SchmidtTheory!AR129,"")</f>
        <v>#VALUE!</v>
      </c>
      <c r="AS31" s="85" t="e">
        <f>IF(SchmidtTheory!AS129&gt;ActuatorSIZING!$G$44,SchmidtTheory!AS129,"")</f>
        <v>#VALUE!</v>
      </c>
      <c r="AT31" s="85" t="e">
        <f>IF(SchmidtTheory!AT129&gt;ActuatorSIZING!$G$44,SchmidtTheory!AT129,"")</f>
        <v>#VALUE!</v>
      </c>
      <c r="AU31" s="85" t="e">
        <f>IF(SchmidtTheory!AU129&gt;ActuatorSIZING!$G$44,SchmidtTheory!AU129,"")</f>
        <v>#VALUE!</v>
      </c>
      <c r="AV31" s="85" t="e">
        <f>IF(SchmidtTheory!AV129&gt;ActuatorSIZING!$G$44,SchmidtTheory!AV129,"")</f>
        <v>#VALUE!</v>
      </c>
      <c r="AW31" s="96">
        <v>1000</v>
      </c>
      <c r="AX31" s="93" t="e">
        <f>IF(AW31&gt;ActuatorSIZING!$G$44,SchmidtTheory!AW31,"")</f>
        <v>#VALUE!</v>
      </c>
      <c r="AY31" s="95" t="str">
        <f>IF(SELECTION!$P$46=SchmidtTheory!G31,SchmidtTheory!AX31,"")</f>
        <v/>
      </c>
      <c r="AZ31" s="93" t="str">
        <f>IF(SELECTION!$AJ$24&gt;(I31+0.3),SchmidtTheory!AY31,"")</f>
        <v/>
      </c>
      <c r="BA31" s="103" t="s">
        <v>186</v>
      </c>
      <c r="BB31" s="93" t="e">
        <f t="shared" si="1"/>
        <v>#VALUE!</v>
      </c>
      <c r="BC31" s="93" t="str">
        <f>IF(SELECTION!$P$46=SchmidtTheory!G31,SchmidtTheory!BB31,"")</f>
        <v/>
      </c>
      <c r="BD31" s="93" t="str">
        <f>IF(SELECTION!$AJ$24&gt;(I31+0.3),SchmidtTheory!BC31,"")</f>
        <v/>
      </c>
      <c r="BE31" s="93" t="b">
        <f t="shared" si="0"/>
        <v>0</v>
      </c>
      <c r="BF31" s="103" t="s">
        <v>186</v>
      </c>
    </row>
    <row r="32" spans="2:58" x14ac:dyDescent="0.2">
      <c r="B32" s="42" t="s">
        <v>185</v>
      </c>
      <c r="C32" s="42" t="s">
        <v>238</v>
      </c>
      <c r="D32" s="42" t="s">
        <v>237</v>
      </c>
      <c r="F32" s="589"/>
      <c r="G32" s="598"/>
      <c r="H32" s="102">
        <v>0.5</v>
      </c>
      <c r="I32" s="101">
        <v>1.9</v>
      </c>
      <c r="J32" s="100">
        <v>2.4</v>
      </c>
      <c r="K32" s="99">
        <v>2500</v>
      </c>
      <c r="L32" s="98">
        <v>6</v>
      </c>
      <c r="M32" s="97">
        <v>20500</v>
      </c>
      <c r="N32" s="85" t="e">
        <f>IF(SchmidtTheory!N130&gt;ActuatorSIZING!$G$44,SchmidtTheory!N130,"")</f>
        <v>#VALUE!</v>
      </c>
      <c r="O32" s="85" t="e">
        <f>IF(SchmidtTheory!O130&gt;ActuatorSIZING!$G$44,SchmidtTheory!O130,"")</f>
        <v>#VALUE!</v>
      </c>
      <c r="P32" s="85" t="e">
        <f>IF(SchmidtTheory!P130&gt;ActuatorSIZING!$G$44,SchmidtTheory!P130,"")</f>
        <v>#VALUE!</v>
      </c>
      <c r="Q32" s="85" t="e">
        <f>IF(SchmidtTheory!Q130&gt;ActuatorSIZING!$G$44,SchmidtTheory!Q130,"")</f>
        <v>#VALUE!</v>
      </c>
      <c r="R32" s="85" t="e">
        <f>IF(SchmidtTheory!R130&gt;ActuatorSIZING!$G$44,SchmidtTheory!R130,"")</f>
        <v>#VALUE!</v>
      </c>
      <c r="S32" s="85" t="e">
        <f>IF(SchmidtTheory!S130&gt;ActuatorSIZING!$G$44,SchmidtTheory!S130,"")</f>
        <v>#VALUE!</v>
      </c>
      <c r="T32" s="85" t="e">
        <f>IF(SchmidtTheory!T130&gt;ActuatorSIZING!$G$44,SchmidtTheory!T130,"")</f>
        <v>#VALUE!</v>
      </c>
      <c r="U32" s="85" t="e">
        <f>IF(SchmidtTheory!U130&gt;ActuatorSIZING!$G$44,SchmidtTheory!U130,"")</f>
        <v>#VALUE!</v>
      </c>
      <c r="V32" s="85" t="e">
        <f>IF(SchmidtTheory!V130&gt;ActuatorSIZING!$G$44,SchmidtTheory!V130,"")</f>
        <v>#VALUE!</v>
      </c>
      <c r="W32" s="85" t="e">
        <f>IF(SchmidtTheory!W130&gt;ActuatorSIZING!$G$44,SchmidtTheory!W130,"")</f>
        <v>#VALUE!</v>
      </c>
      <c r="X32" s="85" t="e">
        <f>IF(SchmidtTheory!X130&gt;ActuatorSIZING!$G$44,SchmidtTheory!X130,"")</f>
        <v>#VALUE!</v>
      </c>
      <c r="Y32" s="85" t="e">
        <f>IF(SchmidtTheory!Y130&gt;ActuatorSIZING!$G$44,SchmidtTheory!Y130,"")</f>
        <v>#VALUE!</v>
      </c>
      <c r="Z32" s="85" t="e">
        <f>IF(SchmidtTheory!Z130&gt;ActuatorSIZING!$G$44,SchmidtTheory!Z130,"")</f>
        <v>#VALUE!</v>
      </c>
      <c r="AA32" s="85" t="e">
        <f>IF(SchmidtTheory!AA130&gt;ActuatorSIZING!$G$44,SchmidtTheory!AA130,"")</f>
        <v>#VALUE!</v>
      </c>
      <c r="AB32" s="85" t="e">
        <f>IF(SchmidtTheory!AB130&gt;ActuatorSIZING!$G$44,SchmidtTheory!AB130,"")</f>
        <v>#VALUE!</v>
      </c>
      <c r="AC32" s="85" t="e">
        <f>IF(SchmidtTheory!AC130&gt;ActuatorSIZING!$G$44,SchmidtTheory!AC130,"")</f>
        <v>#VALUE!</v>
      </c>
      <c r="AD32" s="85" t="e">
        <f>IF(SchmidtTheory!AD130&gt;ActuatorSIZING!$G$44,SchmidtTheory!AD130,"")</f>
        <v>#VALUE!</v>
      </c>
      <c r="AE32" s="85" t="e">
        <f>IF(SchmidtTheory!AE130&gt;ActuatorSIZING!$G$44,SchmidtTheory!AE130,"")</f>
        <v>#VALUE!</v>
      </c>
      <c r="AF32" s="85" t="e">
        <f>IF(SchmidtTheory!AF130&gt;ActuatorSIZING!$G$44,SchmidtTheory!AF130,"")</f>
        <v>#VALUE!</v>
      </c>
      <c r="AG32" s="85" t="e">
        <f>IF(SchmidtTheory!AG130&gt;ActuatorSIZING!$G$44,SchmidtTheory!AG130,"")</f>
        <v>#VALUE!</v>
      </c>
      <c r="AH32" s="85" t="e">
        <f>IF(SchmidtTheory!AH130&gt;ActuatorSIZING!$G$44,SchmidtTheory!AH130,"")</f>
        <v>#VALUE!</v>
      </c>
      <c r="AI32" s="85" t="e">
        <f>IF(SchmidtTheory!AI130&gt;ActuatorSIZING!$G$44,SchmidtTheory!AI130,"")</f>
        <v>#VALUE!</v>
      </c>
      <c r="AJ32" s="85" t="e">
        <f>IF(SchmidtTheory!AJ130&gt;ActuatorSIZING!$G$44,SchmidtTheory!AJ130,"")</f>
        <v>#VALUE!</v>
      </c>
      <c r="AK32" s="85" t="e">
        <f>IF(SchmidtTheory!AK130&gt;ActuatorSIZING!$G$44,SchmidtTheory!AK130,"")</f>
        <v>#VALUE!</v>
      </c>
      <c r="AL32" s="85" t="e">
        <f>IF(SchmidtTheory!AL130&gt;ActuatorSIZING!$G$44,SchmidtTheory!AL130,"")</f>
        <v>#VALUE!</v>
      </c>
      <c r="AM32" s="85" t="e">
        <f>IF(SchmidtTheory!AM130&gt;ActuatorSIZING!$G$44,SchmidtTheory!AM130,"")</f>
        <v>#VALUE!</v>
      </c>
      <c r="AN32" s="85" t="e">
        <f>IF(SchmidtTheory!AN130&gt;ActuatorSIZING!$G$44,SchmidtTheory!AN130,"")</f>
        <v>#VALUE!</v>
      </c>
      <c r="AO32" s="85" t="e">
        <f>IF(SchmidtTheory!AO130&gt;ActuatorSIZING!$G$44,SchmidtTheory!AO130,"")</f>
        <v>#VALUE!</v>
      </c>
      <c r="AP32" s="85" t="e">
        <f>IF(SchmidtTheory!AP130&gt;ActuatorSIZING!$G$44,SchmidtTheory!AP130,"")</f>
        <v>#VALUE!</v>
      </c>
      <c r="AQ32" s="85" t="e">
        <f>IF(SchmidtTheory!AQ130&gt;ActuatorSIZING!$G$44,SchmidtTheory!AQ130,"")</f>
        <v>#VALUE!</v>
      </c>
      <c r="AR32" s="85" t="e">
        <f>IF(SchmidtTheory!AR130&gt;ActuatorSIZING!$G$44,SchmidtTheory!AR130,"")</f>
        <v>#VALUE!</v>
      </c>
      <c r="AS32" s="85" t="e">
        <f>IF(SchmidtTheory!AS130&gt;ActuatorSIZING!$G$44,SchmidtTheory!AS130,"")</f>
        <v>#VALUE!</v>
      </c>
      <c r="AT32" s="85" t="e">
        <f>IF(SchmidtTheory!AT130&gt;ActuatorSIZING!$G$44,SchmidtTheory!AT130,"")</f>
        <v>#VALUE!</v>
      </c>
      <c r="AU32" s="85" t="e">
        <f>IF(SchmidtTheory!AU130&gt;ActuatorSIZING!$G$44,SchmidtTheory!AU130,"")</f>
        <v>#VALUE!</v>
      </c>
      <c r="AV32" s="85" t="e">
        <f>IF(SchmidtTheory!AV130&gt;ActuatorSIZING!$G$44,SchmidtTheory!AV130,"")</f>
        <v>#VALUE!</v>
      </c>
      <c r="AW32" s="96">
        <v>2500</v>
      </c>
      <c r="AX32" s="93" t="e">
        <f>IF(AW32&gt;ActuatorSIZING!$G$44,SchmidtTheory!AW32,"")</f>
        <v>#VALUE!</v>
      </c>
      <c r="AY32" s="95" t="str">
        <f>IF(SELECTION!$P$46=SchmidtTheory!G31,SchmidtTheory!AX32,"")</f>
        <v/>
      </c>
      <c r="AZ32" s="93" t="str">
        <f>IF(SELECTION!$AJ$24&gt;(I32+0.3),SchmidtTheory!AY32,"")</f>
        <v/>
      </c>
      <c r="BA32" s="103" t="s">
        <v>184</v>
      </c>
      <c r="BB32" s="93" t="e">
        <f t="shared" si="1"/>
        <v>#VALUE!</v>
      </c>
      <c r="BC32" s="93" t="str">
        <f>IF(SELECTION!$P$46=SchmidtTheory!G31,SchmidtTheory!BB32,"")</f>
        <v/>
      </c>
      <c r="BD32" s="93" t="str">
        <f>IF(SELECTION!$AJ$24&gt;(I32+0.3),SchmidtTheory!BC32,"")</f>
        <v/>
      </c>
      <c r="BE32" s="93" t="b">
        <f t="shared" si="0"/>
        <v>0</v>
      </c>
      <c r="BF32" s="103" t="s">
        <v>184</v>
      </c>
    </row>
    <row r="33" spans="2:58" x14ac:dyDescent="0.2">
      <c r="B33" s="294" t="s">
        <v>819</v>
      </c>
      <c r="C33" s="42" t="s">
        <v>806</v>
      </c>
      <c r="D33" s="42" t="s">
        <v>808</v>
      </c>
      <c r="F33" s="589"/>
      <c r="G33" s="598"/>
      <c r="H33" s="102">
        <v>1</v>
      </c>
      <c r="I33" s="101">
        <v>2.4</v>
      </c>
      <c r="J33" s="100">
        <v>3.4</v>
      </c>
      <c r="K33" s="99">
        <v>5000</v>
      </c>
      <c r="L33" s="98">
        <v>6</v>
      </c>
      <c r="M33" s="97">
        <v>18000</v>
      </c>
      <c r="N33" s="85" t="e">
        <f>IF(SchmidtTheory!N131&gt;ActuatorSIZING!$G$44,SchmidtTheory!N131,"")</f>
        <v>#VALUE!</v>
      </c>
      <c r="O33" s="85" t="e">
        <f>IF(SchmidtTheory!O131&gt;ActuatorSIZING!$G$44,SchmidtTheory!O131,"")</f>
        <v>#VALUE!</v>
      </c>
      <c r="P33" s="85" t="e">
        <f>IF(SchmidtTheory!P131&gt;ActuatorSIZING!$G$44,SchmidtTheory!P131,"")</f>
        <v>#VALUE!</v>
      </c>
      <c r="Q33" s="85" t="e">
        <f>IF(SchmidtTheory!Q131&gt;ActuatorSIZING!$G$44,SchmidtTheory!Q131,"")</f>
        <v>#VALUE!</v>
      </c>
      <c r="R33" s="85" t="e">
        <f>IF(SchmidtTheory!R131&gt;ActuatorSIZING!$G$44,SchmidtTheory!R131,"")</f>
        <v>#VALUE!</v>
      </c>
      <c r="S33" s="85" t="e">
        <f>IF(SchmidtTheory!S131&gt;ActuatorSIZING!$G$44,SchmidtTheory!S131,"")</f>
        <v>#VALUE!</v>
      </c>
      <c r="T33" s="85" t="e">
        <f>IF(SchmidtTheory!T131&gt;ActuatorSIZING!$G$44,SchmidtTheory!T131,"")</f>
        <v>#VALUE!</v>
      </c>
      <c r="U33" s="85" t="e">
        <f>IF(SchmidtTheory!U131&gt;ActuatorSIZING!$G$44,SchmidtTheory!U131,"")</f>
        <v>#VALUE!</v>
      </c>
      <c r="V33" s="85" t="e">
        <f>IF(SchmidtTheory!V131&gt;ActuatorSIZING!$G$44,SchmidtTheory!V131,"")</f>
        <v>#VALUE!</v>
      </c>
      <c r="W33" s="85" t="e">
        <f>IF(SchmidtTheory!W131&gt;ActuatorSIZING!$G$44,SchmidtTheory!W131,"")</f>
        <v>#VALUE!</v>
      </c>
      <c r="X33" s="85" t="e">
        <f>IF(SchmidtTheory!X131&gt;ActuatorSIZING!$G$44,SchmidtTheory!X131,"")</f>
        <v>#VALUE!</v>
      </c>
      <c r="Y33" s="85" t="e">
        <f>IF(SchmidtTheory!Y131&gt;ActuatorSIZING!$G$44,SchmidtTheory!Y131,"")</f>
        <v>#VALUE!</v>
      </c>
      <c r="Z33" s="85" t="e">
        <f>IF(SchmidtTheory!Z131&gt;ActuatorSIZING!$G$44,SchmidtTheory!Z131,"")</f>
        <v>#VALUE!</v>
      </c>
      <c r="AA33" s="85" t="e">
        <f>IF(SchmidtTheory!AA131&gt;ActuatorSIZING!$G$44,SchmidtTheory!AA131,"")</f>
        <v>#VALUE!</v>
      </c>
      <c r="AB33" s="85" t="e">
        <f>IF(SchmidtTheory!AB131&gt;ActuatorSIZING!$G$44,SchmidtTheory!AB131,"")</f>
        <v>#VALUE!</v>
      </c>
      <c r="AC33" s="85" t="e">
        <f>IF(SchmidtTheory!AC131&gt;ActuatorSIZING!$G$44,SchmidtTheory!AC131,"")</f>
        <v>#VALUE!</v>
      </c>
      <c r="AD33" s="85" t="e">
        <f>IF(SchmidtTheory!AD131&gt;ActuatorSIZING!$G$44,SchmidtTheory!AD131,"")</f>
        <v>#VALUE!</v>
      </c>
      <c r="AE33" s="85" t="e">
        <f>IF(SchmidtTheory!AE131&gt;ActuatorSIZING!$G$44,SchmidtTheory!AE131,"")</f>
        <v>#VALUE!</v>
      </c>
      <c r="AF33" s="85" t="e">
        <f>IF(SchmidtTheory!AF131&gt;ActuatorSIZING!$G$44,SchmidtTheory!AF131,"")</f>
        <v>#VALUE!</v>
      </c>
      <c r="AG33" s="85" t="e">
        <f>IF(SchmidtTheory!AG131&gt;ActuatorSIZING!$G$44,SchmidtTheory!AG131,"")</f>
        <v>#VALUE!</v>
      </c>
      <c r="AH33" s="85" t="e">
        <f>IF(SchmidtTheory!AH131&gt;ActuatorSIZING!$G$44,SchmidtTheory!AH131,"")</f>
        <v>#VALUE!</v>
      </c>
      <c r="AI33" s="85" t="e">
        <f>IF(SchmidtTheory!AI131&gt;ActuatorSIZING!$G$44,SchmidtTheory!AI131,"")</f>
        <v>#VALUE!</v>
      </c>
      <c r="AJ33" s="85" t="e">
        <f>IF(SchmidtTheory!AJ131&gt;ActuatorSIZING!$G$44,SchmidtTheory!AJ131,"")</f>
        <v>#VALUE!</v>
      </c>
      <c r="AK33" s="85" t="e">
        <f>IF(SchmidtTheory!AK131&gt;ActuatorSIZING!$G$44,SchmidtTheory!AK131,"")</f>
        <v>#VALUE!</v>
      </c>
      <c r="AL33" s="85" t="e">
        <f>IF(SchmidtTheory!AL131&gt;ActuatorSIZING!$G$44,SchmidtTheory!AL131,"")</f>
        <v>#VALUE!</v>
      </c>
      <c r="AM33" s="85" t="e">
        <f>IF(SchmidtTheory!AM131&gt;ActuatorSIZING!$G$44,SchmidtTheory!AM131,"")</f>
        <v>#VALUE!</v>
      </c>
      <c r="AN33" s="85" t="e">
        <f>IF(SchmidtTheory!AN131&gt;ActuatorSIZING!$G$44,SchmidtTheory!AN131,"")</f>
        <v>#VALUE!</v>
      </c>
      <c r="AO33" s="85" t="e">
        <f>IF(SchmidtTheory!AO131&gt;ActuatorSIZING!$G$44,SchmidtTheory!AO131,"")</f>
        <v>#VALUE!</v>
      </c>
      <c r="AP33" s="85" t="e">
        <f>IF(SchmidtTheory!AP131&gt;ActuatorSIZING!$G$44,SchmidtTheory!AP131,"")</f>
        <v>#VALUE!</v>
      </c>
      <c r="AQ33" s="85" t="e">
        <f>IF(SchmidtTheory!AQ131&gt;ActuatorSIZING!$G$44,SchmidtTheory!AQ131,"")</f>
        <v>#VALUE!</v>
      </c>
      <c r="AR33" s="85" t="e">
        <f>IF(SchmidtTheory!AR131&gt;ActuatorSIZING!$G$44,SchmidtTheory!AR131,"")</f>
        <v>#VALUE!</v>
      </c>
      <c r="AS33" s="85" t="e">
        <f>IF(SchmidtTheory!AS131&gt;ActuatorSIZING!$G$44,SchmidtTheory!AS131,"")</f>
        <v>#VALUE!</v>
      </c>
      <c r="AT33" s="85" t="e">
        <f>IF(SchmidtTheory!AT131&gt;ActuatorSIZING!$G$44,SchmidtTheory!AT131,"")</f>
        <v>#VALUE!</v>
      </c>
      <c r="AU33" s="85" t="e">
        <f>IF(SchmidtTheory!AU131&gt;ActuatorSIZING!$G$44,SchmidtTheory!AU131,"")</f>
        <v>#VALUE!</v>
      </c>
      <c r="AV33" s="85" t="e">
        <f>IF(SchmidtTheory!AV131&gt;ActuatorSIZING!$G$44,SchmidtTheory!AV131,"")</f>
        <v>#VALUE!</v>
      </c>
      <c r="AW33" s="96">
        <v>5000</v>
      </c>
      <c r="AX33" s="93" t="e">
        <f>IF(AW33&gt;ActuatorSIZING!$G$44,SchmidtTheory!AW33,"")</f>
        <v>#VALUE!</v>
      </c>
      <c r="AY33" s="95" t="str">
        <f>IF(SELECTION!$P$46=SchmidtTheory!G31,SchmidtTheory!AX33,"")</f>
        <v/>
      </c>
      <c r="AZ33" s="93" t="str">
        <f>IF(SELECTION!$AJ$24&gt;(I33+0.3),SchmidtTheory!AY33,"")</f>
        <v/>
      </c>
      <c r="BA33" s="103" t="s">
        <v>183</v>
      </c>
      <c r="BB33" s="93" t="e">
        <f t="shared" si="1"/>
        <v>#VALUE!</v>
      </c>
      <c r="BC33" s="93" t="str">
        <f>IF(SELECTION!$P$46=SchmidtTheory!G31,SchmidtTheory!BB33,"")</f>
        <v/>
      </c>
      <c r="BD33" s="93" t="str">
        <f>IF(SELECTION!$AJ$24&gt;(I33+0.3),SchmidtTheory!BC33,"")</f>
        <v/>
      </c>
      <c r="BE33" s="93" t="b">
        <f t="shared" si="0"/>
        <v>0</v>
      </c>
      <c r="BF33" s="103" t="s">
        <v>183</v>
      </c>
    </row>
    <row r="34" spans="2:58" x14ac:dyDescent="0.2">
      <c r="B34" s="294" t="s">
        <v>820</v>
      </c>
      <c r="C34" s="42" t="s">
        <v>807</v>
      </c>
      <c r="D34" s="42" t="s">
        <v>809</v>
      </c>
      <c r="F34" s="589"/>
      <c r="G34" s="598"/>
      <c r="H34" s="102">
        <v>1.5</v>
      </c>
      <c r="I34" s="101">
        <v>2.7</v>
      </c>
      <c r="J34" s="100">
        <v>4.2</v>
      </c>
      <c r="K34" s="99">
        <v>7500</v>
      </c>
      <c r="L34" s="98">
        <v>6</v>
      </c>
      <c r="M34" s="97">
        <v>16500</v>
      </c>
      <c r="N34" s="85" t="e">
        <f>IF(SchmidtTheory!N132&gt;ActuatorSIZING!$G$44,SchmidtTheory!N132,"")</f>
        <v>#VALUE!</v>
      </c>
      <c r="O34" s="85" t="e">
        <f>IF(SchmidtTheory!O132&gt;ActuatorSIZING!$G$44,SchmidtTheory!O132,"")</f>
        <v>#VALUE!</v>
      </c>
      <c r="P34" s="85" t="e">
        <f>IF(SchmidtTheory!P132&gt;ActuatorSIZING!$G$44,SchmidtTheory!P132,"")</f>
        <v>#VALUE!</v>
      </c>
      <c r="Q34" s="85" t="e">
        <f>IF(SchmidtTheory!Q132&gt;ActuatorSIZING!$G$44,SchmidtTheory!Q132,"")</f>
        <v>#VALUE!</v>
      </c>
      <c r="R34" s="85" t="e">
        <f>IF(SchmidtTheory!R132&gt;ActuatorSIZING!$G$44,SchmidtTheory!R132,"")</f>
        <v>#VALUE!</v>
      </c>
      <c r="S34" s="85" t="e">
        <f>IF(SchmidtTheory!S132&gt;ActuatorSIZING!$G$44,SchmidtTheory!S132,"")</f>
        <v>#VALUE!</v>
      </c>
      <c r="T34" s="85" t="e">
        <f>IF(SchmidtTheory!T132&gt;ActuatorSIZING!$G$44,SchmidtTheory!T132,"")</f>
        <v>#VALUE!</v>
      </c>
      <c r="U34" s="85" t="e">
        <f>IF(SchmidtTheory!U132&gt;ActuatorSIZING!$G$44,SchmidtTheory!U132,"")</f>
        <v>#VALUE!</v>
      </c>
      <c r="V34" s="85" t="e">
        <f>IF(SchmidtTheory!V132&gt;ActuatorSIZING!$G$44,SchmidtTheory!V132,"")</f>
        <v>#VALUE!</v>
      </c>
      <c r="W34" s="85" t="e">
        <f>IF(SchmidtTheory!W132&gt;ActuatorSIZING!$G$44,SchmidtTheory!W132,"")</f>
        <v>#VALUE!</v>
      </c>
      <c r="X34" s="85" t="e">
        <f>IF(SchmidtTheory!X132&gt;ActuatorSIZING!$G$44,SchmidtTheory!X132,"")</f>
        <v>#VALUE!</v>
      </c>
      <c r="Y34" s="85" t="e">
        <f>IF(SchmidtTheory!Y132&gt;ActuatorSIZING!$G$44,SchmidtTheory!Y132,"")</f>
        <v>#VALUE!</v>
      </c>
      <c r="Z34" s="85" t="e">
        <f>IF(SchmidtTheory!Z132&gt;ActuatorSIZING!$G$44,SchmidtTheory!Z132,"")</f>
        <v>#VALUE!</v>
      </c>
      <c r="AA34" s="85" t="e">
        <f>IF(SchmidtTheory!AA132&gt;ActuatorSIZING!$G$44,SchmidtTheory!AA132,"")</f>
        <v>#VALUE!</v>
      </c>
      <c r="AB34" s="85" t="e">
        <f>IF(SchmidtTheory!AB132&gt;ActuatorSIZING!$G$44,SchmidtTheory!AB132,"")</f>
        <v>#VALUE!</v>
      </c>
      <c r="AC34" s="85" t="e">
        <f>IF(SchmidtTheory!AC132&gt;ActuatorSIZING!$G$44,SchmidtTheory!AC132,"")</f>
        <v>#VALUE!</v>
      </c>
      <c r="AD34" s="85" t="e">
        <f>IF(SchmidtTheory!AD132&gt;ActuatorSIZING!$G$44,SchmidtTheory!AD132,"")</f>
        <v>#VALUE!</v>
      </c>
      <c r="AE34" s="85" t="e">
        <f>IF(SchmidtTheory!AE132&gt;ActuatorSIZING!$G$44,SchmidtTheory!AE132,"")</f>
        <v>#VALUE!</v>
      </c>
      <c r="AF34" s="85" t="e">
        <f>IF(SchmidtTheory!AF132&gt;ActuatorSIZING!$G$44,SchmidtTheory!AF132,"")</f>
        <v>#VALUE!</v>
      </c>
      <c r="AG34" s="85" t="e">
        <f>IF(SchmidtTheory!AG132&gt;ActuatorSIZING!$G$44,SchmidtTheory!AG132,"")</f>
        <v>#VALUE!</v>
      </c>
      <c r="AH34" s="85" t="e">
        <f>IF(SchmidtTheory!AH132&gt;ActuatorSIZING!$G$44,SchmidtTheory!AH132,"")</f>
        <v>#VALUE!</v>
      </c>
      <c r="AI34" s="85" t="e">
        <f>IF(SchmidtTheory!AI132&gt;ActuatorSIZING!$G$44,SchmidtTheory!AI132,"")</f>
        <v>#VALUE!</v>
      </c>
      <c r="AJ34" s="85" t="e">
        <f>IF(SchmidtTheory!AJ132&gt;ActuatorSIZING!$G$44,SchmidtTheory!AJ132,"")</f>
        <v>#VALUE!</v>
      </c>
      <c r="AK34" s="85" t="e">
        <f>IF(SchmidtTheory!AK132&gt;ActuatorSIZING!$G$44,SchmidtTheory!AK132,"")</f>
        <v>#VALUE!</v>
      </c>
      <c r="AL34" s="85" t="e">
        <f>IF(SchmidtTheory!AL132&gt;ActuatorSIZING!$G$44,SchmidtTheory!AL132,"")</f>
        <v>#VALUE!</v>
      </c>
      <c r="AM34" s="85" t="e">
        <f>IF(SchmidtTheory!AM132&gt;ActuatorSIZING!$G$44,SchmidtTheory!AM132,"")</f>
        <v>#VALUE!</v>
      </c>
      <c r="AN34" s="85" t="e">
        <f>IF(SchmidtTheory!AN132&gt;ActuatorSIZING!$G$44,SchmidtTheory!AN132,"")</f>
        <v>#VALUE!</v>
      </c>
      <c r="AO34" s="85" t="e">
        <f>IF(SchmidtTheory!AO132&gt;ActuatorSIZING!$G$44,SchmidtTheory!AO132,"")</f>
        <v>#VALUE!</v>
      </c>
      <c r="AP34" s="85" t="e">
        <f>IF(SchmidtTheory!AP132&gt;ActuatorSIZING!$G$44,SchmidtTheory!AP132,"")</f>
        <v>#VALUE!</v>
      </c>
      <c r="AQ34" s="85" t="e">
        <f>IF(SchmidtTheory!AQ132&gt;ActuatorSIZING!$G$44,SchmidtTheory!AQ132,"")</f>
        <v>#VALUE!</v>
      </c>
      <c r="AR34" s="85" t="e">
        <f>IF(SchmidtTheory!AR132&gt;ActuatorSIZING!$G$44,SchmidtTheory!AR132,"")</f>
        <v>#VALUE!</v>
      </c>
      <c r="AS34" s="85" t="e">
        <f>IF(SchmidtTheory!AS132&gt;ActuatorSIZING!$G$44,SchmidtTheory!AS132,"")</f>
        <v>#VALUE!</v>
      </c>
      <c r="AT34" s="85" t="e">
        <f>IF(SchmidtTheory!AT132&gt;ActuatorSIZING!$G$44,SchmidtTheory!AT132,"")</f>
        <v>#VALUE!</v>
      </c>
      <c r="AU34" s="85" t="e">
        <f>IF(SchmidtTheory!AU132&gt;ActuatorSIZING!$G$44,SchmidtTheory!AU132,"")</f>
        <v>#VALUE!</v>
      </c>
      <c r="AV34" s="85" t="e">
        <f>IF(SchmidtTheory!AV132&gt;ActuatorSIZING!$G$44,SchmidtTheory!AV132,"")</f>
        <v>#VALUE!</v>
      </c>
      <c r="AW34" s="96">
        <v>7500</v>
      </c>
      <c r="AX34" s="93" t="e">
        <f>IF(AW34&gt;ActuatorSIZING!$G$44,SchmidtTheory!AW34,"")</f>
        <v>#VALUE!</v>
      </c>
      <c r="AY34" s="95" t="str">
        <f>IF(SELECTION!$P$46=SchmidtTheory!G31,SchmidtTheory!AX34,"")</f>
        <v/>
      </c>
      <c r="AZ34" s="93" t="str">
        <f>IF(SELECTION!$AJ$24&gt;(I34+0.3),SchmidtTheory!AY34,"")</f>
        <v/>
      </c>
      <c r="BA34" s="103" t="s">
        <v>181</v>
      </c>
      <c r="BB34" s="93" t="e">
        <f t="shared" si="1"/>
        <v>#VALUE!</v>
      </c>
      <c r="BC34" s="93" t="str">
        <f>IF(SELECTION!$P$46=SchmidtTheory!G31,SchmidtTheory!BB34,"")</f>
        <v/>
      </c>
      <c r="BD34" s="93" t="str">
        <f>IF(SELECTION!$AJ$24&gt;(I34+0.3),SchmidtTheory!BC34,"")</f>
        <v/>
      </c>
      <c r="BE34" s="93" t="b">
        <f t="shared" si="0"/>
        <v>0</v>
      </c>
      <c r="BF34" s="103" t="s">
        <v>181</v>
      </c>
    </row>
    <row r="35" spans="2:58" x14ac:dyDescent="0.2">
      <c r="B35" s="293" t="s">
        <v>182</v>
      </c>
      <c r="C35" s="42" t="s">
        <v>234</v>
      </c>
      <c r="D35" s="42" t="s">
        <v>233</v>
      </c>
      <c r="F35" s="589"/>
      <c r="G35" s="598"/>
      <c r="H35" s="102">
        <v>1.5</v>
      </c>
      <c r="I35" s="101">
        <v>3.8</v>
      </c>
      <c r="J35" s="100">
        <v>5.3</v>
      </c>
      <c r="K35" s="99">
        <v>7500</v>
      </c>
      <c r="L35" s="98">
        <v>6</v>
      </c>
      <c r="M35" s="97">
        <v>11000</v>
      </c>
      <c r="N35" s="85" t="e">
        <f>IF(SchmidtTheory!N133&gt;ActuatorSIZING!$G$44,SchmidtTheory!N133,"")</f>
        <v>#VALUE!</v>
      </c>
      <c r="O35" s="85" t="e">
        <f>IF(SchmidtTheory!O133&gt;ActuatorSIZING!$G$44,SchmidtTheory!O133,"")</f>
        <v>#VALUE!</v>
      </c>
      <c r="P35" s="85" t="e">
        <f>IF(SchmidtTheory!P133&gt;ActuatorSIZING!$G$44,SchmidtTheory!P133,"")</f>
        <v>#VALUE!</v>
      </c>
      <c r="Q35" s="85" t="e">
        <f>IF(SchmidtTheory!Q133&gt;ActuatorSIZING!$G$44,SchmidtTheory!Q133,"")</f>
        <v>#VALUE!</v>
      </c>
      <c r="R35" s="85" t="e">
        <f>IF(SchmidtTheory!R133&gt;ActuatorSIZING!$G$44,SchmidtTheory!R133,"")</f>
        <v>#VALUE!</v>
      </c>
      <c r="S35" s="85" t="e">
        <f>IF(SchmidtTheory!S133&gt;ActuatorSIZING!$G$44,SchmidtTheory!S133,"")</f>
        <v>#VALUE!</v>
      </c>
      <c r="T35" s="85" t="e">
        <f>IF(SchmidtTheory!T133&gt;ActuatorSIZING!$G$44,SchmidtTheory!T133,"")</f>
        <v>#VALUE!</v>
      </c>
      <c r="U35" s="85" t="e">
        <f>IF(SchmidtTheory!U133&gt;ActuatorSIZING!$G$44,SchmidtTheory!U133,"")</f>
        <v>#VALUE!</v>
      </c>
      <c r="V35" s="85" t="e">
        <f>IF(SchmidtTheory!V133&gt;ActuatorSIZING!$G$44,SchmidtTheory!V133,"")</f>
        <v>#VALUE!</v>
      </c>
      <c r="W35" s="85" t="e">
        <f>IF(SchmidtTheory!W133&gt;ActuatorSIZING!$G$44,SchmidtTheory!W133,"")</f>
        <v>#VALUE!</v>
      </c>
      <c r="X35" s="85" t="e">
        <f>IF(SchmidtTheory!X133&gt;ActuatorSIZING!$G$44,SchmidtTheory!X133,"")</f>
        <v>#VALUE!</v>
      </c>
      <c r="Y35" s="85" t="e">
        <f>IF(SchmidtTheory!Y133&gt;ActuatorSIZING!$G$44,SchmidtTheory!Y133,"")</f>
        <v>#VALUE!</v>
      </c>
      <c r="Z35" s="85" t="e">
        <f>IF(SchmidtTheory!Z133&gt;ActuatorSIZING!$G$44,SchmidtTheory!Z133,"")</f>
        <v>#VALUE!</v>
      </c>
      <c r="AA35" s="85" t="e">
        <f>IF(SchmidtTheory!AA133&gt;ActuatorSIZING!$G$44,SchmidtTheory!AA133,"")</f>
        <v>#VALUE!</v>
      </c>
      <c r="AB35" s="85" t="e">
        <f>IF(SchmidtTheory!AB133&gt;ActuatorSIZING!$G$44,SchmidtTheory!AB133,"")</f>
        <v>#VALUE!</v>
      </c>
      <c r="AC35" s="85" t="e">
        <f>IF(SchmidtTheory!AC133&gt;ActuatorSIZING!$G$44,SchmidtTheory!AC133,"")</f>
        <v>#VALUE!</v>
      </c>
      <c r="AD35" s="85" t="e">
        <f>IF(SchmidtTheory!AD133&gt;ActuatorSIZING!$G$44,SchmidtTheory!AD133,"")</f>
        <v>#VALUE!</v>
      </c>
      <c r="AE35" s="85" t="e">
        <f>IF(SchmidtTheory!AE133&gt;ActuatorSIZING!$G$44,SchmidtTheory!AE133,"")</f>
        <v>#VALUE!</v>
      </c>
      <c r="AF35" s="85" t="e">
        <f>IF(SchmidtTheory!AF133&gt;ActuatorSIZING!$G$44,SchmidtTheory!AF133,"")</f>
        <v>#VALUE!</v>
      </c>
      <c r="AG35" s="85" t="e">
        <f>IF(SchmidtTheory!AG133&gt;ActuatorSIZING!$G$44,SchmidtTheory!AG133,"")</f>
        <v>#VALUE!</v>
      </c>
      <c r="AH35" s="85" t="e">
        <f>IF(SchmidtTheory!AH133&gt;ActuatorSIZING!$G$44,SchmidtTheory!AH133,"")</f>
        <v>#VALUE!</v>
      </c>
      <c r="AI35" s="85" t="e">
        <f>IF(SchmidtTheory!AI133&gt;ActuatorSIZING!$G$44,SchmidtTheory!AI133,"")</f>
        <v>#VALUE!</v>
      </c>
      <c r="AJ35" s="85" t="e">
        <f>IF(SchmidtTheory!AJ133&gt;ActuatorSIZING!$G$44,SchmidtTheory!AJ133,"")</f>
        <v>#VALUE!</v>
      </c>
      <c r="AK35" s="85" t="e">
        <f>IF(SchmidtTheory!AK133&gt;ActuatorSIZING!$G$44,SchmidtTheory!AK133,"")</f>
        <v>#VALUE!</v>
      </c>
      <c r="AL35" s="85" t="e">
        <f>IF(SchmidtTheory!AL133&gt;ActuatorSIZING!$G$44,SchmidtTheory!AL133,"")</f>
        <v>#VALUE!</v>
      </c>
      <c r="AM35" s="85" t="e">
        <f>IF(SchmidtTheory!AM133&gt;ActuatorSIZING!$G$44,SchmidtTheory!AM133,"")</f>
        <v>#VALUE!</v>
      </c>
      <c r="AN35" s="85" t="e">
        <f>IF(SchmidtTheory!AN133&gt;ActuatorSIZING!$G$44,SchmidtTheory!AN133,"")</f>
        <v>#VALUE!</v>
      </c>
      <c r="AO35" s="85" t="e">
        <f>IF(SchmidtTheory!AO133&gt;ActuatorSIZING!$G$44,SchmidtTheory!AO133,"")</f>
        <v>#VALUE!</v>
      </c>
      <c r="AP35" s="85" t="e">
        <f>IF(SchmidtTheory!AP133&gt;ActuatorSIZING!$G$44,SchmidtTheory!AP133,"")</f>
        <v>#VALUE!</v>
      </c>
      <c r="AQ35" s="85" t="e">
        <f>IF(SchmidtTheory!AQ133&gt;ActuatorSIZING!$G$44,SchmidtTheory!AQ133,"")</f>
        <v>#VALUE!</v>
      </c>
      <c r="AR35" s="85" t="e">
        <f>IF(SchmidtTheory!AR133&gt;ActuatorSIZING!$G$44,SchmidtTheory!AR133,"")</f>
        <v>#VALUE!</v>
      </c>
      <c r="AS35" s="85" t="e">
        <f>IF(SchmidtTheory!AS133&gt;ActuatorSIZING!$G$44,SchmidtTheory!AS133,"")</f>
        <v>#VALUE!</v>
      </c>
      <c r="AT35" s="85" t="e">
        <f>IF(SchmidtTheory!AT133&gt;ActuatorSIZING!$G$44,SchmidtTheory!AT133,"")</f>
        <v>#VALUE!</v>
      </c>
      <c r="AU35" s="85" t="e">
        <f>IF(SchmidtTheory!AU133&gt;ActuatorSIZING!$G$44,SchmidtTheory!AU133,"")</f>
        <v>#VALUE!</v>
      </c>
      <c r="AV35" s="85" t="e">
        <f>IF(SchmidtTheory!AV133&gt;ActuatorSIZING!$G$44,SchmidtTheory!AV133,"")</f>
        <v>#VALUE!</v>
      </c>
      <c r="AW35" s="96">
        <v>7500</v>
      </c>
      <c r="AX35" s="93" t="e">
        <f>IF(AW35&gt;ActuatorSIZING!$G$44,SchmidtTheory!AW35,"")</f>
        <v>#VALUE!</v>
      </c>
      <c r="AY35" s="95" t="str">
        <f>IF(SELECTION!$P$46=SchmidtTheory!G31,SchmidtTheory!AX35,"")</f>
        <v/>
      </c>
      <c r="AZ35" s="93" t="str">
        <f>IF(SELECTION!$AJ$24&gt;(I35+0.3),SchmidtTheory!AY35,"")</f>
        <v/>
      </c>
      <c r="BA35" s="103" t="s">
        <v>180</v>
      </c>
      <c r="BB35" s="93" t="e">
        <f t="shared" si="1"/>
        <v>#VALUE!</v>
      </c>
      <c r="BC35" s="93" t="str">
        <f>IF(SELECTION!$P$46=SchmidtTheory!G31,SchmidtTheory!BB35,"")</f>
        <v/>
      </c>
      <c r="BD35" s="93" t="str">
        <f>IF(SELECTION!$AJ$24&gt;(I35+0.3),SchmidtTheory!BC35,"")</f>
        <v/>
      </c>
      <c r="BE35" s="93" t="b">
        <f t="shared" si="0"/>
        <v>0</v>
      </c>
      <c r="BF35" s="103" t="s">
        <v>180</v>
      </c>
    </row>
    <row r="36" spans="2:58" x14ac:dyDescent="0.2">
      <c r="B36" s="42" t="s">
        <v>179</v>
      </c>
      <c r="C36" s="42" t="s">
        <v>230</v>
      </c>
      <c r="D36" s="42" t="s">
        <v>229</v>
      </c>
      <c r="F36" s="589"/>
      <c r="G36" s="598"/>
      <c r="H36" s="102">
        <v>2</v>
      </c>
      <c r="I36" s="101">
        <v>4.8</v>
      </c>
      <c r="J36" s="100"/>
      <c r="K36" s="99"/>
      <c r="L36" s="98">
        <v>6</v>
      </c>
      <c r="M36" s="97">
        <v>6000</v>
      </c>
      <c r="N36" s="85" t="e">
        <f>IF(SchmidtTheory!N134&gt;ActuatorSIZING!$G$44,SchmidtTheory!N134,"")</f>
        <v>#VALUE!</v>
      </c>
      <c r="O36" s="85" t="e">
        <f>IF(SchmidtTheory!O134&gt;ActuatorSIZING!$G$44,SchmidtTheory!O134,"")</f>
        <v>#VALUE!</v>
      </c>
      <c r="P36" s="85" t="e">
        <f>IF(SchmidtTheory!P134&gt;ActuatorSIZING!$G$44,SchmidtTheory!P134,"")</f>
        <v>#VALUE!</v>
      </c>
      <c r="Q36" s="85" t="e">
        <f>IF(SchmidtTheory!Q134&gt;ActuatorSIZING!$G$44,SchmidtTheory!Q134,"")</f>
        <v>#VALUE!</v>
      </c>
      <c r="R36" s="85" t="e">
        <f>IF(SchmidtTheory!R134&gt;ActuatorSIZING!$G$44,SchmidtTheory!R134,"")</f>
        <v>#VALUE!</v>
      </c>
      <c r="S36" s="85" t="e">
        <f>IF(SchmidtTheory!S134&gt;ActuatorSIZING!$G$44,SchmidtTheory!S134,"")</f>
        <v>#VALUE!</v>
      </c>
      <c r="T36" s="85" t="e">
        <f>IF(SchmidtTheory!T134&gt;ActuatorSIZING!$G$44,SchmidtTheory!T134,"")</f>
        <v>#VALUE!</v>
      </c>
      <c r="U36" s="85" t="e">
        <f>IF(SchmidtTheory!U134&gt;ActuatorSIZING!$G$44,SchmidtTheory!U134,"")</f>
        <v>#VALUE!</v>
      </c>
      <c r="V36" s="85" t="e">
        <f>IF(SchmidtTheory!V134&gt;ActuatorSIZING!$G$44,SchmidtTheory!V134,"")</f>
        <v>#VALUE!</v>
      </c>
      <c r="W36" s="85" t="e">
        <f>IF(SchmidtTheory!W134&gt;ActuatorSIZING!$G$44,SchmidtTheory!W134,"")</f>
        <v>#VALUE!</v>
      </c>
      <c r="X36" s="85" t="e">
        <f>IF(SchmidtTheory!X134&gt;ActuatorSIZING!$G$44,SchmidtTheory!X134,"")</f>
        <v>#VALUE!</v>
      </c>
      <c r="Y36" s="85" t="e">
        <f>IF(SchmidtTheory!Y134&gt;ActuatorSIZING!$G$44,SchmidtTheory!Y134,"")</f>
        <v>#VALUE!</v>
      </c>
      <c r="Z36" s="85" t="e">
        <f>IF(SchmidtTheory!Z134&gt;ActuatorSIZING!$G$44,SchmidtTheory!Z134,"")</f>
        <v>#VALUE!</v>
      </c>
      <c r="AA36" s="85" t="e">
        <f>IF(SchmidtTheory!AA134&gt;ActuatorSIZING!$G$44,SchmidtTheory!AA134,"")</f>
        <v>#VALUE!</v>
      </c>
      <c r="AB36" s="85" t="e">
        <f>IF(SchmidtTheory!AB134&gt;ActuatorSIZING!$G$44,SchmidtTheory!AB134,"")</f>
        <v>#VALUE!</v>
      </c>
      <c r="AC36" s="85" t="e">
        <f>IF(SchmidtTheory!AC134&gt;ActuatorSIZING!$G$44,SchmidtTheory!AC134,"")</f>
        <v>#VALUE!</v>
      </c>
      <c r="AD36" s="85" t="e">
        <f>IF(SchmidtTheory!AD134&gt;ActuatorSIZING!$G$44,SchmidtTheory!AD134,"")</f>
        <v>#VALUE!</v>
      </c>
      <c r="AE36" s="85" t="e">
        <f>IF(SchmidtTheory!AE134&gt;ActuatorSIZING!$G$44,SchmidtTheory!AE134,"")</f>
        <v>#VALUE!</v>
      </c>
      <c r="AF36" s="85" t="e">
        <f>IF(SchmidtTheory!AF134&gt;ActuatorSIZING!$G$44,SchmidtTheory!AF134,"")</f>
        <v>#VALUE!</v>
      </c>
      <c r="AG36" s="85" t="e">
        <f>IF(SchmidtTheory!AG134&gt;ActuatorSIZING!$G$44,SchmidtTheory!AG134,"")</f>
        <v>#VALUE!</v>
      </c>
      <c r="AH36" s="85" t="e">
        <f>IF(SchmidtTheory!AH134&gt;ActuatorSIZING!$G$44,SchmidtTheory!AH134,"")</f>
        <v>#VALUE!</v>
      </c>
      <c r="AI36" s="85" t="e">
        <f>IF(SchmidtTheory!AI134&gt;ActuatorSIZING!$G$44,SchmidtTheory!AI134,"")</f>
        <v>#VALUE!</v>
      </c>
      <c r="AJ36" s="85" t="e">
        <f>IF(SchmidtTheory!AJ134&gt;ActuatorSIZING!$G$44,SchmidtTheory!AJ134,"")</f>
        <v>#VALUE!</v>
      </c>
      <c r="AK36" s="85" t="e">
        <f>IF(SchmidtTheory!AK134&gt;ActuatorSIZING!$G$44,SchmidtTheory!AK134,"")</f>
        <v>#VALUE!</v>
      </c>
      <c r="AL36" s="85" t="e">
        <f>IF(SchmidtTheory!AL134&gt;ActuatorSIZING!$G$44,SchmidtTheory!AL134,"")</f>
        <v>#VALUE!</v>
      </c>
      <c r="AM36" s="85" t="e">
        <f>IF(SchmidtTheory!AM134&gt;ActuatorSIZING!$G$44,SchmidtTheory!AM134,"")</f>
        <v>#VALUE!</v>
      </c>
      <c r="AN36" s="85" t="e">
        <f>IF(SchmidtTheory!AN134&gt;ActuatorSIZING!$G$44,SchmidtTheory!AN134,"")</f>
        <v>#VALUE!</v>
      </c>
      <c r="AO36" s="85" t="e">
        <f>IF(SchmidtTheory!AO134&gt;ActuatorSIZING!$G$44,SchmidtTheory!AO134,"")</f>
        <v>#VALUE!</v>
      </c>
      <c r="AP36" s="85" t="e">
        <f>IF(SchmidtTheory!AP134&gt;ActuatorSIZING!$G$44,SchmidtTheory!AP134,"")</f>
        <v>#VALUE!</v>
      </c>
      <c r="AQ36" s="85" t="e">
        <f>IF(SchmidtTheory!AQ134&gt;ActuatorSIZING!$G$44,SchmidtTheory!AQ134,"")</f>
        <v>#VALUE!</v>
      </c>
      <c r="AR36" s="85" t="e">
        <f>IF(SchmidtTheory!AR134&gt;ActuatorSIZING!$G$44,SchmidtTheory!AR134,"")</f>
        <v>#VALUE!</v>
      </c>
      <c r="AS36" s="85" t="e">
        <f>IF(SchmidtTheory!AS134&gt;ActuatorSIZING!$G$44,SchmidtTheory!AS134,"")</f>
        <v>#VALUE!</v>
      </c>
      <c r="AT36" s="85" t="e">
        <f>IF(SchmidtTheory!AT134&gt;ActuatorSIZING!$G$44,SchmidtTheory!AT134,"")</f>
        <v>#VALUE!</v>
      </c>
      <c r="AU36" s="85" t="e">
        <f>IF(SchmidtTheory!AU134&gt;ActuatorSIZING!$G$44,SchmidtTheory!AU134,"")</f>
        <v>#VALUE!</v>
      </c>
      <c r="AV36" s="85" t="e">
        <f>IF(SchmidtTheory!AV134&gt;ActuatorSIZING!$G$44,SchmidtTheory!AV134,"")</f>
        <v>#VALUE!</v>
      </c>
      <c r="AW36" s="96">
        <v>10000</v>
      </c>
      <c r="AX36" s="93" t="e">
        <f>IF(AW36&gt;ActuatorSIZING!$G$44,SchmidtTheory!AW36,"")</f>
        <v>#VALUE!</v>
      </c>
      <c r="AY36" s="95" t="str">
        <f>IF(SELECTION!$P$46=SchmidtTheory!G31,SchmidtTheory!AX36,"")</f>
        <v/>
      </c>
      <c r="AZ36" s="93" t="str">
        <f>IF(SELECTION!$AJ$24&gt;(I36+0.3),SchmidtTheory!AY36,"")</f>
        <v/>
      </c>
      <c r="BA36" s="103" t="s">
        <v>178</v>
      </c>
      <c r="BB36" s="93" t="e">
        <f t="shared" si="1"/>
        <v>#VALUE!</v>
      </c>
      <c r="BC36" s="93" t="str">
        <f>IF(SELECTION!$P$46=SchmidtTheory!G31,SchmidtTheory!BB36,"")</f>
        <v/>
      </c>
      <c r="BD36" s="93" t="str">
        <f>IF(SELECTION!$AJ$24&gt;(I36+0.3),SchmidtTheory!BC36,"")</f>
        <v/>
      </c>
      <c r="BE36" s="93" t="b">
        <f t="shared" si="0"/>
        <v>0</v>
      </c>
      <c r="BF36" s="103" t="s">
        <v>178</v>
      </c>
    </row>
    <row r="37" spans="2:58" ht="12.75" customHeight="1" x14ac:dyDescent="0.2">
      <c r="B37" s="126" t="s">
        <v>821</v>
      </c>
      <c r="C37" s="42" t="s">
        <v>226</v>
      </c>
      <c r="D37" s="42" t="s">
        <v>225</v>
      </c>
      <c r="F37" s="589">
        <v>700</v>
      </c>
      <c r="G37" s="598">
        <v>20</v>
      </c>
      <c r="H37" s="102">
        <v>1.8</v>
      </c>
      <c r="I37" s="101">
        <v>2.7</v>
      </c>
      <c r="J37" s="100">
        <v>4.5</v>
      </c>
      <c r="K37" s="99">
        <v>12600</v>
      </c>
      <c r="L37" s="98">
        <v>6</v>
      </c>
      <c r="M37" s="97">
        <v>23100</v>
      </c>
      <c r="N37" s="85" t="e">
        <f>IF(SchmidtTheory!N135&gt;ActuatorSIZING!$G$44,SchmidtTheory!N135,"")</f>
        <v>#VALUE!</v>
      </c>
      <c r="O37" s="85" t="e">
        <f>IF(SchmidtTheory!O135&gt;ActuatorSIZING!$G$44,SchmidtTheory!O135,"")</f>
        <v>#VALUE!</v>
      </c>
      <c r="P37" s="85" t="e">
        <f>IF(SchmidtTheory!P135&gt;ActuatorSIZING!$G$44,SchmidtTheory!P135,"")</f>
        <v>#VALUE!</v>
      </c>
      <c r="Q37" s="85" t="e">
        <f>IF(SchmidtTheory!Q135&gt;ActuatorSIZING!$G$44,SchmidtTheory!Q135,"")</f>
        <v>#VALUE!</v>
      </c>
      <c r="R37" s="85" t="e">
        <f>IF(SchmidtTheory!R135&gt;ActuatorSIZING!$G$44,SchmidtTheory!R135,"")</f>
        <v>#VALUE!</v>
      </c>
      <c r="S37" s="85" t="e">
        <f>IF(SchmidtTheory!S135&gt;ActuatorSIZING!$G$44,SchmidtTheory!S135,"")</f>
        <v>#VALUE!</v>
      </c>
      <c r="T37" s="85" t="e">
        <f>IF(SchmidtTheory!T135&gt;ActuatorSIZING!$G$44,SchmidtTheory!T135,"")</f>
        <v>#VALUE!</v>
      </c>
      <c r="U37" s="85" t="e">
        <f>IF(SchmidtTheory!U135&gt;ActuatorSIZING!$G$44,SchmidtTheory!U135,"")</f>
        <v>#VALUE!</v>
      </c>
      <c r="V37" s="85" t="e">
        <f>IF(SchmidtTheory!V135&gt;ActuatorSIZING!$G$44,SchmidtTheory!V135,"")</f>
        <v>#VALUE!</v>
      </c>
      <c r="W37" s="85" t="e">
        <f>IF(SchmidtTheory!W135&gt;ActuatorSIZING!$G$44,SchmidtTheory!W135,"")</f>
        <v>#VALUE!</v>
      </c>
      <c r="X37" s="85" t="e">
        <f>IF(SchmidtTheory!X135&gt;ActuatorSIZING!$G$44,SchmidtTheory!X135,"")</f>
        <v>#VALUE!</v>
      </c>
      <c r="Y37" s="85" t="e">
        <f>IF(SchmidtTheory!Y135&gt;ActuatorSIZING!$G$44,SchmidtTheory!Y135,"")</f>
        <v>#VALUE!</v>
      </c>
      <c r="Z37" s="85" t="e">
        <f>IF(SchmidtTheory!Z135&gt;ActuatorSIZING!$G$44,SchmidtTheory!Z135,"")</f>
        <v>#VALUE!</v>
      </c>
      <c r="AA37" s="85" t="e">
        <f>IF(SchmidtTheory!AA135&gt;ActuatorSIZING!$G$44,SchmidtTheory!AA135,"")</f>
        <v>#VALUE!</v>
      </c>
      <c r="AB37" s="85" t="e">
        <f>IF(SchmidtTheory!AB135&gt;ActuatorSIZING!$G$44,SchmidtTheory!AB135,"")</f>
        <v>#VALUE!</v>
      </c>
      <c r="AC37" s="85" t="e">
        <f>IF(SchmidtTheory!AC135&gt;ActuatorSIZING!$G$44,SchmidtTheory!AC135,"")</f>
        <v>#VALUE!</v>
      </c>
      <c r="AD37" s="85" t="e">
        <f>IF(SchmidtTheory!AD135&gt;ActuatorSIZING!$G$44,SchmidtTheory!AD135,"")</f>
        <v>#VALUE!</v>
      </c>
      <c r="AE37" s="85" t="e">
        <f>IF(SchmidtTheory!AE135&gt;ActuatorSIZING!$G$44,SchmidtTheory!AE135,"")</f>
        <v>#VALUE!</v>
      </c>
      <c r="AF37" s="85" t="e">
        <f>IF(SchmidtTheory!AF135&gt;ActuatorSIZING!$G$44,SchmidtTheory!AF135,"")</f>
        <v>#VALUE!</v>
      </c>
      <c r="AG37" s="85" t="e">
        <f>IF(SchmidtTheory!AG135&gt;ActuatorSIZING!$G$44,SchmidtTheory!AG135,"")</f>
        <v>#VALUE!</v>
      </c>
      <c r="AH37" s="85" t="e">
        <f>IF(SchmidtTheory!AH135&gt;ActuatorSIZING!$G$44,SchmidtTheory!AH135,"")</f>
        <v>#VALUE!</v>
      </c>
      <c r="AI37" s="85" t="e">
        <f>IF(SchmidtTheory!AI135&gt;ActuatorSIZING!$G$44,SchmidtTheory!AI135,"")</f>
        <v>#VALUE!</v>
      </c>
      <c r="AJ37" s="85" t="e">
        <f>IF(SchmidtTheory!AJ135&gt;ActuatorSIZING!$G$44,SchmidtTheory!AJ135,"")</f>
        <v>#VALUE!</v>
      </c>
      <c r="AK37" s="85" t="e">
        <f>IF(SchmidtTheory!AK135&gt;ActuatorSIZING!$G$44,SchmidtTheory!AK135,"")</f>
        <v>#VALUE!</v>
      </c>
      <c r="AL37" s="85" t="e">
        <f>IF(SchmidtTheory!AL135&gt;ActuatorSIZING!$G$44,SchmidtTheory!AL135,"")</f>
        <v>#VALUE!</v>
      </c>
      <c r="AM37" s="85" t="e">
        <f>IF(SchmidtTheory!AM135&gt;ActuatorSIZING!$G$44,SchmidtTheory!AM135,"")</f>
        <v>#VALUE!</v>
      </c>
      <c r="AN37" s="85" t="e">
        <f>IF(SchmidtTheory!AN135&gt;ActuatorSIZING!$G$44,SchmidtTheory!AN135,"")</f>
        <v>#VALUE!</v>
      </c>
      <c r="AO37" s="85" t="e">
        <f>IF(SchmidtTheory!AO135&gt;ActuatorSIZING!$G$44,SchmidtTheory!AO135,"")</f>
        <v>#VALUE!</v>
      </c>
      <c r="AP37" s="85" t="e">
        <f>IF(SchmidtTheory!AP135&gt;ActuatorSIZING!$G$44,SchmidtTheory!AP135,"")</f>
        <v>#VALUE!</v>
      </c>
      <c r="AQ37" s="85" t="e">
        <f>IF(SchmidtTheory!AQ135&gt;ActuatorSIZING!$G$44,SchmidtTheory!AQ135,"")</f>
        <v>#VALUE!</v>
      </c>
      <c r="AR37" s="85" t="e">
        <f>IF(SchmidtTheory!AR135&gt;ActuatorSIZING!$G$44,SchmidtTheory!AR135,"")</f>
        <v>#VALUE!</v>
      </c>
      <c r="AS37" s="85" t="e">
        <f>IF(SchmidtTheory!AS135&gt;ActuatorSIZING!$G$44,SchmidtTheory!AS135,"")</f>
        <v>#VALUE!</v>
      </c>
      <c r="AT37" s="85" t="e">
        <f>IF(SchmidtTheory!AT135&gt;ActuatorSIZING!$G$44,SchmidtTheory!AT135,"")</f>
        <v>#VALUE!</v>
      </c>
      <c r="AU37" s="85" t="e">
        <f>IF(SchmidtTheory!AU135&gt;ActuatorSIZING!$G$44,SchmidtTheory!AU135,"")</f>
        <v>#VALUE!</v>
      </c>
      <c r="AV37" s="85" t="e">
        <f>IF(SchmidtTheory!AV135&gt;ActuatorSIZING!$G$44,SchmidtTheory!AV135,"")</f>
        <v>#VALUE!</v>
      </c>
      <c r="AW37" s="96">
        <v>12600</v>
      </c>
      <c r="AX37" s="93" t="e">
        <f>IF(AW37&gt;ActuatorSIZING!$G$44,SchmidtTheory!AW37,"")</f>
        <v>#VALUE!</v>
      </c>
      <c r="AY37" s="95" t="e">
        <f>IF(SELECTION!$P$46=SchmidtTheory!G37,SchmidtTheory!AX37,"")</f>
        <v>#VALUE!</v>
      </c>
      <c r="AZ37" s="93" t="e">
        <f>IF(SELECTION!$AJ$24&gt;(I37+0.3),SchmidtTheory!AY37,"")</f>
        <v>#VALUE!</v>
      </c>
      <c r="BA37" s="103" t="s">
        <v>176</v>
      </c>
      <c r="BB37" s="93" t="e">
        <f t="shared" si="1"/>
        <v>#VALUE!</v>
      </c>
      <c r="BC37" s="93" t="e">
        <f>IF(SELECTION!$P$46=SchmidtTheory!G37,SchmidtTheory!BB37,"")</f>
        <v>#VALUE!</v>
      </c>
      <c r="BD37" s="93" t="e">
        <f>IF(SELECTION!$AJ$24&gt;(I37+0.3),SchmidtTheory!BC37,"")</f>
        <v>#VALUE!</v>
      </c>
      <c r="BE37" s="93" t="b">
        <f t="shared" si="0"/>
        <v>0</v>
      </c>
      <c r="BF37" s="103" t="s">
        <v>176</v>
      </c>
    </row>
    <row r="38" spans="2:58" ht="12.75" customHeight="1" x14ac:dyDescent="0.2">
      <c r="B38" s="42" t="s">
        <v>177</v>
      </c>
      <c r="C38" s="42" t="s">
        <v>222</v>
      </c>
      <c r="D38" s="42" t="s">
        <v>221</v>
      </c>
      <c r="F38" s="589"/>
      <c r="G38" s="598"/>
      <c r="H38" s="102">
        <v>2.2999999999999998</v>
      </c>
      <c r="I38" s="101">
        <v>3.4</v>
      </c>
      <c r="J38" s="100">
        <v>5.7</v>
      </c>
      <c r="K38" s="99">
        <v>16100</v>
      </c>
      <c r="L38" s="98">
        <v>6</v>
      </c>
      <c r="M38" s="97">
        <v>18200</v>
      </c>
      <c r="N38" s="85" t="e">
        <f>IF(SchmidtTheory!N136&gt;ActuatorSIZING!$G$44,SchmidtTheory!N136,"")</f>
        <v>#VALUE!</v>
      </c>
      <c r="O38" s="85" t="e">
        <f>IF(SchmidtTheory!O136&gt;ActuatorSIZING!$G$44,SchmidtTheory!O136,"")</f>
        <v>#VALUE!</v>
      </c>
      <c r="P38" s="85" t="e">
        <f>IF(SchmidtTheory!P136&gt;ActuatorSIZING!$G$44,SchmidtTheory!P136,"")</f>
        <v>#VALUE!</v>
      </c>
      <c r="Q38" s="85" t="e">
        <f>IF(SchmidtTheory!Q136&gt;ActuatorSIZING!$G$44,SchmidtTheory!Q136,"")</f>
        <v>#VALUE!</v>
      </c>
      <c r="R38" s="85" t="e">
        <f>IF(SchmidtTheory!R136&gt;ActuatorSIZING!$G$44,SchmidtTheory!R136,"")</f>
        <v>#VALUE!</v>
      </c>
      <c r="S38" s="85" t="e">
        <f>IF(SchmidtTheory!S136&gt;ActuatorSIZING!$G$44,SchmidtTheory!S136,"")</f>
        <v>#VALUE!</v>
      </c>
      <c r="T38" s="85" t="e">
        <f>IF(SchmidtTheory!T136&gt;ActuatorSIZING!$G$44,SchmidtTheory!T136,"")</f>
        <v>#VALUE!</v>
      </c>
      <c r="U38" s="85" t="e">
        <f>IF(SchmidtTheory!U136&gt;ActuatorSIZING!$G$44,SchmidtTheory!U136,"")</f>
        <v>#VALUE!</v>
      </c>
      <c r="V38" s="85" t="e">
        <f>IF(SchmidtTheory!V136&gt;ActuatorSIZING!$G$44,SchmidtTheory!V136,"")</f>
        <v>#VALUE!</v>
      </c>
      <c r="W38" s="85" t="e">
        <f>IF(SchmidtTheory!W136&gt;ActuatorSIZING!$G$44,SchmidtTheory!W136,"")</f>
        <v>#VALUE!</v>
      </c>
      <c r="X38" s="85" t="e">
        <f>IF(SchmidtTheory!X136&gt;ActuatorSIZING!$G$44,SchmidtTheory!X136,"")</f>
        <v>#VALUE!</v>
      </c>
      <c r="Y38" s="85" t="e">
        <f>IF(SchmidtTheory!Y136&gt;ActuatorSIZING!$G$44,SchmidtTheory!Y136,"")</f>
        <v>#VALUE!</v>
      </c>
      <c r="Z38" s="85" t="e">
        <f>IF(SchmidtTheory!Z136&gt;ActuatorSIZING!$G$44,SchmidtTheory!Z136,"")</f>
        <v>#VALUE!</v>
      </c>
      <c r="AA38" s="85" t="e">
        <f>IF(SchmidtTheory!AA136&gt;ActuatorSIZING!$G$44,SchmidtTheory!AA136,"")</f>
        <v>#VALUE!</v>
      </c>
      <c r="AB38" s="85" t="e">
        <f>IF(SchmidtTheory!AB136&gt;ActuatorSIZING!$G$44,SchmidtTheory!AB136,"")</f>
        <v>#VALUE!</v>
      </c>
      <c r="AC38" s="85" t="e">
        <f>IF(SchmidtTheory!AC136&gt;ActuatorSIZING!$G$44,SchmidtTheory!AC136,"")</f>
        <v>#VALUE!</v>
      </c>
      <c r="AD38" s="85" t="e">
        <f>IF(SchmidtTheory!AD136&gt;ActuatorSIZING!$G$44,SchmidtTheory!AD136,"")</f>
        <v>#VALUE!</v>
      </c>
      <c r="AE38" s="85" t="e">
        <f>IF(SchmidtTheory!AE136&gt;ActuatorSIZING!$G$44,SchmidtTheory!AE136,"")</f>
        <v>#VALUE!</v>
      </c>
      <c r="AF38" s="85" t="e">
        <f>IF(SchmidtTheory!AF136&gt;ActuatorSIZING!$G$44,SchmidtTheory!AF136,"")</f>
        <v>#VALUE!</v>
      </c>
      <c r="AG38" s="85" t="e">
        <f>IF(SchmidtTheory!AG136&gt;ActuatorSIZING!$G$44,SchmidtTheory!AG136,"")</f>
        <v>#VALUE!</v>
      </c>
      <c r="AH38" s="85" t="e">
        <f>IF(SchmidtTheory!AH136&gt;ActuatorSIZING!$G$44,SchmidtTheory!AH136,"")</f>
        <v>#VALUE!</v>
      </c>
      <c r="AI38" s="85" t="e">
        <f>IF(SchmidtTheory!AI136&gt;ActuatorSIZING!$G$44,SchmidtTheory!AI136,"")</f>
        <v>#VALUE!</v>
      </c>
      <c r="AJ38" s="85" t="e">
        <f>IF(SchmidtTheory!AJ136&gt;ActuatorSIZING!$G$44,SchmidtTheory!AJ136,"")</f>
        <v>#VALUE!</v>
      </c>
      <c r="AK38" s="85" t="e">
        <f>IF(SchmidtTheory!AK136&gt;ActuatorSIZING!$G$44,SchmidtTheory!AK136,"")</f>
        <v>#VALUE!</v>
      </c>
      <c r="AL38" s="85" t="e">
        <f>IF(SchmidtTheory!AL136&gt;ActuatorSIZING!$G$44,SchmidtTheory!AL136,"")</f>
        <v>#VALUE!</v>
      </c>
      <c r="AM38" s="85" t="e">
        <f>IF(SchmidtTheory!AM136&gt;ActuatorSIZING!$G$44,SchmidtTheory!AM136,"")</f>
        <v>#VALUE!</v>
      </c>
      <c r="AN38" s="85" t="e">
        <f>IF(SchmidtTheory!AN136&gt;ActuatorSIZING!$G$44,SchmidtTheory!AN136,"")</f>
        <v>#VALUE!</v>
      </c>
      <c r="AO38" s="85" t="e">
        <f>IF(SchmidtTheory!AO136&gt;ActuatorSIZING!$G$44,SchmidtTheory!AO136,"")</f>
        <v>#VALUE!</v>
      </c>
      <c r="AP38" s="85" t="e">
        <f>IF(SchmidtTheory!AP136&gt;ActuatorSIZING!$G$44,SchmidtTheory!AP136,"")</f>
        <v>#VALUE!</v>
      </c>
      <c r="AQ38" s="85" t="e">
        <f>IF(SchmidtTheory!AQ136&gt;ActuatorSIZING!$G$44,SchmidtTheory!AQ136,"")</f>
        <v>#VALUE!</v>
      </c>
      <c r="AR38" s="85" t="e">
        <f>IF(SchmidtTheory!AR136&gt;ActuatorSIZING!$G$44,SchmidtTheory!AR136,"")</f>
        <v>#VALUE!</v>
      </c>
      <c r="AS38" s="85" t="e">
        <f>IF(SchmidtTheory!AS136&gt;ActuatorSIZING!$G$44,SchmidtTheory!AS136,"")</f>
        <v>#VALUE!</v>
      </c>
      <c r="AT38" s="85" t="e">
        <f>IF(SchmidtTheory!AT136&gt;ActuatorSIZING!$G$44,SchmidtTheory!AT136,"")</f>
        <v>#VALUE!</v>
      </c>
      <c r="AU38" s="85" t="e">
        <f>IF(SchmidtTheory!AU136&gt;ActuatorSIZING!$G$44,SchmidtTheory!AU136,"")</f>
        <v>#VALUE!</v>
      </c>
      <c r="AV38" s="85" t="e">
        <f>IF(SchmidtTheory!AV136&gt;ActuatorSIZING!$G$44,SchmidtTheory!AV136,"")</f>
        <v>#VALUE!</v>
      </c>
      <c r="AW38" s="96">
        <v>16100</v>
      </c>
      <c r="AX38" s="93" t="e">
        <f>IF(AW38&gt;ActuatorSIZING!$G$44,SchmidtTheory!AW38,"")</f>
        <v>#VALUE!</v>
      </c>
      <c r="AY38" s="95" t="e">
        <f>IF(SELECTION!$P$46=SchmidtTheory!G37,SchmidtTheory!AX38,"")</f>
        <v>#VALUE!</v>
      </c>
      <c r="AZ38" s="93" t="e">
        <f>IF(SELECTION!$AJ$24&gt;(I38+0.3),SchmidtTheory!AY38,"")</f>
        <v>#VALUE!</v>
      </c>
      <c r="BA38" s="103" t="s">
        <v>174</v>
      </c>
      <c r="BB38" s="93" t="e">
        <f t="shared" si="1"/>
        <v>#VALUE!</v>
      </c>
      <c r="BC38" s="93" t="e">
        <f>IF(SELECTION!$P$46=SchmidtTheory!G37,SchmidtTheory!BB38,"")</f>
        <v>#VALUE!</v>
      </c>
      <c r="BD38" s="93" t="e">
        <f>IF(SELECTION!$AJ$24&gt;(I38+0.3),SchmidtTheory!BC38,"")</f>
        <v>#VALUE!</v>
      </c>
      <c r="BE38" s="93" t="b">
        <f t="shared" si="0"/>
        <v>0</v>
      </c>
      <c r="BF38" s="103" t="s">
        <v>174</v>
      </c>
    </row>
    <row r="39" spans="2:58" ht="12.75" customHeight="1" x14ac:dyDescent="0.2">
      <c r="B39" s="42" t="s">
        <v>175</v>
      </c>
      <c r="C39" s="42" t="s">
        <v>218</v>
      </c>
      <c r="D39" s="42" t="s">
        <v>810</v>
      </c>
      <c r="F39" s="589"/>
      <c r="G39" s="598"/>
      <c r="H39" s="102">
        <v>3</v>
      </c>
      <c r="I39" s="101">
        <v>4.2</v>
      </c>
      <c r="J39" s="100"/>
      <c r="K39" s="99"/>
      <c r="L39" s="98">
        <v>6</v>
      </c>
      <c r="M39" s="97">
        <v>12600</v>
      </c>
      <c r="N39" s="85" t="e">
        <f>IF(SchmidtTheory!N137&gt;ActuatorSIZING!$G$44,SchmidtTheory!N137,"")</f>
        <v>#VALUE!</v>
      </c>
      <c r="O39" s="85" t="e">
        <f>IF(SchmidtTheory!O137&gt;ActuatorSIZING!$G$44,SchmidtTheory!O137,"")</f>
        <v>#VALUE!</v>
      </c>
      <c r="P39" s="85" t="e">
        <f>IF(SchmidtTheory!P137&gt;ActuatorSIZING!$G$44,SchmidtTheory!P137,"")</f>
        <v>#VALUE!</v>
      </c>
      <c r="Q39" s="85" t="e">
        <f>IF(SchmidtTheory!Q137&gt;ActuatorSIZING!$G$44,SchmidtTheory!Q137,"")</f>
        <v>#VALUE!</v>
      </c>
      <c r="R39" s="85" t="e">
        <f>IF(SchmidtTheory!R137&gt;ActuatorSIZING!$G$44,SchmidtTheory!R137,"")</f>
        <v>#VALUE!</v>
      </c>
      <c r="S39" s="85" t="e">
        <f>IF(SchmidtTheory!S137&gt;ActuatorSIZING!$G$44,SchmidtTheory!S137,"")</f>
        <v>#VALUE!</v>
      </c>
      <c r="T39" s="85" t="e">
        <f>IF(SchmidtTheory!T137&gt;ActuatorSIZING!$G$44,SchmidtTheory!T137,"")</f>
        <v>#VALUE!</v>
      </c>
      <c r="U39" s="85" t="e">
        <f>IF(SchmidtTheory!U137&gt;ActuatorSIZING!$G$44,SchmidtTheory!U137,"")</f>
        <v>#VALUE!</v>
      </c>
      <c r="V39" s="85" t="e">
        <f>IF(SchmidtTheory!V137&gt;ActuatorSIZING!$G$44,SchmidtTheory!V137,"")</f>
        <v>#VALUE!</v>
      </c>
      <c r="W39" s="85" t="e">
        <f>IF(SchmidtTheory!W137&gt;ActuatorSIZING!$G$44,SchmidtTheory!W137,"")</f>
        <v>#VALUE!</v>
      </c>
      <c r="X39" s="85" t="e">
        <f>IF(SchmidtTheory!X137&gt;ActuatorSIZING!$G$44,SchmidtTheory!X137,"")</f>
        <v>#VALUE!</v>
      </c>
      <c r="Y39" s="85" t="e">
        <f>IF(SchmidtTheory!Y137&gt;ActuatorSIZING!$G$44,SchmidtTheory!Y137,"")</f>
        <v>#VALUE!</v>
      </c>
      <c r="Z39" s="85" t="e">
        <f>IF(SchmidtTheory!Z137&gt;ActuatorSIZING!$G$44,SchmidtTheory!Z137,"")</f>
        <v>#VALUE!</v>
      </c>
      <c r="AA39" s="85" t="e">
        <f>IF(SchmidtTheory!AA137&gt;ActuatorSIZING!$G$44,SchmidtTheory!AA137,"")</f>
        <v>#VALUE!</v>
      </c>
      <c r="AB39" s="85" t="e">
        <f>IF(SchmidtTheory!AB137&gt;ActuatorSIZING!$G$44,SchmidtTheory!AB137,"")</f>
        <v>#VALUE!</v>
      </c>
      <c r="AC39" s="85" t="e">
        <f>IF(SchmidtTheory!AC137&gt;ActuatorSIZING!$G$44,SchmidtTheory!AC137,"")</f>
        <v>#VALUE!</v>
      </c>
      <c r="AD39" s="85" t="e">
        <f>IF(SchmidtTheory!AD137&gt;ActuatorSIZING!$G$44,SchmidtTheory!AD137,"")</f>
        <v>#VALUE!</v>
      </c>
      <c r="AE39" s="85" t="e">
        <f>IF(SchmidtTheory!AE137&gt;ActuatorSIZING!$G$44,SchmidtTheory!AE137,"")</f>
        <v>#VALUE!</v>
      </c>
      <c r="AF39" s="85" t="e">
        <f>IF(SchmidtTheory!AF137&gt;ActuatorSIZING!$G$44,SchmidtTheory!AF137,"")</f>
        <v>#VALUE!</v>
      </c>
      <c r="AG39" s="85" t="e">
        <f>IF(SchmidtTheory!AG137&gt;ActuatorSIZING!$G$44,SchmidtTheory!AG137,"")</f>
        <v>#VALUE!</v>
      </c>
      <c r="AH39" s="85" t="e">
        <f>IF(SchmidtTheory!AH137&gt;ActuatorSIZING!$G$44,SchmidtTheory!AH137,"")</f>
        <v>#VALUE!</v>
      </c>
      <c r="AI39" s="85" t="e">
        <f>IF(SchmidtTheory!AI137&gt;ActuatorSIZING!$G$44,SchmidtTheory!AI137,"")</f>
        <v>#VALUE!</v>
      </c>
      <c r="AJ39" s="85" t="e">
        <f>IF(SchmidtTheory!AJ137&gt;ActuatorSIZING!$G$44,SchmidtTheory!AJ137,"")</f>
        <v>#VALUE!</v>
      </c>
      <c r="AK39" s="85" t="e">
        <f>IF(SchmidtTheory!AK137&gt;ActuatorSIZING!$G$44,SchmidtTheory!AK137,"")</f>
        <v>#VALUE!</v>
      </c>
      <c r="AL39" s="85" t="e">
        <f>IF(SchmidtTheory!AL137&gt;ActuatorSIZING!$G$44,SchmidtTheory!AL137,"")</f>
        <v>#VALUE!</v>
      </c>
      <c r="AM39" s="85" t="e">
        <f>IF(SchmidtTheory!AM137&gt;ActuatorSIZING!$G$44,SchmidtTheory!AM137,"")</f>
        <v>#VALUE!</v>
      </c>
      <c r="AN39" s="85" t="e">
        <f>IF(SchmidtTheory!AN137&gt;ActuatorSIZING!$G$44,SchmidtTheory!AN137,"")</f>
        <v>#VALUE!</v>
      </c>
      <c r="AO39" s="85" t="e">
        <f>IF(SchmidtTheory!AO137&gt;ActuatorSIZING!$G$44,SchmidtTheory!AO137,"")</f>
        <v>#VALUE!</v>
      </c>
      <c r="AP39" s="85" t="e">
        <f>IF(SchmidtTheory!AP137&gt;ActuatorSIZING!$G$44,SchmidtTheory!AP137,"")</f>
        <v>#VALUE!</v>
      </c>
      <c r="AQ39" s="85" t="e">
        <f>IF(SchmidtTheory!AQ137&gt;ActuatorSIZING!$G$44,SchmidtTheory!AQ137,"")</f>
        <v>#VALUE!</v>
      </c>
      <c r="AR39" s="85" t="e">
        <f>IF(SchmidtTheory!AR137&gt;ActuatorSIZING!$G$44,SchmidtTheory!AR137,"")</f>
        <v>#VALUE!</v>
      </c>
      <c r="AS39" s="85" t="e">
        <f>IF(SchmidtTheory!AS137&gt;ActuatorSIZING!$G$44,SchmidtTheory!AS137,"")</f>
        <v>#VALUE!</v>
      </c>
      <c r="AT39" s="85" t="e">
        <f>IF(SchmidtTheory!AT137&gt;ActuatorSIZING!$G$44,SchmidtTheory!AT137,"")</f>
        <v>#VALUE!</v>
      </c>
      <c r="AU39" s="85" t="e">
        <f>IF(SchmidtTheory!AU137&gt;ActuatorSIZING!$G$44,SchmidtTheory!AU137,"")</f>
        <v>#VALUE!</v>
      </c>
      <c r="AV39" s="85" t="e">
        <f>IF(SchmidtTheory!AV137&gt;ActuatorSIZING!$G$44,SchmidtTheory!AV137,"")</f>
        <v>#VALUE!</v>
      </c>
      <c r="AW39" s="96">
        <v>21000</v>
      </c>
      <c r="AX39" s="93" t="e">
        <f>IF(AW39&gt;ActuatorSIZING!$G$44,SchmidtTheory!AW39,"")</f>
        <v>#VALUE!</v>
      </c>
      <c r="AY39" s="95" t="e">
        <f>IF(SELECTION!$P$46=SchmidtTheory!G37,SchmidtTheory!AX39,"")</f>
        <v>#VALUE!</v>
      </c>
      <c r="AZ39" s="93" t="str">
        <f>IF(SELECTION!$AJ$24&gt;(I39+0.3),SchmidtTheory!AY39,"")</f>
        <v/>
      </c>
      <c r="BA39" s="103" t="s">
        <v>172</v>
      </c>
      <c r="BB39" s="94"/>
      <c r="BC39" s="93" t="str">
        <f>IF(SELECTION!$P$46=SchmidtTheory!G39,SchmidtTheory!BB39,"")</f>
        <v/>
      </c>
      <c r="BD39" s="93" t="str">
        <f>IF(SELECTION!$AJ$24&gt;(I39+0.3),SchmidtTheory!BC39,"")</f>
        <v/>
      </c>
      <c r="BE39" s="93" t="b">
        <f t="shared" ref="BE39:BE70" si="2">ISNUMBER(BD39)</f>
        <v>0</v>
      </c>
      <c r="BF39" s="103" t="s">
        <v>172</v>
      </c>
    </row>
    <row r="40" spans="2:58" ht="12.75" customHeight="1" x14ac:dyDescent="0.2">
      <c r="B40" s="42" t="s">
        <v>173</v>
      </c>
      <c r="D40" s="42" t="s">
        <v>811</v>
      </c>
      <c r="F40" s="589"/>
      <c r="G40" s="598">
        <v>40</v>
      </c>
      <c r="H40" s="102">
        <v>0.2</v>
      </c>
      <c r="I40" s="101">
        <v>1</v>
      </c>
      <c r="J40" s="100"/>
      <c r="K40" s="99"/>
      <c r="L40" s="98">
        <v>6</v>
      </c>
      <c r="M40" s="97">
        <v>35000</v>
      </c>
      <c r="N40" s="85" t="e">
        <f>IF(SchmidtTheory!N138&gt;ActuatorSIZING!$G$44,SchmidtTheory!N138,"")</f>
        <v>#VALUE!</v>
      </c>
      <c r="O40" s="85" t="e">
        <f>IF(SchmidtTheory!O138&gt;ActuatorSIZING!$G$44,SchmidtTheory!O138,"")</f>
        <v>#VALUE!</v>
      </c>
      <c r="P40" s="85" t="e">
        <f>IF(SchmidtTheory!P138&gt;ActuatorSIZING!$G$44,SchmidtTheory!P138,"")</f>
        <v>#VALUE!</v>
      </c>
      <c r="Q40" s="85" t="e">
        <f>IF(SchmidtTheory!Q138&gt;ActuatorSIZING!$G$44,SchmidtTheory!Q138,"")</f>
        <v>#VALUE!</v>
      </c>
      <c r="R40" s="85" t="e">
        <f>IF(SchmidtTheory!R138&gt;ActuatorSIZING!$G$44,SchmidtTheory!R138,"")</f>
        <v>#VALUE!</v>
      </c>
      <c r="S40" s="85" t="e">
        <f>IF(SchmidtTheory!S138&gt;ActuatorSIZING!$G$44,SchmidtTheory!S138,"")</f>
        <v>#VALUE!</v>
      </c>
      <c r="T40" s="85" t="e">
        <f>IF(SchmidtTheory!T138&gt;ActuatorSIZING!$G$44,SchmidtTheory!T138,"")</f>
        <v>#VALUE!</v>
      </c>
      <c r="U40" s="85" t="e">
        <f>IF(SchmidtTheory!U138&gt;ActuatorSIZING!$G$44,SchmidtTheory!U138,"")</f>
        <v>#VALUE!</v>
      </c>
      <c r="V40" s="85" t="e">
        <f>IF(SchmidtTheory!V138&gt;ActuatorSIZING!$G$44,SchmidtTheory!V138,"")</f>
        <v>#VALUE!</v>
      </c>
      <c r="W40" s="85" t="e">
        <f>IF(SchmidtTheory!W138&gt;ActuatorSIZING!$G$44,SchmidtTheory!W138,"")</f>
        <v>#VALUE!</v>
      </c>
      <c r="X40" s="85" t="e">
        <f>IF(SchmidtTheory!X138&gt;ActuatorSIZING!$G$44,SchmidtTheory!X138,"")</f>
        <v>#VALUE!</v>
      </c>
      <c r="Y40" s="85" t="e">
        <f>IF(SchmidtTheory!Y138&gt;ActuatorSIZING!$G$44,SchmidtTheory!Y138,"")</f>
        <v>#VALUE!</v>
      </c>
      <c r="Z40" s="85" t="e">
        <f>IF(SchmidtTheory!Z138&gt;ActuatorSIZING!$G$44,SchmidtTheory!Z138,"")</f>
        <v>#VALUE!</v>
      </c>
      <c r="AA40" s="85" t="e">
        <f>IF(SchmidtTheory!AA138&gt;ActuatorSIZING!$G$44,SchmidtTheory!AA138,"")</f>
        <v>#VALUE!</v>
      </c>
      <c r="AB40" s="85" t="e">
        <f>IF(SchmidtTheory!AB138&gt;ActuatorSIZING!$G$44,SchmidtTheory!AB138,"")</f>
        <v>#VALUE!</v>
      </c>
      <c r="AC40" s="85" t="e">
        <f>IF(SchmidtTheory!AC138&gt;ActuatorSIZING!$G$44,SchmidtTheory!AC138,"")</f>
        <v>#VALUE!</v>
      </c>
      <c r="AD40" s="85" t="e">
        <f>IF(SchmidtTheory!AD138&gt;ActuatorSIZING!$G$44,SchmidtTheory!AD138,"")</f>
        <v>#VALUE!</v>
      </c>
      <c r="AE40" s="85" t="e">
        <f>IF(SchmidtTheory!AE138&gt;ActuatorSIZING!$G$44,SchmidtTheory!AE138,"")</f>
        <v>#VALUE!</v>
      </c>
      <c r="AF40" s="85" t="e">
        <f>IF(SchmidtTheory!AF138&gt;ActuatorSIZING!$G$44,SchmidtTheory!AF138,"")</f>
        <v>#VALUE!</v>
      </c>
      <c r="AG40" s="85" t="e">
        <f>IF(SchmidtTheory!AG138&gt;ActuatorSIZING!$G$44,SchmidtTheory!AG138,"")</f>
        <v>#VALUE!</v>
      </c>
      <c r="AH40" s="85" t="e">
        <f>IF(SchmidtTheory!AH138&gt;ActuatorSIZING!$G$44,SchmidtTheory!AH138,"")</f>
        <v>#VALUE!</v>
      </c>
      <c r="AI40" s="85" t="e">
        <f>IF(SchmidtTheory!AI138&gt;ActuatorSIZING!$G$44,SchmidtTheory!AI138,"")</f>
        <v>#VALUE!</v>
      </c>
      <c r="AJ40" s="85" t="e">
        <f>IF(SchmidtTheory!AJ138&gt;ActuatorSIZING!$G$44,SchmidtTheory!AJ138,"")</f>
        <v>#VALUE!</v>
      </c>
      <c r="AK40" s="85" t="e">
        <f>IF(SchmidtTheory!AK138&gt;ActuatorSIZING!$G$44,SchmidtTheory!AK138,"")</f>
        <v>#VALUE!</v>
      </c>
      <c r="AL40" s="85" t="e">
        <f>IF(SchmidtTheory!AL138&gt;ActuatorSIZING!$G$44,SchmidtTheory!AL138,"")</f>
        <v>#VALUE!</v>
      </c>
      <c r="AM40" s="85" t="e">
        <f>IF(SchmidtTheory!AM138&gt;ActuatorSIZING!$G$44,SchmidtTheory!AM138,"")</f>
        <v>#VALUE!</v>
      </c>
      <c r="AN40" s="85" t="e">
        <f>IF(SchmidtTheory!AN138&gt;ActuatorSIZING!$G$44,SchmidtTheory!AN138,"")</f>
        <v>#VALUE!</v>
      </c>
      <c r="AO40" s="85" t="e">
        <f>IF(SchmidtTheory!AO138&gt;ActuatorSIZING!$G$44,SchmidtTheory!AO138,"")</f>
        <v>#VALUE!</v>
      </c>
      <c r="AP40" s="85" t="e">
        <f>IF(SchmidtTheory!AP138&gt;ActuatorSIZING!$G$44,SchmidtTheory!AP138,"")</f>
        <v>#VALUE!</v>
      </c>
      <c r="AQ40" s="85" t="e">
        <f>IF(SchmidtTheory!AQ138&gt;ActuatorSIZING!$G$44,SchmidtTheory!AQ138,"")</f>
        <v>#VALUE!</v>
      </c>
      <c r="AR40" s="85" t="e">
        <f>IF(SchmidtTheory!AR138&gt;ActuatorSIZING!$G$44,SchmidtTheory!AR138,"")</f>
        <v>#VALUE!</v>
      </c>
      <c r="AS40" s="85" t="e">
        <f>IF(SchmidtTheory!AS138&gt;ActuatorSIZING!$G$44,SchmidtTheory!AS138,"")</f>
        <v>#VALUE!</v>
      </c>
      <c r="AT40" s="85" t="e">
        <f>IF(SchmidtTheory!AT138&gt;ActuatorSIZING!$G$44,SchmidtTheory!AT138,"")</f>
        <v>#VALUE!</v>
      </c>
      <c r="AU40" s="85" t="e">
        <f>IF(SchmidtTheory!AU138&gt;ActuatorSIZING!$G$44,SchmidtTheory!AU138,"")</f>
        <v>#VALUE!</v>
      </c>
      <c r="AV40" s="85" t="e">
        <f>IF(SchmidtTheory!AV138&gt;ActuatorSIZING!$G$44,SchmidtTheory!AV138,"")</f>
        <v>#VALUE!</v>
      </c>
      <c r="AW40" s="96">
        <v>1400</v>
      </c>
      <c r="AX40" s="93" t="e">
        <f>IF(AW40&gt;ActuatorSIZING!$G$44,SchmidtTheory!AW40,"")</f>
        <v>#VALUE!</v>
      </c>
      <c r="AY40" s="95" t="str">
        <f>IF(SELECTION!$P$46=SchmidtTheory!G40,SchmidtTheory!AX40,"")</f>
        <v/>
      </c>
      <c r="AZ40" s="93" t="str">
        <f>IF(SELECTION!$AJ$24&gt;(I40+0.3),SchmidtTheory!AY40,"")</f>
        <v/>
      </c>
      <c r="BA40" s="103" t="s">
        <v>170</v>
      </c>
      <c r="BB40" s="93" t="e">
        <f>SMALL(N40:AV40,1)</f>
        <v>#VALUE!</v>
      </c>
      <c r="BC40" s="93" t="str">
        <f>IF(SELECTION!$P$46=SchmidtTheory!G40,SchmidtTheory!BB40,"")</f>
        <v/>
      </c>
      <c r="BD40" s="93" t="str">
        <f>IF(SELECTION!$AJ$24&gt;(I40+0.3),SchmidtTheory!BC40,"")</f>
        <v/>
      </c>
      <c r="BE40" s="93" t="b">
        <f t="shared" si="2"/>
        <v>0</v>
      </c>
      <c r="BF40" s="103" t="s">
        <v>170</v>
      </c>
    </row>
    <row r="41" spans="2:58" ht="12.75" customHeight="1" x14ac:dyDescent="0.2">
      <c r="B41" s="42" t="s">
        <v>171</v>
      </c>
      <c r="F41" s="589"/>
      <c r="G41" s="598"/>
      <c r="H41" s="102">
        <v>0.5</v>
      </c>
      <c r="I41" s="101">
        <v>1.9</v>
      </c>
      <c r="J41" s="100">
        <v>2.4</v>
      </c>
      <c r="K41" s="99">
        <v>3500</v>
      </c>
      <c r="L41" s="98">
        <v>6</v>
      </c>
      <c r="M41" s="97">
        <v>28700</v>
      </c>
      <c r="N41" s="85" t="e">
        <f>IF(SchmidtTheory!N139&gt;ActuatorSIZING!$G$44,SchmidtTheory!N139,"")</f>
        <v>#VALUE!</v>
      </c>
      <c r="O41" s="85" t="e">
        <f>IF(SchmidtTheory!O139&gt;ActuatorSIZING!$G$44,SchmidtTheory!O139,"")</f>
        <v>#VALUE!</v>
      </c>
      <c r="P41" s="85" t="e">
        <f>IF(SchmidtTheory!P139&gt;ActuatorSIZING!$G$44,SchmidtTheory!P139,"")</f>
        <v>#VALUE!</v>
      </c>
      <c r="Q41" s="85" t="e">
        <f>IF(SchmidtTheory!Q139&gt;ActuatorSIZING!$G$44,SchmidtTheory!Q139,"")</f>
        <v>#VALUE!</v>
      </c>
      <c r="R41" s="85" t="e">
        <f>IF(SchmidtTheory!R139&gt;ActuatorSIZING!$G$44,SchmidtTheory!R139,"")</f>
        <v>#VALUE!</v>
      </c>
      <c r="S41" s="85" t="e">
        <f>IF(SchmidtTheory!S139&gt;ActuatorSIZING!$G$44,SchmidtTheory!S139,"")</f>
        <v>#VALUE!</v>
      </c>
      <c r="T41" s="85" t="e">
        <f>IF(SchmidtTheory!T139&gt;ActuatorSIZING!$G$44,SchmidtTheory!T139,"")</f>
        <v>#VALUE!</v>
      </c>
      <c r="U41" s="85" t="e">
        <f>IF(SchmidtTheory!U139&gt;ActuatorSIZING!$G$44,SchmidtTheory!U139,"")</f>
        <v>#VALUE!</v>
      </c>
      <c r="V41" s="85" t="e">
        <f>IF(SchmidtTheory!V139&gt;ActuatorSIZING!$G$44,SchmidtTheory!V139,"")</f>
        <v>#VALUE!</v>
      </c>
      <c r="W41" s="85" t="e">
        <f>IF(SchmidtTheory!W139&gt;ActuatorSIZING!$G$44,SchmidtTheory!W139,"")</f>
        <v>#VALUE!</v>
      </c>
      <c r="X41" s="85" t="e">
        <f>IF(SchmidtTheory!X139&gt;ActuatorSIZING!$G$44,SchmidtTheory!X139,"")</f>
        <v>#VALUE!</v>
      </c>
      <c r="Y41" s="85" t="e">
        <f>IF(SchmidtTheory!Y139&gt;ActuatorSIZING!$G$44,SchmidtTheory!Y139,"")</f>
        <v>#VALUE!</v>
      </c>
      <c r="Z41" s="85" t="e">
        <f>IF(SchmidtTheory!Z139&gt;ActuatorSIZING!$G$44,SchmidtTheory!Z139,"")</f>
        <v>#VALUE!</v>
      </c>
      <c r="AA41" s="85" t="e">
        <f>IF(SchmidtTheory!AA139&gt;ActuatorSIZING!$G$44,SchmidtTheory!AA139,"")</f>
        <v>#VALUE!</v>
      </c>
      <c r="AB41" s="85" t="e">
        <f>IF(SchmidtTheory!AB139&gt;ActuatorSIZING!$G$44,SchmidtTheory!AB139,"")</f>
        <v>#VALUE!</v>
      </c>
      <c r="AC41" s="85" t="e">
        <f>IF(SchmidtTheory!AC139&gt;ActuatorSIZING!$G$44,SchmidtTheory!AC139,"")</f>
        <v>#VALUE!</v>
      </c>
      <c r="AD41" s="85" t="e">
        <f>IF(SchmidtTheory!AD139&gt;ActuatorSIZING!$G$44,SchmidtTheory!AD139,"")</f>
        <v>#VALUE!</v>
      </c>
      <c r="AE41" s="85" t="e">
        <f>IF(SchmidtTheory!AE139&gt;ActuatorSIZING!$G$44,SchmidtTheory!AE139,"")</f>
        <v>#VALUE!</v>
      </c>
      <c r="AF41" s="85" t="e">
        <f>IF(SchmidtTheory!AF139&gt;ActuatorSIZING!$G$44,SchmidtTheory!AF139,"")</f>
        <v>#VALUE!</v>
      </c>
      <c r="AG41" s="85" t="e">
        <f>IF(SchmidtTheory!AG139&gt;ActuatorSIZING!$G$44,SchmidtTheory!AG139,"")</f>
        <v>#VALUE!</v>
      </c>
      <c r="AH41" s="85" t="e">
        <f>IF(SchmidtTheory!AH139&gt;ActuatorSIZING!$G$44,SchmidtTheory!AH139,"")</f>
        <v>#VALUE!</v>
      </c>
      <c r="AI41" s="85" t="e">
        <f>IF(SchmidtTheory!AI139&gt;ActuatorSIZING!$G$44,SchmidtTheory!AI139,"")</f>
        <v>#VALUE!</v>
      </c>
      <c r="AJ41" s="85" t="e">
        <f>IF(SchmidtTheory!AJ139&gt;ActuatorSIZING!$G$44,SchmidtTheory!AJ139,"")</f>
        <v>#VALUE!</v>
      </c>
      <c r="AK41" s="85" t="e">
        <f>IF(SchmidtTheory!AK139&gt;ActuatorSIZING!$G$44,SchmidtTheory!AK139,"")</f>
        <v>#VALUE!</v>
      </c>
      <c r="AL41" s="85" t="e">
        <f>IF(SchmidtTheory!AL139&gt;ActuatorSIZING!$G$44,SchmidtTheory!AL139,"")</f>
        <v>#VALUE!</v>
      </c>
      <c r="AM41" s="85" t="e">
        <f>IF(SchmidtTheory!AM139&gt;ActuatorSIZING!$G$44,SchmidtTheory!AM139,"")</f>
        <v>#VALUE!</v>
      </c>
      <c r="AN41" s="85" t="e">
        <f>IF(SchmidtTheory!AN139&gt;ActuatorSIZING!$G$44,SchmidtTheory!AN139,"")</f>
        <v>#VALUE!</v>
      </c>
      <c r="AO41" s="85" t="e">
        <f>IF(SchmidtTheory!AO139&gt;ActuatorSIZING!$G$44,SchmidtTheory!AO139,"")</f>
        <v>#VALUE!</v>
      </c>
      <c r="AP41" s="85" t="e">
        <f>IF(SchmidtTheory!AP139&gt;ActuatorSIZING!$G$44,SchmidtTheory!AP139,"")</f>
        <v>#VALUE!</v>
      </c>
      <c r="AQ41" s="85" t="e">
        <f>IF(SchmidtTheory!AQ139&gt;ActuatorSIZING!$G$44,SchmidtTheory!AQ139,"")</f>
        <v>#VALUE!</v>
      </c>
      <c r="AR41" s="85" t="e">
        <f>IF(SchmidtTheory!AR139&gt;ActuatorSIZING!$G$44,SchmidtTheory!AR139,"")</f>
        <v>#VALUE!</v>
      </c>
      <c r="AS41" s="85" t="e">
        <f>IF(SchmidtTheory!AS139&gt;ActuatorSIZING!$G$44,SchmidtTheory!AS139,"")</f>
        <v>#VALUE!</v>
      </c>
      <c r="AT41" s="85" t="e">
        <f>IF(SchmidtTheory!AT139&gt;ActuatorSIZING!$G$44,SchmidtTheory!AT139,"")</f>
        <v>#VALUE!</v>
      </c>
      <c r="AU41" s="85" t="e">
        <f>IF(SchmidtTheory!AU139&gt;ActuatorSIZING!$G$44,SchmidtTheory!AU139,"")</f>
        <v>#VALUE!</v>
      </c>
      <c r="AV41" s="85" t="e">
        <f>IF(SchmidtTheory!AV139&gt;ActuatorSIZING!$G$44,SchmidtTheory!AV139,"")</f>
        <v>#VALUE!</v>
      </c>
      <c r="AW41" s="96">
        <v>3500</v>
      </c>
      <c r="AX41" s="93" t="e">
        <f>IF(AW41&gt;ActuatorSIZING!$G$44,SchmidtTheory!AW41,"")</f>
        <v>#VALUE!</v>
      </c>
      <c r="AY41" s="95" t="str">
        <f>IF(SELECTION!$P$46=SchmidtTheory!G40,SchmidtTheory!AX41,"")</f>
        <v/>
      </c>
      <c r="AZ41" s="93" t="str">
        <f>IF(SELECTION!$AJ$24&gt;(I41+0.3),SchmidtTheory!AY41,"")</f>
        <v/>
      </c>
      <c r="BA41" s="103" t="s">
        <v>168</v>
      </c>
      <c r="BB41" s="93" t="e">
        <f>SMALL(N41:AV41,1)</f>
        <v>#VALUE!</v>
      </c>
      <c r="BC41" s="93" t="str">
        <f>IF(SELECTION!$P$46=SchmidtTheory!G40,SchmidtTheory!BB41,"")</f>
        <v/>
      </c>
      <c r="BD41" s="93" t="str">
        <f>IF(SELECTION!$AJ$24&gt;(I41+0.3),SchmidtTheory!BC41,"")</f>
        <v/>
      </c>
      <c r="BE41" s="93" t="b">
        <f t="shared" si="2"/>
        <v>0</v>
      </c>
      <c r="BF41" s="103" t="s">
        <v>168</v>
      </c>
    </row>
    <row r="42" spans="2:58" ht="12.75" customHeight="1" x14ac:dyDescent="0.2">
      <c r="B42" s="42" t="s">
        <v>169</v>
      </c>
      <c r="F42" s="589"/>
      <c r="G42" s="598"/>
      <c r="H42" s="102">
        <v>1</v>
      </c>
      <c r="I42" s="101">
        <v>2.4</v>
      </c>
      <c r="J42" s="100">
        <v>3.4</v>
      </c>
      <c r="K42" s="99">
        <v>7000</v>
      </c>
      <c r="L42" s="98">
        <v>6</v>
      </c>
      <c r="M42" s="97">
        <v>25200</v>
      </c>
      <c r="N42" s="85" t="e">
        <f>IF(SchmidtTheory!N140&gt;ActuatorSIZING!$G$44,SchmidtTheory!N140,"")</f>
        <v>#VALUE!</v>
      </c>
      <c r="O42" s="85" t="e">
        <f>IF(SchmidtTheory!O140&gt;ActuatorSIZING!$G$44,SchmidtTheory!O140,"")</f>
        <v>#VALUE!</v>
      </c>
      <c r="P42" s="85" t="e">
        <f>IF(SchmidtTheory!P140&gt;ActuatorSIZING!$G$44,SchmidtTheory!P140,"")</f>
        <v>#VALUE!</v>
      </c>
      <c r="Q42" s="85" t="e">
        <f>IF(SchmidtTheory!Q140&gt;ActuatorSIZING!$G$44,SchmidtTheory!Q140,"")</f>
        <v>#VALUE!</v>
      </c>
      <c r="R42" s="85" t="e">
        <f>IF(SchmidtTheory!R140&gt;ActuatorSIZING!$G$44,SchmidtTheory!R140,"")</f>
        <v>#VALUE!</v>
      </c>
      <c r="S42" s="85" t="e">
        <f>IF(SchmidtTheory!S140&gt;ActuatorSIZING!$G$44,SchmidtTheory!S140,"")</f>
        <v>#VALUE!</v>
      </c>
      <c r="T42" s="85" t="e">
        <f>IF(SchmidtTheory!T140&gt;ActuatorSIZING!$G$44,SchmidtTheory!T140,"")</f>
        <v>#VALUE!</v>
      </c>
      <c r="U42" s="85" t="e">
        <f>IF(SchmidtTheory!U140&gt;ActuatorSIZING!$G$44,SchmidtTheory!U140,"")</f>
        <v>#VALUE!</v>
      </c>
      <c r="V42" s="85" t="e">
        <f>IF(SchmidtTheory!V140&gt;ActuatorSIZING!$G$44,SchmidtTheory!V140,"")</f>
        <v>#VALUE!</v>
      </c>
      <c r="W42" s="85" t="e">
        <f>IF(SchmidtTheory!W140&gt;ActuatorSIZING!$G$44,SchmidtTheory!W140,"")</f>
        <v>#VALUE!</v>
      </c>
      <c r="X42" s="85" t="e">
        <f>IF(SchmidtTheory!X140&gt;ActuatorSIZING!$G$44,SchmidtTheory!X140,"")</f>
        <v>#VALUE!</v>
      </c>
      <c r="Y42" s="85" t="e">
        <f>IF(SchmidtTheory!Y140&gt;ActuatorSIZING!$G$44,SchmidtTheory!Y140,"")</f>
        <v>#VALUE!</v>
      </c>
      <c r="Z42" s="85" t="e">
        <f>IF(SchmidtTheory!Z140&gt;ActuatorSIZING!$G$44,SchmidtTheory!Z140,"")</f>
        <v>#VALUE!</v>
      </c>
      <c r="AA42" s="85" t="e">
        <f>IF(SchmidtTheory!AA140&gt;ActuatorSIZING!$G$44,SchmidtTheory!AA140,"")</f>
        <v>#VALUE!</v>
      </c>
      <c r="AB42" s="85" t="e">
        <f>IF(SchmidtTheory!AB140&gt;ActuatorSIZING!$G$44,SchmidtTheory!AB140,"")</f>
        <v>#VALUE!</v>
      </c>
      <c r="AC42" s="85" t="e">
        <f>IF(SchmidtTheory!AC140&gt;ActuatorSIZING!$G$44,SchmidtTheory!AC140,"")</f>
        <v>#VALUE!</v>
      </c>
      <c r="AD42" s="85" t="e">
        <f>IF(SchmidtTheory!AD140&gt;ActuatorSIZING!$G$44,SchmidtTheory!AD140,"")</f>
        <v>#VALUE!</v>
      </c>
      <c r="AE42" s="85" t="e">
        <f>IF(SchmidtTheory!AE140&gt;ActuatorSIZING!$G$44,SchmidtTheory!AE140,"")</f>
        <v>#VALUE!</v>
      </c>
      <c r="AF42" s="85" t="e">
        <f>IF(SchmidtTheory!AF140&gt;ActuatorSIZING!$G$44,SchmidtTheory!AF140,"")</f>
        <v>#VALUE!</v>
      </c>
      <c r="AG42" s="85" t="e">
        <f>IF(SchmidtTheory!AG140&gt;ActuatorSIZING!$G$44,SchmidtTheory!AG140,"")</f>
        <v>#VALUE!</v>
      </c>
      <c r="AH42" s="85" t="e">
        <f>IF(SchmidtTheory!AH140&gt;ActuatorSIZING!$G$44,SchmidtTheory!AH140,"")</f>
        <v>#VALUE!</v>
      </c>
      <c r="AI42" s="85" t="e">
        <f>IF(SchmidtTheory!AI140&gt;ActuatorSIZING!$G$44,SchmidtTheory!AI140,"")</f>
        <v>#VALUE!</v>
      </c>
      <c r="AJ42" s="85" t="e">
        <f>IF(SchmidtTheory!AJ140&gt;ActuatorSIZING!$G$44,SchmidtTheory!AJ140,"")</f>
        <v>#VALUE!</v>
      </c>
      <c r="AK42" s="85" t="e">
        <f>IF(SchmidtTheory!AK140&gt;ActuatorSIZING!$G$44,SchmidtTheory!AK140,"")</f>
        <v>#VALUE!</v>
      </c>
      <c r="AL42" s="85" t="e">
        <f>IF(SchmidtTheory!AL140&gt;ActuatorSIZING!$G$44,SchmidtTheory!AL140,"")</f>
        <v>#VALUE!</v>
      </c>
      <c r="AM42" s="85" t="e">
        <f>IF(SchmidtTheory!AM140&gt;ActuatorSIZING!$G$44,SchmidtTheory!AM140,"")</f>
        <v>#VALUE!</v>
      </c>
      <c r="AN42" s="85" t="e">
        <f>IF(SchmidtTheory!AN140&gt;ActuatorSIZING!$G$44,SchmidtTheory!AN140,"")</f>
        <v>#VALUE!</v>
      </c>
      <c r="AO42" s="85" t="e">
        <f>IF(SchmidtTheory!AO140&gt;ActuatorSIZING!$G$44,SchmidtTheory!AO140,"")</f>
        <v>#VALUE!</v>
      </c>
      <c r="AP42" s="85" t="e">
        <f>IF(SchmidtTheory!AP140&gt;ActuatorSIZING!$G$44,SchmidtTheory!AP140,"")</f>
        <v>#VALUE!</v>
      </c>
      <c r="AQ42" s="85" t="e">
        <f>IF(SchmidtTheory!AQ140&gt;ActuatorSIZING!$G$44,SchmidtTheory!AQ140,"")</f>
        <v>#VALUE!</v>
      </c>
      <c r="AR42" s="85" t="e">
        <f>IF(SchmidtTheory!AR140&gt;ActuatorSIZING!$G$44,SchmidtTheory!AR140,"")</f>
        <v>#VALUE!</v>
      </c>
      <c r="AS42" s="85" t="e">
        <f>IF(SchmidtTheory!AS140&gt;ActuatorSIZING!$G$44,SchmidtTheory!AS140,"")</f>
        <v>#VALUE!</v>
      </c>
      <c r="AT42" s="85" t="e">
        <f>IF(SchmidtTheory!AT140&gt;ActuatorSIZING!$G$44,SchmidtTheory!AT140,"")</f>
        <v>#VALUE!</v>
      </c>
      <c r="AU42" s="85" t="e">
        <f>IF(SchmidtTheory!AU140&gt;ActuatorSIZING!$G$44,SchmidtTheory!AU140,"")</f>
        <v>#VALUE!</v>
      </c>
      <c r="AV42" s="85" t="e">
        <f>IF(SchmidtTheory!AV140&gt;ActuatorSIZING!$G$44,SchmidtTheory!AV140,"")</f>
        <v>#VALUE!</v>
      </c>
      <c r="AW42" s="96">
        <v>7000</v>
      </c>
      <c r="AX42" s="93" t="e">
        <f>IF(AW42&gt;ActuatorSIZING!$G$44,SchmidtTheory!AW42,"")</f>
        <v>#VALUE!</v>
      </c>
      <c r="AY42" s="95" t="str">
        <f>IF(SELECTION!$P$46=SchmidtTheory!G40,SchmidtTheory!AX42,"")</f>
        <v/>
      </c>
      <c r="AZ42" s="93" t="str">
        <f>IF(SELECTION!$AJ$24&gt;(I42+0.3),SchmidtTheory!AY42,"")</f>
        <v/>
      </c>
      <c r="BA42" s="103" t="s">
        <v>166</v>
      </c>
      <c r="BB42" s="93" t="e">
        <f>SMALL(N42:AV42,1)</f>
        <v>#VALUE!</v>
      </c>
      <c r="BC42" s="93" t="str">
        <f>IF(SELECTION!$P$46=SchmidtTheory!G40,SchmidtTheory!BB42,"")</f>
        <v/>
      </c>
      <c r="BD42" s="93" t="str">
        <f>IF(SELECTION!$AJ$24&gt;(I42+0.3),SchmidtTheory!BC42,"")</f>
        <v/>
      </c>
      <c r="BE42" s="93" t="b">
        <f t="shared" si="2"/>
        <v>0</v>
      </c>
      <c r="BF42" s="103" t="s">
        <v>166</v>
      </c>
    </row>
    <row r="43" spans="2:58" ht="12.75" customHeight="1" x14ac:dyDescent="0.2">
      <c r="B43" s="42" t="s">
        <v>167</v>
      </c>
      <c r="F43" s="589"/>
      <c r="G43" s="598"/>
      <c r="H43" s="102">
        <v>1.5</v>
      </c>
      <c r="I43" s="101">
        <v>2.7</v>
      </c>
      <c r="J43" s="100">
        <v>4.2</v>
      </c>
      <c r="K43" s="99">
        <v>10500</v>
      </c>
      <c r="L43" s="98">
        <v>6</v>
      </c>
      <c r="M43" s="97">
        <v>23100</v>
      </c>
      <c r="N43" s="85" t="e">
        <f>IF(SchmidtTheory!N141&gt;ActuatorSIZING!$G$44,SchmidtTheory!N141,"")</f>
        <v>#VALUE!</v>
      </c>
      <c r="O43" s="85" t="e">
        <f>IF(SchmidtTheory!O141&gt;ActuatorSIZING!$G$44,SchmidtTheory!O141,"")</f>
        <v>#VALUE!</v>
      </c>
      <c r="P43" s="85" t="e">
        <f>IF(SchmidtTheory!P141&gt;ActuatorSIZING!$G$44,SchmidtTheory!P141,"")</f>
        <v>#VALUE!</v>
      </c>
      <c r="Q43" s="85" t="e">
        <f>IF(SchmidtTheory!Q141&gt;ActuatorSIZING!$G$44,SchmidtTheory!Q141,"")</f>
        <v>#VALUE!</v>
      </c>
      <c r="R43" s="85" t="e">
        <f>IF(SchmidtTheory!R141&gt;ActuatorSIZING!$G$44,SchmidtTheory!R141,"")</f>
        <v>#VALUE!</v>
      </c>
      <c r="S43" s="85" t="e">
        <f>IF(SchmidtTheory!S141&gt;ActuatorSIZING!$G$44,SchmidtTheory!S141,"")</f>
        <v>#VALUE!</v>
      </c>
      <c r="T43" s="85" t="e">
        <f>IF(SchmidtTheory!T141&gt;ActuatorSIZING!$G$44,SchmidtTheory!T141,"")</f>
        <v>#VALUE!</v>
      </c>
      <c r="U43" s="85" t="e">
        <f>IF(SchmidtTheory!U141&gt;ActuatorSIZING!$G$44,SchmidtTheory!U141,"")</f>
        <v>#VALUE!</v>
      </c>
      <c r="V43" s="85" t="e">
        <f>IF(SchmidtTheory!V141&gt;ActuatorSIZING!$G$44,SchmidtTheory!V141,"")</f>
        <v>#VALUE!</v>
      </c>
      <c r="W43" s="85" t="e">
        <f>IF(SchmidtTheory!W141&gt;ActuatorSIZING!$G$44,SchmidtTheory!W141,"")</f>
        <v>#VALUE!</v>
      </c>
      <c r="X43" s="85" t="e">
        <f>IF(SchmidtTheory!X141&gt;ActuatorSIZING!$G$44,SchmidtTheory!X141,"")</f>
        <v>#VALUE!</v>
      </c>
      <c r="Y43" s="85" t="e">
        <f>IF(SchmidtTheory!Y141&gt;ActuatorSIZING!$G$44,SchmidtTheory!Y141,"")</f>
        <v>#VALUE!</v>
      </c>
      <c r="Z43" s="85" t="e">
        <f>IF(SchmidtTheory!Z141&gt;ActuatorSIZING!$G$44,SchmidtTheory!Z141,"")</f>
        <v>#VALUE!</v>
      </c>
      <c r="AA43" s="85" t="e">
        <f>IF(SchmidtTheory!AA141&gt;ActuatorSIZING!$G$44,SchmidtTheory!AA141,"")</f>
        <v>#VALUE!</v>
      </c>
      <c r="AB43" s="85" t="e">
        <f>IF(SchmidtTheory!AB141&gt;ActuatorSIZING!$G$44,SchmidtTheory!AB141,"")</f>
        <v>#VALUE!</v>
      </c>
      <c r="AC43" s="85" t="e">
        <f>IF(SchmidtTheory!AC141&gt;ActuatorSIZING!$G$44,SchmidtTheory!AC141,"")</f>
        <v>#VALUE!</v>
      </c>
      <c r="AD43" s="85" t="e">
        <f>IF(SchmidtTheory!AD141&gt;ActuatorSIZING!$G$44,SchmidtTheory!AD141,"")</f>
        <v>#VALUE!</v>
      </c>
      <c r="AE43" s="85" t="e">
        <f>IF(SchmidtTheory!AE141&gt;ActuatorSIZING!$G$44,SchmidtTheory!AE141,"")</f>
        <v>#VALUE!</v>
      </c>
      <c r="AF43" s="85" t="e">
        <f>IF(SchmidtTheory!AF141&gt;ActuatorSIZING!$G$44,SchmidtTheory!AF141,"")</f>
        <v>#VALUE!</v>
      </c>
      <c r="AG43" s="85" t="e">
        <f>IF(SchmidtTheory!AG141&gt;ActuatorSIZING!$G$44,SchmidtTheory!AG141,"")</f>
        <v>#VALUE!</v>
      </c>
      <c r="AH43" s="85" t="e">
        <f>IF(SchmidtTheory!AH141&gt;ActuatorSIZING!$G$44,SchmidtTheory!AH141,"")</f>
        <v>#VALUE!</v>
      </c>
      <c r="AI43" s="85" t="e">
        <f>IF(SchmidtTheory!AI141&gt;ActuatorSIZING!$G$44,SchmidtTheory!AI141,"")</f>
        <v>#VALUE!</v>
      </c>
      <c r="AJ43" s="85" t="e">
        <f>IF(SchmidtTheory!AJ141&gt;ActuatorSIZING!$G$44,SchmidtTheory!AJ141,"")</f>
        <v>#VALUE!</v>
      </c>
      <c r="AK43" s="85" t="e">
        <f>IF(SchmidtTheory!AK141&gt;ActuatorSIZING!$G$44,SchmidtTheory!AK141,"")</f>
        <v>#VALUE!</v>
      </c>
      <c r="AL43" s="85" t="e">
        <f>IF(SchmidtTheory!AL141&gt;ActuatorSIZING!$G$44,SchmidtTheory!AL141,"")</f>
        <v>#VALUE!</v>
      </c>
      <c r="AM43" s="85" t="e">
        <f>IF(SchmidtTheory!AM141&gt;ActuatorSIZING!$G$44,SchmidtTheory!AM141,"")</f>
        <v>#VALUE!</v>
      </c>
      <c r="AN43" s="85" t="e">
        <f>IF(SchmidtTheory!AN141&gt;ActuatorSIZING!$G$44,SchmidtTheory!AN141,"")</f>
        <v>#VALUE!</v>
      </c>
      <c r="AO43" s="85" t="e">
        <f>IF(SchmidtTheory!AO141&gt;ActuatorSIZING!$G$44,SchmidtTheory!AO141,"")</f>
        <v>#VALUE!</v>
      </c>
      <c r="AP43" s="85" t="e">
        <f>IF(SchmidtTheory!AP141&gt;ActuatorSIZING!$G$44,SchmidtTheory!AP141,"")</f>
        <v>#VALUE!</v>
      </c>
      <c r="AQ43" s="85" t="e">
        <f>IF(SchmidtTheory!AQ141&gt;ActuatorSIZING!$G$44,SchmidtTheory!AQ141,"")</f>
        <v>#VALUE!</v>
      </c>
      <c r="AR43" s="85" t="e">
        <f>IF(SchmidtTheory!AR141&gt;ActuatorSIZING!$G$44,SchmidtTheory!AR141,"")</f>
        <v>#VALUE!</v>
      </c>
      <c r="AS43" s="85" t="e">
        <f>IF(SchmidtTheory!AS141&gt;ActuatorSIZING!$G$44,SchmidtTheory!AS141,"")</f>
        <v>#VALUE!</v>
      </c>
      <c r="AT43" s="85" t="e">
        <f>IF(SchmidtTheory!AT141&gt;ActuatorSIZING!$G$44,SchmidtTheory!AT141,"")</f>
        <v>#VALUE!</v>
      </c>
      <c r="AU43" s="85" t="e">
        <f>IF(SchmidtTheory!AU141&gt;ActuatorSIZING!$G$44,SchmidtTheory!AU141,"")</f>
        <v>#VALUE!</v>
      </c>
      <c r="AV43" s="85" t="e">
        <f>IF(SchmidtTheory!AV141&gt;ActuatorSIZING!$G$44,SchmidtTheory!AV141,"")</f>
        <v>#VALUE!</v>
      </c>
      <c r="AW43" s="96">
        <v>10500</v>
      </c>
      <c r="AX43" s="93" t="e">
        <f>IF(AW43&gt;ActuatorSIZING!$G$44,SchmidtTheory!AW43,"")</f>
        <v>#VALUE!</v>
      </c>
      <c r="AY43" s="95" t="str">
        <f>IF(SELECTION!$P$46=SchmidtTheory!G40,SchmidtTheory!AX43,"")</f>
        <v/>
      </c>
      <c r="AZ43" s="93" t="str">
        <f>IF(SELECTION!$AJ$24&gt;(I43+0.3),SchmidtTheory!AY43,"")</f>
        <v/>
      </c>
      <c r="BA43" s="103" t="s">
        <v>164</v>
      </c>
      <c r="BB43" s="93" t="e">
        <f>SMALL(N43:AV43,1)</f>
        <v>#VALUE!</v>
      </c>
      <c r="BC43" s="93" t="str">
        <f>IF(SELECTION!$P$46=SchmidtTheory!G40,SchmidtTheory!BB43,"")</f>
        <v/>
      </c>
      <c r="BD43" s="93" t="str">
        <f>IF(SELECTION!$AJ$24&gt;(I43+0.3),SchmidtTheory!BC43,"")</f>
        <v/>
      </c>
      <c r="BE43" s="93" t="b">
        <f t="shared" si="2"/>
        <v>0</v>
      </c>
      <c r="BF43" s="103" t="s">
        <v>164</v>
      </c>
    </row>
    <row r="44" spans="2:58" ht="12.75" customHeight="1" x14ac:dyDescent="0.2">
      <c r="B44" s="42" t="s">
        <v>165</v>
      </c>
      <c r="F44" s="589"/>
      <c r="G44" s="598"/>
      <c r="H44" s="102">
        <v>1.5</v>
      </c>
      <c r="I44" s="101">
        <v>3.8</v>
      </c>
      <c r="J44" s="100">
        <v>5.3</v>
      </c>
      <c r="K44" s="99">
        <v>10500</v>
      </c>
      <c r="L44" s="98">
        <v>6</v>
      </c>
      <c r="M44" s="97">
        <v>15400</v>
      </c>
      <c r="N44" s="85" t="e">
        <f>IF(SchmidtTheory!N142&gt;ActuatorSIZING!$G$44,SchmidtTheory!N142,"")</f>
        <v>#VALUE!</v>
      </c>
      <c r="O44" s="85" t="e">
        <f>IF(SchmidtTheory!O142&gt;ActuatorSIZING!$G$44,SchmidtTheory!O142,"")</f>
        <v>#VALUE!</v>
      </c>
      <c r="P44" s="85" t="e">
        <f>IF(SchmidtTheory!P142&gt;ActuatorSIZING!$G$44,SchmidtTheory!P142,"")</f>
        <v>#VALUE!</v>
      </c>
      <c r="Q44" s="85" t="e">
        <f>IF(SchmidtTheory!Q142&gt;ActuatorSIZING!$G$44,SchmidtTheory!Q142,"")</f>
        <v>#VALUE!</v>
      </c>
      <c r="R44" s="85" t="e">
        <f>IF(SchmidtTheory!R142&gt;ActuatorSIZING!$G$44,SchmidtTheory!R142,"")</f>
        <v>#VALUE!</v>
      </c>
      <c r="S44" s="85" t="e">
        <f>IF(SchmidtTheory!S142&gt;ActuatorSIZING!$G$44,SchmidtTheory!S142,"")</f>
        <v>#VALUE!</v>
      </c>
      <c r="T44" s="85" t="e">
        <f>IF(SchmidtTheory!T142&gt;ActuatorSIZING!$G$44,SchmidtTheory!T142,"")</f>
        <v>#VALUE!</v>
      </c>
      <c r="U44" s="85" t="e">
        <f>IF(SchmidtTheory!U142&gt;ActuatorSIZING!$G$44,SchmidtTheory!U142,"")</f>
        <v>#VALUE!</v>
      </c>
      <c r="V44" s="85" t="e">
        <f>IF(SchmidtTheory!V142&gt;ActuatorSIZING!$G$44,SchmidtTheory!V142,"")</f>
        <v>#VALUE!</v>
      </c>
      <c r="W44" s="85" t="e">
        <f>IF(SchmidtTheory!W142&gt;ActuatorSIZING!$G$44,SchmidtTheory!W142,"")</f>
        <v>#VALUE!</v>
      </c>
      <c r="X44" s="85" t="e">
        <f>IF(SchmidtTheory!X142&gt;ActuatorSIZING!$G$44,SchmidtTheory!X142,"")</f>
        <v>#VALUE!</v>
      </c>
      <c r="Y44" s="85" t="e">
        <f>IF(SchmidtTheory!Y142&gt;ActuatorSIZING!$G$44,SchmidtTheory!Y142,"")</f>
        <v>#VALUE!</v>
      </c>
      <c r="Z44" s="85" t="e">
        <f>IF(SchmidtTheory!Z142&gt;ActuatorSIZING!$G$44,SchmidtTheory!Z142,"")</f>
        <v>#VALUE!</v>
      </c>
      <c r="AA44" s="85" t="e">
        <f>IF(SchmidtTheory!AA142&gt;ActuatorSIZING!$G$44,SchmidtTheory!AA142,"")</f>
        <v>#VALUE!</v>
      </c>
      <c r="AB44" s="85" t="e">
        <f>IF(SchmidtTheory!AB142&gt;ActuatorSIZING!$G$44,SchmidtTheory!AB142,"")</f>
        <v>#VALUE!</v>
      </c>
      <c r="AC44" s="85" t="e">
        <f>IF(SchmidtTheory!AC142&gt;ActuatorSIZING!$G$44,SchmidtTheory!AC142,"")</f>
        <v>#VALUE!</v>
      </c>
      <c r="AD44" s="85" t="e">
        <f>IF(SchmidtTheory!AD142&gt;ActuatorSIZING!$G$44,SchmidtTheory!AD142,"")</f>
        <v>#VALUE!</v>
      </c>
      <c r="AE44" s="85" t="e">
        <f>IF(SchmidtTheory!AE142&gt;ActuatorSIZING!$G$44,SchmidtTheory!AE142,"")</f>
        <v>#VALUE!</v>
      </c>
      <c r="AF44" s="85" t="e">
        <f>IF(SchmidtTheory!AF142&gt;ActuatorSIZING!$G$44,SchmidtTheory!AF142,"")</f>
        <v>#VALUE!</v>
      </c>
      <c r="AG44" s="85" t="e">
        <f>IF(SchmidtTheory!AG142&gt;ActuatorSIZING!$G$44,SchmidtTheory!AG142,"")</f>
        <v>#VALUE!</v>
      </c>
      <c r="AH44" s="85" t="e">
        <f>IF(SchmidtTheory!AH142&gt;ActuatorSIZING!$G$44,SchmidtTheory!AH142,"")</f>
        <v>#VALUE!</v>
      </c>
      <c r="AI44" s="85" t="e">
        <f>IF(SchmidtTheory!AI142&gt;ActuatorSIZING!$G$44,SchmidtTheory!AI142,"")</f>
        <v>#VALUE!</v>
      </c>
      <c r="AJ44" s="85" t="e">
        <f>IF(SchmidtTheory!AJ142&gt;ActuatorSIZING!$G$44,SchmidtTheory!AJ142,"")</f>
        <v>#VALUE!</v>
      </c>
      <c r="AK44" s="85" t="e">
        <f>IF(SchmidtTheory!AK142&gt;ActuatorSIZING!$G$44,SchmidtTheory!AK142,"")</f>
        <v>#VALUE!</v>
      </c>
      <c r="AL44" s="85" t="e">
        <f>IF(SchmidtTheory!AL142&gt;ActuatorSIZING!$G$44,SchmidtTheory!AL142,"")</f>
        <v>#VALUE!</v>
      </c>
      <c r="AM44" s="85" t="e">
        <f>IF(SchmidtTheory!AM142&gt;ActuatorSIZING!$G$44,SchmidtTheory!AM142,"")</f>
        <v>#VALUE!</v>
      </c>
      <c r="AN44" s="85" t="e">
        <f>IF(SchmidtTheory!AN142&gt;ActuatorSIZING!$G$44,SchmidtTheory!AN142,"")</f>
        <v>#VALUE!</v>
      </c>
      <c r="AO44" s="85" t="e">
        <f>IF(SchmidtTheory!AO142&gt;ActuatorSIZING!$G$44,SchmidtTheory!AO142,"")</f>
        <v>#VALUE!</v>
      </c>
      <c r="AP44" s="85" t="e">
        <f>IF(SchmidtTheory!AP142&gt;ActuatorSIZING!$G$44,SchmidtTheory!AP142,"")</f>
        <v>#VALUE!</v>
      </c>
      <c r="AQ44" s="85" t="e">
        <f>IF(SchmidtTheory!AQ142&gt;ActuatorSIZING!$G$44,SchmidtTheory!AQ142,"")</f>
        <v>#VALUE!</v>
      </c>
      <c r="AR44" s="85" t="e">
        <f>IF(SchmidtTheory!AR142&gt;ActuatorSIZING!$G$44,SchmidtTheory!AR142,"")</f>
        <v>#VALUE!</v>
      </c>
      <c r="AS44" s="85" t="e">
        <f>IF(SchmidtTheory!AS142&gt;ActuatorSIZING!$G$44,SchmidtTheory!AS142,"")</f>
        <v>#VALUE!</v>
      </c>
      <c r="AT44" s="85" t="e">
        <f>IF(SchmidtTheory!AT142&gt;ActuatorSIZING!$G$44,SchmidtTheory!AT142,"")</f>
        <v>#VALUE!</v>
      </c>
      <c r="AU44" s="85" t="e">
        <f>IF(SchmidtTheory!AU142&gt;ActuatorSIZING!$G$44,SchmidtTheory!AU142,"")</f>
        <v>#VALUE!</v>
      </c>
      <c r="AV44" s="85" t="e">
        <f>IF(SchmidtTheory!AV142&gt;ActuatorSIZING!$G$44,SchmidtTheory!AV142,"")</f>
        <v>#VALUE!</v>
      </c>
      <c r="AW44" s="96">
        <v>10500</v>
      </c>
      <c r="AX44" s="93" t="e">
        <f>IF(AW44&gt;ActuatorSIZING!$G$44,SchmidtTheory!AW44,"")</f>
        <v>#VALUE!</v>
      </c>
      <c r="AY44" s="95" t="str">
        <f>IF(SELECTION!$P$46=SchmidtTheory!G40,SchmidtTheory!AX44,"")</f>
        <v/>
      </c>
      <c r="AZ44" s="93" t="str">
        <f>IF(SELECTION!$AJ$24&gt;(I44+0.3),SchmidtTheory!AY44,"")</f>
        <v/>
      </c>
      <c r="BA44" s="103" t="s">
        <v>162</v>
      </c>
      <c r="BB44" s="93" t="e">
        <f>SMALL(N44:AV44,1)</f>
        <v>#VALUE!</v>
      </c>
      <c r="BC44" s="93" t="str">
        <f>IF(SELECTION!$P$46=SchmidtTheory!G40,SchmidtTheory!BB44,"")</f>
        <v/>
      </c>
      <c r="BD44" s="93" t="str">
        <f>IF(SELECTION!$AJ$24&gt;(I44+0.3),SchmidtTheory!BC44,"")</f>
        <v/>
      </c>
      <c r="BE44" s="93" t="b">
        <f t="shared" si="2"/>
        <v>0</v>
      </c>
      <c r="BF44" s="103" t="s">
        <v>162</v>
      </c>
    </row>
    <row r="45" spans="2:58" x14ac:dyDescent="0.2">
      <c r="B45" s="42" t="s">
        <v>163</v>
      </c>
      <c r="F45" s="589"/>
      <c r="G45" s="598"/>
      <c r="H45" s="102">
        <v>2</v>
      </c>
      <c r="I45" s="101">
        <v>4.8</v>
      </c>
      <c r="J45" s="100"/>
      <c r="K45" s="99"/>
      <c r="L45" s="98">
        <v>6</v>
      </c>
      <c r="M45" s="97">
        <v>8400</v>
      </c>
      <c r="N45" s="85" t="e">
        <f>IF(SchmidtTheory!N143&gt;ActuatorSIZING!$G$44,SchmidtTheory!N143,"")</f>
        <v>#VALUE!</v>
      </c>
      <c r="O45" s="85" t="e">
        <f>IF(SchmidtTheory!O143&gt;ActuatorSIZING!$G$44,SchmidtTheory!O143,"")</f>
        <v>#VALUE!</v>
      </c>
      <c r="P45" s="85" t="e">
        <f>IF(SchmidtTheory!P143&gt;ActuatorSIZING!$G$44,SchmidtTheory!P143,"")</f>
        <v>#VALUE!</v>
      </c>
      <c r="Q45" s="85" t="e">
        <f>IF(SchmidtTheory!Q143&gt;ActuatorSIZING!$G$44,SchmidtTheory!Q143,"")</f>
        <v>#VALUE!</v>
      </c>
      <c r="R45" s="85" t="e">
        <f>IF(SchmidtTheory!R143&gt;ActuatorSIZING!$G$44,SchmidtTheory!R143,"")</f>
        <v>#VALUE!</v>
      </c>
      <c r="S45" s="85" t="e">
        <f>IF(SchmidtTheory!S143&gt;ActuatorSIZING!$G$44,SchmidtTheory!S143,"")</f>
        <v>#VALUE!</v>
      </c>
      <c r="T45" s="85" t="e">
        <f>IF(SchmidtTheory!T143&gt;ActuatorSIZING!$G$44,SchmidtTheory!T143,"")</f>
        <v>#VALUE!</v>
      </c>
      <c r="U45" s="85" t="e">
        <f>IF(SchmidtTheory!U143&gt;ActuatorSIZING!$G$44,SchmidtTheory!U143,"")</f>
        <v>#VALUE!</v>
      </c>
      <c r="V45" s="85" t="e">
        <f>IF(SchmidtTheory!V143&gt;ActuatorSIZING!$G$44,SchmidtTheory!V143,"")</f>
        <v>#VALUE!</v>
      </c>
      <c r="W45" s="85" t="e">
        <f>IF(SchmidtTheory!W143&gt;ActuatorSIZING!$G$44,SchmidtTheory!W143,"")</f>
        <v>#VALUE!</v>
      </c>
      <c r="X45" s="85" t="e">
        <f>IF(SchmidtTheory!X143&gt;ActuatorSIZING!$G$44,SchmidtTheory!X143,"")</f>
        <v>#VALUE!</v>
      </c>
      <c r="Y45" s="85" t="e">
        <f>IF(SchmidtTheory!Y143&gt;ActuatorSIZING!$G$44,SchmidtTheory!Y143,"")</f>
        <v>#VALUE!</v>
      </c>
      <c r="Z45" s="85" t="e">
        <f>IF(SchmidtTheory!Z143&gt;ActuatorSIZING!$G$44,SchmidtTheory!Z143,"")</f>
        <v>#VALUE!</v>
      </c>
      <c r="AA45" s="85" t="e">
        <f>IF(SchmidtTheory!AA143&gt;ActuatorSIZING!$G$44,SchmidtTheory!AA143,"")</f>
        <v>#VALUE!</v>
      </c>
      <c r="AB45" s="85" t="e">
        <f>IF(SchmidtTheory!AB143&gt;ActuatorSIZING!$G$44,SchmidtTheory!AB143,"")</f>
        <v>#VALUE!</v>
      </c>
      <c r="AC45" s="85" t="e">
        <f>IF(SchmidtTheory!AC143&gt;ActuatorSIZING!$G$44,SchmidtTheory!AC143,"")</f>
        <v>#VALUE!</v>
      </c>
      <c r="AD45" s="85" t="e">
        <f>IF(SchmidtTheory!AD143&gt;ActuatorSIZING!$G$44,SchmidtTheory!AD143,"")</f>
        <v>#VALUE!</v>
      </c>
      <c r="AE45" s="85" t="e">
        <f>IF(SchmidtTheory!AE143&gt;ActuatorSIZING!$G$44,SchmidtTheory!AE143,"")</f>
        <v>#VALUE!</v>
      </c>
      <c r="AF45" s="85" t="e">
        <f>IF(SchmidtTheory!AF143&gt;ActuatorSIZING!$G$44,SchmidtTheory!AF143,"")</f>
        <v>#VALUE!</v>
      </c>
      <c r="AG45" s="85" t="e">
        <f>IF(SchmidtTheory!AG143&gt;ActuatorSIZING!$G$44,SchmidtTheory!AG143,"")</f>
        <v>#VALUE!</v>
      </c>
      <c r="AH45" s="85" t="e">
        <f>IF(SchmidtTheory!AH143&gt;ActuatorSIZING!$G$44,SchmidtTheory!AH143,"")</f>
        <v>#VALUE!</v>
      </c>
      <c r="AI45" s="85" t="e">
        <f>IF(SchmidtTheory!AI143&gt;ActuatorSIZING!$G$44,SchmidtTheory!AI143,"")</f>
        <v>#VALUE!</v>
      </c>
      <c r="AJ45" s="85" t="e">
        <f>IF(SchmidtTheory!AJ143&gt;ActuatorSIZING!$G$44,SchmidtTheory!AJ143,"")</f>
        <v>#VALUE!</v>
      </c>
      <c r="AK45" s="85" t="e">
        <f>IF(SchmidtTheory!AK143&gt;ActuatorSIZING!$G$44,SchmidtTheory!AK143,"")</f>
        <v>#VALUE!</v>
      </c>
      <c r="AL45" s="85" t="e">
        <f>IF(SchmidtTheory!AL143&gt;ActuatorSIZING!$G$44,SchmidtTheory!AL143,"")</f>
        <v>#VALUE!</v>
      </c>
      <c r="AM45" s="85" t="e">
        <f>IF(SchmidtTheory!AM143&gt;ActuatorSIZING!$G$44,SchmidtTheory!AM143,"")</f>
        <v>#VALUE!</v>
      </c>
      <c r="AN45" s="85" t="e">
        <f>IF(SchmidtTheory!AN143&gt;ActuatorSIZING!$G$44,SchmidtTheory!AN143,"")</f>
        <v>#VALUE!</v>
      </c>
      <c r="AO45" s="85" t="e">
        <f>IF(SchmidtTheory!AO143&gt;ActuatorSIZING!$G$44,SchmidtTheory!AO143,"")</f>
        <v>#VALUE!</v>
      </c>
      <c r="AP45" s="85" t="e">
        <f>IF(SchmidtTheory!AP143&gt;ActuatorSIZING!$G$44,SchmidtTheory!AP143,"")</f>
        <v>#VALUE!</v>
      </c>
      <c r="AQ45" s="85" t="e">
        <f>IF(SchmidtTheory!AQ143&gt;ActuatorSIZING!$G$44,SchmidtTheory!AQ143,"")</f>
        <v>#VALUE!</v>
      </c>
      <c r="AR45" s="85" t="e">
        <f>IF(SchmidtTheory!AR143&gt;ActuatorSIZING!$G$44,SchmidtTheory!AR143,"")</f>
        <v>#VALUE!</v>
      </c>
      <c r="AS45" s="85" t="e">
        <f>IF(SchmidtTheory!AS143&gt;ActuatorSIZING!$G$44,SchmidtTheory!AS143,"")</f>
        <v>#VALUE!</v>
      </c>
      <c r="AT45" s="85" t="e">
        <f>IF(SchmidtTheory!AT143&gt;ActuatorSIZING!$G$44,SchmidtTheory!AT143,"")</f>
        <v>#VALUE!</v>
      </c>
      <c r="AU45" s="85" t="e">
        <f>IF(SchmidtTheory!AU143&gt;ActuatorSIZING!$G$44,SchmidtTheory!AU143,"")</f>
        <v>#VALUE!</v>
      </c>
      <c r="AV45" s="85" t="e">
        <f>IF(SchmidtTheory!AV143&gt;ActuatorSIZING!$G$44,SchmidtTheory!AV143,"")</f>
        <v>#VALUE!</v>
      </c>
      <c r="AW45" s="96">
        <v>14000</v>
      </c>
      <c r="AX45" s="93" t="e">
        <f>IF(AW45&gt;ActuatorSIZING!$G$44,SchmidtTheory!AW45,"")</f>
        <v>#VALUE!</v>
      </c>
      <c r="AY45" s="95" t="str">
        <f>IF(SELECTION!$P$46=SchmidtTheory!G40,SchmidtTheory!AX45,"")</f>
        <v/>
      </c>
      <c r="AZ45" s="93" t="str">
        <f>IF(SELECTION!$AJ$24&gt;(I45+0.3),SchmidtTheory!AY45,"")</f>
        <v/>
      </c>
      <c r="BA45" s="103" t="s">
        <v>161</v>
      </c>
      <c r="BB45" s="94"/>
      <c r="BC45" s="93" t="str">
        <f>IF(SELECTION!$P$46=SchmidtTheory!G45,SchmidtTheory!BB45,"")</f>
        <v/>
      </c>
      <c r="BD45" s="93" t="str">
        <f>IF(SELECTION!$AJ$24&gt;(I45+0.3),SchmidtTheory!BC45,"")</f>
        <v/>
      </c>
      <c r="BE45" s="93" t="b">
        <f t="shared" si="2"/>
        <v>0</v>
      </c>
      <c r="BF45" s="103" t="s">
        <v>161</v>
      </c>
    </row>
    <row r="46" spans="2:58" x14ac:dyDescent="0.2">
      <c r="F46" s="589"/>
      <c r="G46" s="598">
        <v>60</v>
      </c>
      <c r="H46" s="102">
        <v>0.2</v>
      </c>
      <c r="I46" s="101">
        <v>1</v>
      </c>
      <c r="J46" s="100"/>
      <c r="K46" s="99"/>
      <c r="L46" s="98">
        <v>6</v>
      </c>
      <c r="M46" s="97">
        <v>35000</v>
      </c>
      <c r="N46" s="85" t="e">
        <f>IF(SchmidtTheory!N144&gt;ActuatorSIZING!$G$44,SchmidtTheory!N144,"")</f>
        <v>#VALUE!</v>
      </c>
      <c r="O46" s="85" t="e">
        <f>IF(SchmidtTheory!O144&gt;ActuatorSIZING!$G$44,SchmidtTheory!O144,"")</f>
        <v>#VALUE!</v>
      </c>
      <c r="P46" s="85" t="e">
        <f>IF(SchmidtTheory!P144&gt;ActuatorSIZING!$G$44,SchmidtTheory!P144,"")</f>
        <v>#VALUE!</v>
      </c>
      <c r="Q46" s="85" t="e">
        <f>IF(SchmidtTheory!Q144&gt;ActuatorSIZING!$G$44,SchmidtTheory!Q144,"")</f>
        <v>#VALUE!</v>
      </c>
      <c r="R46" s="85" t="e">
        <f>IF(SchmidtTheory!R144&gt;ActuatorSIZING!$G$44,SchmidtTheory!R144,"")</f>
        <v>#VALUE!</v>
      </c>
      <c r="S46" s="85" t="e">
        <f>IF(SchmidtTheory!S144&gt;ActuatorSIZING!$G$44,SchmidtTheory!S144,"")</f>
        <v>#VALUE!</v>
      </c>
      <c r="T46" s="85" t="e">
        <f>IF(SchmidtTheory!T144&gt;ActuatorSIZING!$G$44,SchmidtTheory!T144,"")</f>
        <v>#VALUE!</v>
      </c>
      <c r="U46" s="85" t="e">
        <f>IF(SchmidtTheory!U144&gt;ActuatorSIZING!$G$44,SchmidtTheory!U144,"")</f>
        <v>#VALUE!</v>
      </c>
      <c r="V46" s="85" t="e">
        <f>IF(SchmidtTheory!V144&gt;ActuatorSIZING!$G$44,SchmidtTheory!V144,"")</f>
        <v>#VALUE!</v>
      </c>
      <c r="W46" s="85" t="e">
        <f>IF(SchmidtTheory!W144&gt;ActuatorSIZING!$G$44,SchmidtTheory!W144,"")</f>
        <v>#VALUE!</v>
      </c>
      <c r="X46" s="85" t="e">
        <f>IF(SchmidtTheory!X144&gt;ActuatorSIZING!$G$44,SchmidtTheory!X144,"")</f>
        <v>#VALUE!</v>
      </c>
      <c r="Y46" s="85" t="e">
        <f>IF(SchmidtTheory!Y144&gt;ActuatorSIZING!$G$44,SchmidtTheory!Y144,"")</f>
        <v>#VALUE!</v>
      </c>
      <c r="Z46" s="85" t="e">
        <f>IF(SchmidtTheory!Z144&gt;ActuatorSIZING!$G$44,SchmidtTheory!Z144,"")</f>
        <v>#VALUE!</v>
      </c>
      <c r="AA46" s="85" t="e">
        <f>IF(SchmidtTheory!AA144&gt;ActuatorSIZING!$G$44,SchmidtTheory!AA144,"")</f>
        <v>#VALUE!</v>
      </c>
      <c r="AB46" s="85" t="e">
        <f>IF(SchmidtTheory!AB144&gt;ActuatorSIZING!$G$44,SchmidtTheory!AB144,"")</f>
        <v>#VALUE!</v>
      </c>
      <c r="AC46" s="85" t="e">
        <f>IF(SchmidtTheory!AC144&gt;ActuatorSIZING!$G$44,SchmidtTheory!AC144,"")</f>
        <v>#VALUE!</v>
      </c>
      <c r="AD46" s="85" t="e">
        <f>IF(SchmidtTheory!AD144&gt;ActuatorSIZING!$G$44,SchmidtTheory!AD144,"")</f>
        <v>#VALUE!</v>
      </c>
      <c r="AE46" s="85" t="e">
        <f>IF(SchmidtTheory!AE144&gt;ActuatorSIZING!$G$44,SchmidtTheory!AE144,"")</f>
        <v>#VALUE!</v>
      </c>
      <c r="AF46" s="85" t="e">
        <f>IF(SchmidtTheory!AF144&gt;ActuatorSIZING!$G$44,SchmidtTheory!AF144,"")</f>
        <v>#VALUE!</v>
      </c>
      <c r="AG46" s="85" t="e">
        <f>IF(SchmidtTheory!AG144&gt;ActuatorSIZING!$G$44,SchmidtTheory!AG144,"")</f>
        <v>#VALUE!</v>
      </c>
      <c r="AH46" s="85" t="e">
        <f>IF(SchmidtTheory!AH144&gt;ActuatorSIZING!$G$44,SchmidtTheory!AH144,"")</f>
        <v>#VALUE!</v>
      </c>
      <c r="AI46" s="85" t="e">
        <f>IF(SchmidtTheory!AI144&gt;ActuatorSIZING!$G$44,SchmidtTheory!AI144,"")</f>
        <v>#VALUE!</v>
      </c>
      <c r="AJ46" s="85" t="e">
        <f>IF(SchmidtTheory!AJ144&gt;ActuatorSIZING!$G$44,SchmidtTheory!AJ144,"")</f>
        <v>#VALUE!</v>
      </c>
      <c r="AK46" s="85" t="e">
        <f>IF(SchmidtTheory!AK144&gt;ActuatorSIZING!$G$44,SchmidtTheory!AK144,"")</f>
        <v>#VALUE!</v>
      </c>
      <c r="AL46" s="85" t="e">
        <f>IF(SchmidtTheory!AL144&gt;ActuatorSIZING!$G$44,SchmidtTheory!AL144,"")</f>
        <v>#VALUE!</v>
      </c>
      <c r="AM46" s="85" t="e">
        <f>IF(SchmidtTheory!AM144&gt;ActuatorSIZING!$G$44,SchmidtTheory!AM144,"")</f>
        <v>#VALUE!</v>
      </c>
      <c r="AN46" s="85" t="e">
        <f>IF(SchmidtTheory!AN144&gt;ActuatorSIZING!$G$44,SchmidtTheory!AN144,"")</f>
        <v>#VALUE!</v>
      </c>
      <c r="AO46" s="85" t="e">
        <f>IF(SchmidtTheory!AO144&gt;ActuatorSIZING!$G$44,SchmidtTheory!AO144,"")</f>
        <v>#VALUE!</v>
      </c>
      <c r="AP46" s="85" t="e">
        <f>IF(SchmidtTheory!AP144&gt;ActuatorSIZING!$G$44,SchmidtTheory!AP144,"")</f>
        <v>#VALUE!</v>
      </c>
      <c r="AQ46" s="85" t="e">
        <f>IF(SchmidtTheory!AQ144&gt;ActuatorSIZING!$G$44,SchmidtTheory!AQ144,"")</f>
        <v>#VALUE!</v>
      </c>
      <c r="AR46" s="85" t="e">
        <f>IF(SchmidtTheory!AR144&gt;ActuatorSIZING!$G$44,SchmidtTheory!AR144,"")</f>
        <v>#VALUE!</v>
      </c>
      <c r="AS46" s="85" t="e">
        <f>IF(SchmidtTheory!AS144&gt;ActuatorSIZING!$G$44,SchmidtTheory!AS144,"")</f>
        <v>#VALUE!</v>
      </c>
      <c r="AT46" s="85" t="e">
        <f>IF(SchmidtTheory!AT144&gt;ActuatorSIZING!$G$44,SchmidtTheory!AT144,"")</f>
        <v>#VALUE!</v>
      </c>
      <c r="AU46" s="85" t="e">
        <f>IF(SchmidtTheory!AU144&gt;ActuatorSIZING!$G$44,SchmidtTheory!AU144,"")</f>
        <v>#VALUE!</v>
      </c>
      <c r="AV46" s="85" t="e">
        <f>IF(SchmidtTheory!AV144&gt;ActuatorSIZING!$G$44,SchmidtTheory!AV144,"")</f>
        <v>#VALUE!</v>
      </c>
      <c r="AW46" s="96">
        <v>1400</v>
      </c>
      <c r="AX46" s="93" t="e">
        <f>IF(AW46&gt;ActuatorSIZING!$G$44,SchmidtTheory!AW46,"")</f>
        <v>#VALUE!</v>
      </c>
      <c r="AY46" s="95" t="str">
        <f>IF(SELECTION!$P$46=SchmidtTheory!G40,SchmidtTheory!AX46,"")</f>
        <v/>
      </c>
      <c r="AZ46" s="93" t="str">
        <f>IF(SELECTION!$AJ$24&gt;(I46+0.3),SchmidtTheory!AY46,"")</f>
        <v/>
      </c>
      <c r="BA46" s="103" t="s">
        <v>160</v>
      </c>
      <c r="BB46" s="93" t="e">
        <f t="shared" ref="BB46:BB70" si="3">SMALL(N46:AV46,1)</f>
        <v>#VALUE!</v>
      </c>
      <c r="BC46" s="93" t="str">
        <f>IF(SELECTION!$P$46=SchmidtTheory!G46,SchmidtTheory!BB46,"")</f>
        <v/>
      </c>
      <c r="BD46" s="93" t="str">
        <f>IF(SELECTION!$AJ$24&gt;(I46+0.3),SchmidtTheory!BC46,"")</f>
        <v/>
      </c>
      <c r="BE46" s="93" t="b">
        <f t="shared" si="2"/>
        <v>0</v>
      </c>
      <c r="BF46" s="103" t="s">
        <v>160</v>
      </c>
    </row>
    <row r="47" spans="2:58" ht="12.75" customHeight="1" x14ac:dyDescent="0.2">
      <c r="F47" s="589"/>
      <c r="G47" s="598"/>
      <c r="H47" s="102">
        <v>0.5</v>
      </c>
      <c r="I47" s="101">
        <v>1.9</v>
      </c>
      <c r="J47" s="100">
        <v>2.4</v>
      </c>
      <c r="K47" s="99">
        <v>3500</v>
      </c>
      <c r="L47" s="98">
        <v>6</v>
      </c>
      <c r="M47" s="97">
        <v>28700</v>
      </c>
      <c r="N47" s="85" t="e">
        <f>IF(SchmidtTheory!N145&gt;ActuatorSIZING!$G$44,SchmidtTheory!N145,"")</f>
        <v>#VALUE!</v>
      </c>
      <c r="O47" s="85" t="e">
        <f>IF(SchmidtTheory!O145&gt;ActuatorSIZING!$G$44,SchmidtTheory!O145,"")</f>
        <v>#VALUE!</v>
      </c>
      <c r="P47" s="85" t="e">
        <f>IF(SchmidtTheory!P145&gt;ActuatorSIZING!$G$44,SchmidtTheory!P145,"")</f>
        <v>#VALUE!</v>
      </c>
      <c r="Q47" s="85" t="e">
        <f>IF(SchmidtTheory!Q145&gt;ActuatorSIZING!$G$44,SchmidtTheory!Q145,"")</f>
        <v>#VALUE!</v>
      </c>
      <c r="R47" s="85" t="e">
        <f>IF(SchmidtTheory!R145&gt;ActuatorSIZING!$G$44,SchmidtTheory!R145,"")</f>
        <v>#VALUE!</v>
      </c>
      <c r="S47" s="85" t="e">
        <f>IF(SchmidtTheory!S145&gt;ActuatorSIZING!$G$44,SchmidtTheory!S145,"")</f>
        <v>#VALUE!</v>
      </c>
      <c r="T47" s="85" t="e">
        <f>IF(SchmidtTheory!T145&gt;ActuatorSIZING!$G$44,SchmidtTheory!T145,"")</f>
        <v>#VALUE!</v>
      </c>
      <c r="U47" s="85" t="e">
        <f>IF(SchmidtTheory!U145&gt;ActuatorSIZING!$G$44,SchmidtTheory!U145,"")</f>
        <v>#VALUE!</v>
      </c>
      <c r="V47" s="85" t="e">
        <f>IF(SchmidtTheory!V145&gt;ActuatorSIZING!$G$44,SchmidtTheory!V145,"")</f>
        <v>#VALUE!</v>
      </c>
      <c r="W47" s="85" t="e">
        <f>IF(SchmidtTheory!W145&gt;ActuatorSIZING!$G$44,SchmidtTheory!W145,"")</f>
        <v>#VALUE!</v>
      </c>
      <c r="X47" s="85" t="e">
        <f>IF(SchmidtTheory!X145&gt;ActuatorSIZING!$G$44,SchmidtTheory!X145,"")</f>
        <v>#VALUE!</v>
      </c>
      <c r="Y47" s="85" t="e">
        <f>IF(SchmidtTheory!Y145&gt;ActuatorSIZING!$G$44,SchmidtTheory!Y145,"")</f>
        <v>#VALUE!</v>
      </c>
      <c r="Z47" s="85" t="e">
        <f>IF(SchmidtTheory!Z145&gt;ActuatorSIZING!$G$44,SchmidtTheory!Z145,"")</f>
        <v>#VALUE!</v>
      </c>
      <c r="AA47" s="85" t="e">
        <f>IF(SchmidtTheory!AA145&gt;ActuatorSIZING!$G$44,SchmidtTheory!AA145,"")</f>
        <v>#VALUE!</v>
      </c>
      <c r="AB47" s="85" t="e">
        <f>IF(SchmidtTheory!AB145&gt;ActuatorSIZING!$G$44,SchmidtTheory!AB145,"")</f>
        <v>#VALUE!</v>
      </c>
      <c r="AC47" s="85" t="e">
        <f>IF(SchmidtTheory!AC145&gt;ActuatorSIZING!$G$44,SchmidtTheory!AC145,"")</f>
        <v>#VALUE!</v>
      </c>
      <c r="AD47" s="85" t="e">
        <f>IF(SchmidtTheory!AD145&gt;ActuatorSIZING!$G$44,SchmidtTheory!AD145,"")</f>
        <v>#VALUE!</v>
      </c>
      <c r="AE47" s="85" t="e">
        <f>IF(SchmidtTheory!AE145&gt;ActuatorSIZING!$G$44,SchmidtTheory!AE145,"")</f>
        <v>#VALUE!</v>
      </c>
      <c r="AF47" s="85" t="e">
        <f>IF(SchmidtTheory!AF145&gt;ActuatorSIZING!$G$44,SchmidtTheory!AF145,"")</f>
        <v>#VALUE!</v>
      </c>
      <c r="AG47" s="85" t="e">
        <f>IF(SchmidtTheory!AG145&gt;ActuatorSIZING!$G$44,SchmidtTheory!AG145,"")</f>
        <v>#VALUE!</v>
      </c>
      <c r="AH47" s="85" t="e">
        <f>IF(SchmidtTheory!AH145&gt;ActuatorSIZING!$G$44,SchmidtTheory!AH145,"")</f>
        <v>#VALUE!</v>
      </c>
      <c r="AI47" s="85" t="e">
        <f>IF(SchmidtTheory!AI145&gt;ActuatorSIZING!$G$44,SchmidtTheory!AI145,"")</f>
        <v>#VALUE!</v>
      </c>
      <c r="AJ47" s="85" t="e">
        <f>IF(SchmidtTheory!AJ145&gt;ActuatorSIZING!$G$44,SchmidtTheory!AJ145,"")</f>
        <v>#VALUE!</v>
      </c>
      <c r="AK47" s="85" t="e">
        <f>IF(SchmidtTheory!AK145&gt;ActuatorSIZING!$G$44,SchmidtTheory!AK145,"")</f>
        <v>#VALUE!</v>
      </c>
      <c r="AL47" s="85" t="e">
        <f>IF(SchmidtTheory!AL145&gt;ActuatorSIZING!$G$44,SchmidtTheory!AL145,"")</f>
        <v>#VALUE!</v>
      </c>
      <c r="AM47" s="85" t="e">
        <f>IF(SchmidtTheory!AM145&gt;ActuatorSIZING!$G$44,SchmidtTheory!AM145,"")</f>
        <v>#VALUE!</v>
      </c>
      <c r="AN47" s="85" t="e">
        <f>IF(SchmidtTheory!AN145&gt;ActuatorSIZING!$G$44,SchmidtTheory!AN145,"")</f>
        <v>#VALUE!</v>
      </c>
      <c r="AO47" s="85" t="e">
        <f>IF(SchmidtTheory!AO145&gt;ActuatorSIZING!$G$44,SchmidtTheory!AO145,"")</f>
        <v>#VALUE!</v>
      </c>
      <c r="AP47" s="85" t="e">
        <f>IF(SchmidtTheory!AP145&gt;ActuatorSIZING!$G$44,SchmidtTheory!AP145,"")</f>
        <v>#VALUE!</v>
      </c>
      <c r="AQ47" s="85" t="e">
        <f>IF(SchmidtTheory!AQ145&gt;ActuatorSIZING!$G$44,SchmidtTheory!AQ145,"")</f>
        <v>#VALUE!</v>
      </c>
      <c r="AR47" s="85" t="e">
        <f>IF(SchmidtTheory!AR145&gt;ActuatorSIZING!$G$44,SchmidtTheory!AR145,"")</f>
        <v>#VALUE!</v>
      </c>
      <c r="AS47" s="85" t="e">
        <f>IF(SchmidtTheory!AS145&gt;ActuatorSIZING!$G$44,SchmidtTheory!AS145,"")</f>
        <v>#VALUE!</v>
      </c>
      <c r="AT47" s="85" t="e">
        <f>IF(SchmidtTheory!AT145&gt;ActuatorSIZING!$G$44,SchmidtTheory!AT145,"")</f>
        <v>#VALUE!</v>
      </c>
      <c r="AU47" s="85" t="e">
        <f>IF(SchmidtTheory!AU145&gt;ActuatorSIZING!$G$44,SchmidtTheory!AU145,"")</f>
        <v>#VALUE!</v>
      </c>
      <c r="AV47" s="85" t="e">
        <f>IF(SchmidtTheory!AV145&gt;ActuatorSIZING!$G$44,SchmidtTheory!AV145,"")</f>
        <v>#VALUE!</v>
      </c>
      <c r="AW47" s="96">
        <v>3500</v>
      </c>
      <c r="AX47" s="93" t="e">
        <f>IF(AW47&gt;ActuatorSIZING!$G$44,SchmidtTheory!AW47,"")</f>
        <v>#VALUE!</v>
      </c>
      <c r="AY47" s="95" t="str">
        <f>IF(SELECTION!$P$46=SchmidtTheory!G46,SchmidtTheory!AX47,"")</f>
        <v/>
      </c>
      <c r="AZ47" s="93" t="str">
        <f>IF(SELECTION!$AJ$24&gt;(I47+0.3),SchmidtTheory!AY47,"")</f>
        <v/>
      </c>
      <c r="BA47" s="103" t="s">
        <v>158</v>
      </c>
      <c r="BB47" s="93" t="e">
        <f t="shared" si="3"/>
        <v>#VALUE!</v>
      </c>
      <c r="BC47" s="93" t="str">
        <f>IF(SELECTION!$P$46=SchmidtTheory!G46,SchmidtTheory!BB47,"")</f>
        <v/>
      </c>
      <c r="BD47" s="93" t="str">
        <f>IF(SELECTION!$AJ$24&gt;(I47+0.3),SchmidtTheory!BC47,"")</f>
        <v/>
      </c>
      <c r="BE47" s="93" t="b">
        <f t="shared" si="2"/>
        <v>0</v>
      </c>
      <c r="BF47" s="103" t="s">
        <v>158</v>
      </c>
    </row>
    <row r="48" spans="2:58" ht="12.75" customHeight="1" x14ac:dyDescent="0.2">
      <c r="F48" s="589"/>
      <c r="G48" s="598"/>
      <c r="H48" s="102">
        <v>1</v>
      </c>
      <c r="I48" s="101">
        <v>2.4</v>
      </c>
      <c r="J48" s="100">
        <v>3.4</v>
      </c>
      <c r="K48" s="99">
        <v>7000</v>
      </c>
      <c r="L48" s="98">
        <v>6</v>
      </c>
      <c r="M48" s="97">
        <v>25200</v>
      </c>
      <c r="N48" s="85" t="e">
        <f>IF(SchmidtTheory!N146&gt;ActuatorSIZING!$G$44,SchmidtTheory!N146,"")</f>
        <v>#VALUE!</v>
      </c>
      <c r="O48" s="85" t="e">
        <f>IF(SchmidtTheory!O146&gt;ActuatorSIZING!$G$44,SchmidtTheory!O146,"")</f>
        <v>#VALUE!</v>
      </c>
      <c r="P48" s="85" t="e">
        <f>IF(SchmidtTheory!P146&gt;ActuatorSIZING!$G$44,SchmidtTheory!P146,"")</f>
        <v>#VALUE!</v>
      </c>
      <c r="Q48" s="85" t="e">
        <f>IF(SchmidtTheory!Q146&gt;ActuatorSIZING!$G$44,SchmidtTheory!Q146,"")</f>
        <v>#VALUE!</v>
      </c>
      <c r="R48" s="85" t="e">
        <f>IF(SchmidtTheory!R146&gt;ActuatorSIZING!$G$44,SchmidtTheory!R146,"")</f>
        <v>#VALUE!</v>
      </c>
      <c r="S48" s="85" t="e">
        <f>IF(SchmidtTheory!S146&gt;ActuatorSIZING!$G$44,SchmidtTheory!S146,"")</f>
        <v>#VALUE!</v>
      </c>
      <c r="T48" s="85" t="e">
        <f>IF(SchmidtTheory!T146&gt;ActuatorSIZING!$G$44,SchmidtTheory!T146,"")</f>
        <v>#VALUE!</v>
      </c>
      <c r="U48" s="85" t="e">
        <f>IF(SchmidtTheory!U146&gt;ActuatorSIZING!$G$44,SchmidtTheory!U146,"")</f>
        <v>#VALUE!</v>
      </c>
      <c r="V48" s="85" t="e">
        <f>IF(SchmidtTheory!V146&gt;ActuatorSIZING!$G$44,SchmidtTheory!V146,"")</f>
        <v>#VALUE!</v>
      </c>
      <c r="W48" s="85" t="e">
        <f>IF(SchmidtTheory!W146&gt;ActuatorSIZING!$G$44,SchmidtTheory!W146,"")</f>
        <v>#VALUE!</v>
      </c>
      <c r="X48" s="85" t="e">
        <f>IF(SchmidtTheory!X146&gt;ActuatorSIZING!$G$44,SchmidtTheory!X146,"")</f>
        <v>#VALUE!</v>
      </c>
      <c r="Y48" s="85" t="e">
        <f>IF(SchmidtTheory!Y146&gt;ActuatorSIZING!$G$44,SchmidtTheory!Y146,"")</f>
        <v>#VALUE!</v>
      </c>
      <c r="Z48" s="85" t="e">
        <f>IF(SchmidtTheory!Z146&gt;ActuatorSIZING!$G$44,SchmidtTheory!Z146,"")</f>
        <v>#VALUE!</v>
      </c>
      <c r="AA48" s="85" t="e">
        <f>IF(SchmidtTheory!AA146&gt;ActuatorSIZING!$G$44,SchmidtTheory!AA146,"")</f>
        <v>#VALUE!</v>
      </c>
      <c r="AB48" s="85" t="e">
        <f>IF(SchmidtTheory!AB146&gt;ActuatorSIZING!$G$44,SchmidtTheory!AB146,"")</f>
        <v>#VALUE!</v>
      </c>
      <c r="AC48" s="85" t="e">
        <f>IF(SchmidtTheory!AC146&gt;ActuatorSIZING!$G$44,SchmidtTheory!AC146,"")</f>
        <v>#VALUE!</v>
      </c>
      <c r="AD48" s="85" t="e">
        <f>IF(SchmidtTheory!AD146&gt;ActuatorSIZING!$G$44,SchmidtTheory!AD146,"")</f>
        <v>#VALUE!</v>
      </c>
      <c r="AE48" s="85" t="e">
        <f>IF(SchmidtTheory!AE146&gt;ActuatorSIZING!$G$44,SchmidtTheory!AE146,"")</f>
        <v>#VALUE!</v>
      </c>
      <c r="AF48" s="85" t="e">
        <f>IF(SchmidtTheory!AF146&gt;ActuatorSIZING!$G$44,SchmidtTheory!AF146,"")</f>
        <v>#VALUE!</v>
      </c>
      <c r="AG48" s="85" t="e">
        <f>IF(SchmidtTheory!AG146&gt;ActuatorSIZING!$G$44,SchmidtTheory!AG146,"")</f>
        <v>#VALUE!</v>
      </c>
      <c r="AH48" s="85" t="e">
        <f>IF(SchmidtTheory!AH146&gt;ActuatorSIZING!$G$44,SchmidtTheory!AH146,"")</f>
        <v>#VALUE!</v>
      </c>
      <c r="AI48" s="85" t="e">
        <f>IF(SchmidtTheory!AI146&gt;ActuatorSIZING!$G$44,SchmidtTheory!AI146,"")</f>
        <v>#VALUE!</v>
      </c>
      <c r="AJ48" s="85" t="e">
        <f>IF(SchmidtTheory!AJ146&gt;ActuatorSIZING!$G$44,SchmidtTheory!AJ146,"")</f>
        <v>#VALUE!</v>
      </c>
      <c r="AK48" s="85" t="e">
        <f>IF(SchmidtTheory!AK146&gt;ActuatorSIZING!$G$44,SchmidtTheory!AK146,"")</f>
        <v>#VALUE!</v>
      </c>
      <c r="AL48" s="85" t="e">
        <f>IF(SchmidtTheory!AL146&gt;ActuatorSIZING!$G$44,SchmidtTheory!AL146,"")</f>
        <v>#VALUE!</v>
      </c>
      <c r="AM48" s="85" t="e">
        <f>IF(SchmidtTheory!AM146&gt;ActuatorSIZING!$G$44,SchmidtTheory!AM146,"")</f>
        <v>#VALUE!</v>
      </c>
      <c r="AN48" s="85" t="e">
        <f>IF(SchmidtTheory!AN146&gt;ActuatorSIZING!$G$44,SchmidtTheory!AN146,"")</f>
        <v>#VALUE!</v>
      </c>
      <c r="AO48" s="85" t="e">
        <f>IF(SchmidtTheory!AO146&gt;ActuatorSIZING!$G$44,SchmidtTheory!AO146,"")</f>
        <v>#VALUE!</v>
      </c>
      <c r="AP48" s="85" t="e">
        <f>IF(SchmidtTheory!AP146&gt;ActuatorSIZING!$G$44,SchmidtTheory!AP146,"")</f>
        <v>#VALUE!</v>
      </c>
      <c r="AQ48" s="85" t="e">
        <f>IF(SchmidtTheory!AQ146&gt;ActuatorSIZING!$G$44,SchmidtTheory!AQ146,"")</f>
        <v>#VALUE!</v>
      </c>
      <c r="AR48" s="85" t="e">
        <f>IF(SchmidtTheory!AR146&gt;ActuatorSIZING!$G$44,SchmidtTheory!AR146,"")</f>
        <v>#VALUE!</v>
      </c>
      <c r="AS48" s="85" t="e">
        <f>IF(SchmidtTheory!AS146&gt;ActuatorSIZING!$G$44,SchmidtTheory!AS146,"")</f>
        <v>#VALUE!</v>
      </c>
      <c r="AT48" s="85" t="e">
        <f>IF(SchmidtTheory!AT146&gt;ActuatorSIZING!$G$44,SchmidtTheory!AT146,"")</f>
        <v>#VALUE!</v>
      </c>
      <c r="AU48" s="85" t="e">
        <f>IF(SchmidtTheory!AU146&gt;ActuatorSIZING!$G$44,SchmidtTheory!AU146,"")</f>
        <v>#VALUE!</v>
      </c>
      <c r="AV48" s="85" t="e">
        <f>IF(SchmidtTheory!AV146&gt;ActuatorSIZING!$G$44,SchmidtTheory!AV146,"")</f>
        <v>#VALUE!</v>
      </c>
      <c r="AW48" s="96">
        <v>7000</v>
      </c>
      <c r="AX48" s="93" t="e">
        <f>IF(AW48&gt;ActuatorSIZING!$G$44,SchmidtTheory!AW48,"")</f>
        <v>#VALUE!</v>
      </c>
      <c r="AY48" s="95" t="str">
        <f>IF(SELECTION!$P$46=SchmidtTheory!G46,SchmidtTheory!AX48,"")</f>
        <v/>
      </c>
      <c r="AZ48" s="93" t="str">
        <f>IF(SELECTION!$AJ$24&gt;(I48+0.3),SchmidtTheory!AY48,"")</f>
        <v/>
      </c>
      <c r="BA48" s="103" t="s">
        <v>156</v>
      </c>
      <c r="BB48" s="93" t="e">
        <f t="shared" si="3"/>
        <v>#VALUE!</v>
      </c>
      <c r="BC48" s="93" t="str">
        <f>IF(SELECTION!$P$46=SchmidtTheory!G46,SchmidtTheory!BB48,"")</f>
        <v/>
      </c>
      <c r="BD48" s="93" t="str">
        <f>IF(SELECTION!$AJ$24&gt;(I48+0.3),SchmidtTheory!BC48,"")</f>
        <v/>
      </c>
      <c r="BE48" s="93" t="b">
        <f t="shared" si="2"/>
        <v>0</v>
      </c>
      <c r="BF48" s="103" t="s">
        <v>156</v>
      </c>
    </row>
    <row r="49" spans="2:58" x14ac:dyDescent="0.2">
      <c r="B49" s="42" t="s">
        <v>159</v>
      </c>
      <c r="F49" s="589"/>
      <c r="G49" s="598"/>
      <c r="H49" s="102">
        <v>1.5</v>
      </c>
      <c r="I49" s="101">
        <v>3.8</v>
      </c>
      <c r="J49" s="100">
        <v>5.3</v>
      </c>
      <c r="K49" s="99">
        <v>10500</v>
      </c>
      <c r="L49" s="98">
        <v>6</v>
      </c>
      <c r="M49" s="97">
        <v>15400</v>
      </c>
      <c r="N49" s="85" t="e">
        <f>IF(SchmidtTheory!N147&gt;ActuatorSIZING!$G$44,SchmidtTheory!N147,"")</f>
        <v>#VALUE!</v>
      </c>
      <c r="O49" s="85" t="e">
        <f>IF(SchmidtTheory!O147&gt;ActuatorSIZING!$G$44,SchmidtTheory!O147,"")</f>
        <v>#VALUE!</v>
      </c>
      <c r="P49" s="85" t="e">
        <f>IF(SchmidtTheory!P147&gt;ActuatorSIZING!$G$44,SchmidtTheory!P147,"")</f>
        <v>#VALUE!</v>
      </c>
      <c r="Q49" s="85" t="e">
        <f>IF(SchmidtTheory!Q147&gt;ActuatorSIZING!$G$44,SchmidtTheory!Q147,"")</f>
        <v>#VALUE!</v>
      </c>
      <c r="R49" s="85" t="e">
        <f>IF(SchmidtTheory!R147&gt;ActuatorSIZING!$G$44,SchmidtTheory!R147,"")</f>
        <v>#VALUE!</v>
      </c>
      <c r="S49" s="85" t="e">
        <f>IF(SchmidtTheory!S147&gt;ActuatorSIZING!$G$44,SchmidtTheory!S147,"")</f>
        <v>#VALUE!</v>
      </c>
      <c r="T49" s="85" t="e">
        <f>IF(SchmidtTheory!T147&gt;ActuatorSIZING!$G$44,SchmidtTheory!T147,"")</f>
        <v>#VALUE!</v>
      </c>
      <c r="U49" s="85" t="e">
        <f>IF(SchmidtTheory!U147&gt;ActuatorSIZING!$G$44,SchmidtTheory!U147,"")</f>
        <v>#VALUE!</v>
      </c>
      <c r="V49" s="85" t="e">
        <f>IF(SchmidtTheory!V147&gt;ActuatorSIZING!$G$44,SchmidtTheory!V147,"")</f>
        <v>#VALUE!</v>
      </c>
      <c r="W49" s="85" t="e">
        <f>IF(SchmidtTheory!W147&gt;ActuatorSIZING!$G$44,SchmidtTheory!W147,"")</f>
        <v>#VALUE!</v>
      </c>
      <c r="X49" s="85" t="e">
        <f>IF(SchmidtTheory!X147&gt;ActuatorSIZING!$G$44,SchmidtTheory!X147,"")</f>
        <v>#VALUE!</v>
      </c>
      <c r="Y49" s="85" t="e">
        <f>IF(SchmidtTheory!Y147&gt;ActuatorSIZING!$G$44,SchmidtTheory!Y147,"")</f>
        <v>#VALUE!</v>
      </c>
      <c r="Z49" s="85" t="e">
        <f>IF(SchmidtTheory!Z147&gt;ActuatorSIZING!$G$44,SchmidtTheory!Z147,"")</f>
        <v>#VALUE!</v>
      </c>
      <c r="AA49" s="85" t="e">
        <f>IF(SchmidtTheory!AA147&gt;ActuatorSIZING!$G$44,SchmidtTheory!AA147,"")</f>
        <v>#VALUE!</v>
      </c>
      <c r="AB49" s="85" t="e">
        <f>IF(SchmidtTheory!AB147&gt;ActuatorSIZING!$G$44,SchmidtTheory!AB147,"")</f>
        <v>#VALUE!</v>
      </c>
      <c r="AC49" s="85" t="e">
        <f>IF(SchmidtTheory!AC147&gt;ActuatorSIZING!$G$44,SchmidtTheory!AC147,"")</f>
        <v>#VALUE!</v>
      </c>
      <c r="AD49" s="85" t="e">
        <f>IF(SchmidtTheory!AD147&gt;ActuatorSIZING!$G$44,SchmidtTheory!AD147,"")</f>
        <v>#VALUE!</v>
      </c>
      <c r="AE49" s="85" t="e">
        <f>IF(SchmidtTheory!AE147&gt;ActuatorSIZING!$G$44,SchmidtTheory!AE147,"")</f>
        <v>#VALUE!</v>
      </c>
      <c r="AF49" s="85" t="e">
        <f>IF(SchmidtTheory!AF147&gt;ActuatorSIZING!$G$44,SchmidtTheory!AF147,"")</f>
        <v>#VALUE!</v>
      </c>
      <c r="AG49" s="85" t="e">
        <f>IF(SchmidtTheory!AG147&gt;ActuatorSIZING!$G$44,SchmidtTheory!AG147,"")</f>
        <v>#VALUE!</v>
      </c>
      <c r="AH49" s="85" t="e">
        <f>IF(SchmidtTheory!AH147&gt;ActuatorSIZING!$G$44,SchmidtTheory!AH147,"")</f>
        <v>#VALUE!</v>
      </c>
      <c r="AI49" s="85" t="e">
        <f>IF(SchmidtTheory!AI147&gt;ActuatorSIZING!$G$44,SchmidtTheory!AI147,"")</f>
        <v>#VALUE!</v>
      </c>
      <c r="AJ49" s="85" t="e">
        <f>IF(SchmidtTheory!AJ147&gt;ActuatorSIZING!$G$44,SchmidtTheory!AJ147,"")</f>
        <v>#VALUE!</v>
      </c>
      <c r="AK49" s="85" t="e">
        <f>IF(SchmidtTheory!AK147&gt;ActuatorSIZING!$G$44,SchmidtTheory!AK147,"")</f>
        <v>#VALUE!</v>
      </c>
      <c r="AL49" s="85" t="e">
        <f>IF(SchmidtTheory!AL147&gt;ActuatorSIZING!$G$44,SchmidtTheory!AL147,"")</f>
        <v>#VALUE!</v>
      </c>
      <c r="AM49" s="85" t="e">
        <f>IF(SchmidtTheory!AM147&gt;ActuatorSIZING!$G$44,SchmidtTheory!AM147,"")</f>
        <v>#VALUE!</v>
      </c>
      <c r="AN49" s="85" t="e">
        <f>IF(SchmidtTheory!AN147&gt;ActuatorSIZING!$G$44,SchmidtTheory!AN147,"")</f>
        <v>#VALUE!</v>
      </c>
      <c r="AO49" s="85" t="e">
        <f>IF(SchmidtTheory!AO147&gt;ActuatorSIZING!$G$44,SchmidtTheory!AO147,"")</f>
        <v>#VALUE!</v>
      </c>
      <c r="AP49" s="85" t="e">
        <f>IF(SchmidtTheory!AP147&gt;ActuatorSIZING!$G$44,SchmidtTheory!AP147,"")</f>
        <v>#VALUE!</v>
      </c>
      <c r="AQ49" s="85" t="e">
        <f>IF(SchmidtTheory!AQ147&gt;ActuatorSIZING!$G$44,SchmidtTheory!AQ147,"")</f>
        <v>#VALUE!</v>
      </c>
      <c r="AR49" s="85" t="e">
        <f>IF(SchmidtTheory!AR147&gt;ActuatorSIZING!$G$44,SchmidtTheory!AR147,"")</f>
        <v>#VALUE!</v>
      </c>
      <c r="AS49" s="85" t="e">
        <f>IF(SchmidtTheory!AS147&gt;ActuatorSIZING!$G$44,SchmidtTheory!AS147,"")</f>
        <v>#VALUE!</v>
      </c>
      <c r="AT49" s="85" t="e">
        <f>IF(SchmidtTheory!AT147&gt;ActuatorSIZING!$G$44,SchmidtTheory!AT147,"")</f>
        <v>#VALUE!</v>
      </c>
      <c r="AU49" s="85" t="e">
        <f>IF(SchmidtTheory!AU147&gt;ActuatorSIZING!$G$44,SchmidtTheory!AU147,"")</f>
        <v>#VALUE!</v>
      </c>
      <c r="AV49" s="85" t="e">
        <f>IF(SchmidtTheory!AV147&gt;ActuatorSIZING!$G$44,SchmidtTheory!AV147,"")</f>
        <v>#VALUE!</v>
      </c>
      <c r="AW49" s="96">
        <v>10500</v>
      </c>
      <c r="AX49" s="93" t="e">
        <f>IF(AW49&gt;ActuatorSIZING!$G$44,SchmidtTheory!AW49,"")</f>
        <v>#VALUE!</v>
      </c>
      <c r="AY49" s="95" t="str">
        <f>IF(SELECTION!$P$46=SchmidtTheory!G46,SchmidtTheory!AX49,"")</f>
        <v/>
      </c>
      <c r="AZ49" s="93" t="str">
        <f>IF(SELECTION!$AJ$24&gt;(I49+0.3),SchmidtTheory!AY49,"")</f>
        <v/>
      </c>
      <c r="BA49" s="103" t="s">
        <v>155</v>
      </c>
      <c r="BB49" s="93" t="e">
        <f t="shared" si="3"/>
        <v>#VALUE!</v>
      </c>
      <c r="BC49" s="93" t="str">
        <f>IF(SELECTION!$P$46=SchmidtTheory!G46,SchmidtTheory!BB49,"")</f>
        <v/>
      </c>
      <c r="BD49" s="93" t="str">
        <f>IF(SELECTION!$AJ$24&gt;(I49+0.3),SchmidtTheory!BC49,"")</f>
        <v/>
      </c>
      <c r="BE49" s="93" t="b">
        <f t="shared" si="2"/>
        <v>0</v>
      </c>
      <c r="BF49" s="103" t="s">
        <v>155</v>
      </c>
    </row>
    <row r="50" spans="2:58" ht="13.5" customHeight="1" x14ac:dyDescent="0.2">
      <c r="B50" s="42" t="s">
        <v>157</v>
      </c>
      <c r="F50" s="589"/>
      <c r="G50" s="598"/>
      <c r="H50" s="102">
        <v>2</v>
      </c>
      <c r="I50" s="101">
        <v>4.8</v>
      </c>
      <c r="J50" s="100"/>
      <c r="K50" s="99"/>
      <c r="L50" s="98">
        <v>6</v>
      </c>
      <c r="M50" s="97">
        <v>8400</v>
      </c>
      <c r="N50" s="85" t="e">
        <f>IF(SchmidtTheory!N148&gt;ActuatorSIZING!$G$44,SchmidtTheory!N148,"")</f>
        <v>#VALUE!</v>
      </c>
      <c r="O50" s="85" t="e">
        <f>IF(SchmidtTheory!O148&gt;ActuatorSIZING!$G$44,SchmidtTheory!O148,"")</f>
        <v>#VALUE!</v>
      </c>
      <c r="P50" s="85" t="e">
        <f>IF(SchmidtTheory!P148&gt;ActuatorSIZING!$G$44,SchmidtTheory!P148,"")</f>
        <v>#VALUE!</v>
      </c>
      <c r="Q50" s="85" t="e">
        <f>IF(SchmidtTheory!Q148&gt;ActuatorSIZING!$G$44,SchmidtTheory!Q148,"")</f>
        <v>#VALUE!</v>
      </c>
      <c r="R50" s="85" t="e">
        <f>IF(SchmidtTheory!R148&gt;ActuatorSIZING!$G$44,SchmidtTheory!R148,"")</f>
        <v>#VALUE!</v>
      </c>
      <c r="S50" s="85" t="e">
        <f>IF(SchmidtTheory!S148&gt;ActuatorSIZING!$G$44,SchmidtTheory!S148,"")</f>
        <v>#VALUE!</v>
      </c>
      <c r="T50" s="85" t="e">
        <f>IF(SchmidtTheory!T148&gt;ActuatorSIZING!$G$44,SchmidtTheory!T148,"")</f>
        <v>#VALUE!</v>
      </c>
      <c r="U50" s="85" t="e">
        <f>IF(SchmidtTheory!U148&gt;ActuatorSIZING!$G$44,SchmidtTheory!U148,"")</f>
        <v>#VALUE!</v>
      </c>
      <c r="V50" s="85" t="e">
        <f>IF(SchmidtTheory!V148&gt;ActuatorSIZING!$G$44,SchmidtTheory!V148,"")</f>
        <v>#VALUE!</v>
      </c>
      <c r="W50" s="85" t="e">
        <f>IF(SchmidtTheory!W148&gt;ActuatorSIZING!$G$44,SchmidtTheory!W148,"")</f>
        <v>#VALUE!</v>
      </c>
      <c r="X50" s="85" t="e">
        <f>IF(SchmidtTheory!X148&gt;ActuatorSIZING!$G$44,SchmidtTheory!X148,"")</f>
        <v>#VALUE!</v>
      </c>
      <c r="Y50" s="85" t="e">
        <f>IF(SchmidtTheory!Y148&gt;ActuatorSIZING!$G$44,SchmidtTheory!Y148,"")</f>
        <v>#VALUE!</v>
      </c>
      <c r="Z50" s="85" t="e">
        <f>IF(SchmidtTheory!Z148&gt;ActuatorSIZING!$G$44,SchmidtTheory!Z148,"")</f>
        <v>#VALUE!</v>
      </c>
      <c r="AA50" s="85" t="e">
        <f>IF(SchmidtTheory!AA148&gt;ActuatorSIZING!$G$44,SchmidtTheory!AA148,"")</f>
        <v>#VALUE!</v>
      </c>
      <c r="AB50" s="85" t="e">
        <f>IF(SchmidtTheory!AB148&gt;ActuatorSIZING!$G$44,SchmidtTheory!AB148,"")</f>
        <v>#VALUE!</v>
      </c>
      <c r="AC50" s="85" t="e">
        <f>IF(SchmidtTheory!AC148&gt;ActuatorSIZING!$G$44,SchmidtTheory!AC148,"")</f>
        <v>#VALUE!</v>
      </c>
      <c r="AD50" s="85" t="e">
        <f>IF(SchmidtTheory!AD148&gt;ActuatorSIZING!$G$44,SchmidtTheory!AD148,"")</f>
        <v>#VALUE!</v>
      </c>
      <c r="AE50" s="85" t="e">
        <f>IF(SchmidtTheory!AE148&gt;ActuatorSIZING!$G$44,SchmidtTheory!AE148,"")</f>
        <v>#VALUE!</v>
      </c>
      <c r="AF50" s="85" t="e">
        <f>IF(SchmidtTheory!AF148&gt;ActuatorSIZING!$G$44,SchmidtTheory!AF148,"")</f>
        <v>#VALUE!</v>
      </c>
      <c r="AG50" s="85" t="e">
        <f>IF(SchmidtTheory!AG148&gt;ActuatorSIZING!$G$44,SchmidtTheory!AG148,"")</f>
        <v>#VALUE!</v>
      </c>
      <c r="AH50" s="85" t="e">
        <f>IF(SchmidtTheory!AH148&gt;ActuatorSIZING!$G$44,SchmidtTheory!AH148,"")</f>
        <v>#VALUE!</v>
      </c>
      <c r="AI50" s="85" t="e">
        <f>IF(SchmidtTheory!AI148&gt;ActuatorSIZING!$G$44,SchmidtTheory!AI148,"")</f>
        <v>#VALUE!</v>
      </c>
      <c r="AJ50" s="85" t="e">
        <f>IF(SchmidtTheory!AJ148&gt;ActuatorSIZING!$G$44,SchmidtTheory!AJ148,"")</f>
        <v>#VALUE!</v>
      </c>
      <c r="AK50" s="85" t="e">
        <f>IF(SchmidtTheory!AK148&gt;ActuatorSIZING!$G$44,SchmidtTheory!AK148,"")</f>
        <v>#VALUE!</v>
      </c>
      <c r="AL50" s="85" t="e">
        <f>IF(SchmidtTheory!AL148&gt;ActuatorSIZING!$G$44,SchmidtTheory!AL148,"")</f>
        <v>#VALUE!</v>
      </c>
      <c r="AM50" s="85" t="e">
        <f>IF(SchmidtTheory!AM148&gt;ActuatorSIZING!$G$44,SchmidtTheory!AM148,"")</f>
        <v>#VALUE!</v>
      </c>
      <c r="AN50" s="85" t="e">
        <f>IF(SchmidtTheory!AN148&gt;ActuatorSIZING!$G$44,SchmidtTheory!AN148,"")</f>
        <v>#VALUE!</v>
      </c>
      <c r="AO50" s="85" t="e">
        <f>IF(SchmidtTheory!AO148&gt;ActuatorSIZING!$G$44,SchmidtTheory!AO148,"")</f>
        <v>#VALUE!</v>
      </c>
      <c r="AP50" s="85" t="e">
        <f>IF(SchmidtTheory!AP148&gt;ActuatorSIZING!$G$44,SchmidtTheory!AP148,"")</f>
        <v>#VALUE!</v>
      </c>
      <c r="AQ50" s="85" t="e">
        <f>IF(SchmidtTheory!AQ148&gt;ActuatorSIZING!$G$44,SchmidtTheory!AQ148,"")</f>
        <v>#VALUE!</v>
      </c>
      <c r="AR50" s="85" t="e">
        <f>IF(SchmidtTheory!AR148&gt;ActuatorSIZING!$G$44,SchmidtTheory!AR148,"")</f>
        <v>#VALUE!</v>
      </c>
      <c r="AS50" s="85" t="e">
        <f>IF(SchmidtTheory!AS148&gt;ActuatorSIZING!$G$44,SchmidtTheory!AS148,"")</f>
        <v>#VALUE!</v>
      </c>
      <c r="AT50" s="85" t="e">
        <f>IF(SchmidtTheory!AT148&gt;ActuatorSIZING!$G$44,SchmidtTheory!AT148,"")</f>
        <v>#VALUE!</v>
      </c>
      <c r="AU50" s="85" t="e">
        <f>IF(SchmidtTheory!AU148&gt;ActuatorSIZING!$G$44,SchmidtTheory!AU148,"")</f>
        <v>#VALUE!</v>
      </c>
      <c r="AV50" s="85" t="e">
        <f>IF(SchmidtTheory!AV148&gt;ActuatorSIZING!$G$44,SchmidtTheory!AV148,"")</f>
        <v>#VALUE!</v>
      </c>
      <c r="AW50" s="96">
        <v>14000</v>
      </c>
      <c r="AX50" s="93" t="e">
        <f>IF(AW50&gt;ActuatorSIZING!$G$44,SchmidtTheory!AW50,"")</f>
        <v>#VALUE!</v>
      </c>
      <c r="AY50" s="95" t="str">
        <f>IF(SELECTION!$P$46=SchmidtTheory!G46,SchmidtTheory!AX50,"")</f>
        <v/>
      </c>
      <c r="AZ50" s="93" t="str">
        <f>IF(SELECTION!$AJ$24&gt;(I50+0.3),SchmidtTheory!AY50,"")</f>
        <v/>
      </c>
      <c r="BA50" s="103" t="s">
        <v>153</v>
      </c>
      <c r="BB50" s="93" t="e">
        <f t="shared" si="3"/>
        <v>#VALUE!</v>
      </c>
      <c r="BC50" s="93" t="str">
        <f>IF(SELECTION!$P$46=SchmidtTheory!G46,SchmidtTheory!BB50,"")</f>
        <v/>
      </c>
      <c r="BD50" s="93" t="str">
        <f>IF(SELECTION!$AJ$24&gt;(I50+0.3),SchmidtTheory!BC50,"")</f>
        <v/>
      </c>
      <c r="BE50" s="93" t="b">
        <f t="shared" si="2"/>
        <v>0</v>
      </c>
      <c r="BF50" s="103" t="s">
        <v>153</v>
      </c>
    </row>
    <row r="51" spans="2:58" x14ac:dyDescent="0.2">
      <c r="F51" s="589">
        <v>1502</v>
      </c>
      <c r="G51" s="598">
        <v>20</v>
      </c>
      <c r="H51" s="102">
        <v>0.8</v>
      </c>
      <c r="I51" s="101">
        <v>1.6</v>
      </c>
      <c r="J51" s="100">
        <v>2.4</v>
      </c>
      <c r="K51" s="99">
        <v>12000</v>
      </c>
      <c r="L51" s="98">
        <v>5.6</v>
      </c>
      <c r="M51" s="97">
        <v>60000</v>
      </c>
      <c r="N51" s="85" t="e">
        <f>IF(SchmidtTheory!N149&gt;ActuatorSIZING!$G$44,SchmidtTheory!N149,"")</f>
        <v>#VALUE!</v>
      </c>
      <c r="O51" s="85" t="e">
        <f>IF(SchmidtTheory!O149&gt;ActuatorSIZING!$G$44,SchmidtTheory!O149,"")</f>
        <v>#VALUE!</v>
      </c>
      <c r="P51" s="85" t="e">
        <f>IF(SchmidtTheory!P149&gt;ActuatorSIZING!$G$44,SchmidtTheory!P149,"")</f>
        <v>#VALUE!</v>
      </c>
      <c r="Q51" s="85" t="e">
        <f>IF(SchmidtTheory!Q149&gt;ActuatorSIZING!$G$44,SchmidtTheory!Q149,"")</f>
        <v>#VALUE!</v>
      </c>
      <c r="R51" s="85" t="e">
        <f>IF(SchmidtTheory!R149&gt;ActuatorSIZING!$G$44,SchmidtTheory!R149,"")</f>
        <v>#VALUE!</v>
      </c>
      <c r="S51" s="85" t="e">
        <f>IF(SchmidtTheory!S149&gt;ActuatorSIZING!$G$44,SchmidtTheory!S149,"")</f>
        <v>#VALUE!</v>
      </c>
      <c r="T51" s="85" t="e">
        <f>IF(SchmidtTheory!T149&gt;ActuatorSIZING!$G$44,SchmidtTheory!T149,"")</f>
        <v>#VALUE!</v>
      </c>
      <c r="U51" s="85" t="e">
        <f>IF(SchmidtTheory!U149&gt;ActuatorSIZING!$G$44,SchmidtTheory!U149,"")</f>
        <v>#VALUE!</v>
      </c>
      <c r="V51" s="85" t="e">
        <f>IF(SchmidtTheory!V149&gt;ActuatorSIZING!$G$44,SchmidtTheory!V149,"")</f>
        <v>#VALUE!</v>
      </c>
      <c r="W51" s="85" t="e">
        <f>IF(SchmidtTheory!W149&gt;ActuatorSIZING!$G$44,SchmidtTheory!W149,"")</f>
        <v>#VALUE!</v>
      </c>
      <c r="X51" s="85" t="e">
        <f>IF(SchmidtTheory!X149&gt;ActuatorSIZING!$G$44,SchmidtTheory!X149,"")</f>
        <v>#VALUE!</v>
      </c>
      <c r="Y51" s="85" t="e">
        <f>IF(SchmidtTheory!Y149&gt;ActuatorSIZING!$G$44,SchmidtTheory!Y149,"")</f>
        <v>#VALUE!</v>
      </c>
      <c r="Z51" s="85" t="e">
        <f>IF(SchmidtTheory!Z149&gt;ActuatorSIZING!$G$44,SchmidtTheory!Z149,"")</f>
        <v>#VALUE!</v>
      </c>
      <c r="AA51" s="85" t="e">
        <f>IF(SchmidtTheory!AA149&gt;ActuatorSIZING!$G$44,SchmidtTheory!AA149,"")</f>
        <v>#VALUE!</v>
      </c>
      <c r="AB51" s="85" t="e">
        <f>IF(SchmidtTheory!AB149&gt;ActuatorSIZING!$G$44,SchmidtTheory!AB149,"")</f>
        <v>#VALUE!</v>
      </c>
      <c r="AC51" s="85" t="e">
        <f>IF(SchmidtTheory!AC149&gt;ActuatorSIZING!$G$44,SchmidtTheory!AC149,"")</f>
        <v>#VALUE!</v>
      </c>
      <c r="AD51" s="85" t="e">
        <f>IF(SchmidtTheory!AD149&gt;ActuatorSIZING!$G$44,SchmidtTheory!AD149,"")</f>
        <v>#VALUE!</v>
      </c>
      <c r="AE51" s="85" t="e">
        <f>IF(SchmidtTheory!AE149&gt;ActuatorSIZING!$G$44,SchmidtTheory!AE149,"")</f>
        <v>#VALUE!</v>
      </c>
      <c r="AF51" s="85" t="e">
        <f>IF(SchmidtTheory!AF149&gt;ActuatorSIZING!$G$44,SchmidtTheory!AF149,"")</f>
        <v>#VALUE!</v>
      </c>
      <c r="AG51" s="85" t="e">
        <f>IF(SchmidtTheory!AG149&gt;ActuatorSIZING!$G$44,SchmidtTheory!AG149,"")</f>
        <v>#VALUE!</v>
      </c>
      <c r="AH51" s="85" t="e">
        <f>IF(SchmidtTheory!AH149&gt;ActuatorSIZING!$G$44,SchmidtTheory!AH149,"")</f>
        <v>#VALUE!</v>
      </c>
      <c r="AI51" s="85" t="e">
        <f>IF(SchmidtTheory!AI149&gt;ActuatorSIZING!$G$44,SchmidtTheory!AI149,"")</f>
        <v>#VALUE!</v>
      </c>
      <c r="AJ51" s="85" t="e">
        <f>IF(SchmidtTheory!AJ149&gt;ActuatorSIZING!$G$44,SchmidtTheory!AJ149,"")</f>
        <v>#VALUE!</v>
      </c>
      <c r="AK51" s="85" t="e">
        <f>IF(SchmidtTheory!AK149&gt;ActuatorSIZING!$G$44,SchmidtTheory!AK149,"")</f>
        <v>#VALUE!</v>
      </c>
      <c r="AL51" s="85" t="e">
        <f>IF(SchmidtTheory!AL149&gt;ActuatorSIZING!$G$44,SchmidtTheory!AL149,"")</f>
        <v>#VALUE!</v>
      </c>
      <c r="AM51" s="85" t="e">
        <f>IF(SchmidtTheory!AM149&gt;ActuatorSIZING!$G$44,SchmidtTheory!AM149,"")</f>
        <v>#VALUE!</v>
      </c>
      <c r="AN51" s="85" t="e">
        <f>IF(SchmidtTheory!AN149&gt;ActuatorSIZING!$G$44,SchmidtTheory!AN149,"")</f>
        <v>#VALUE!</v>
      </c>
      <c r="AO51" s="85" t="e">
        <f>IF(SchmidtTheory!AO149&gt;ActuatorSIZING!$G$44,SchmidtTheory!AO149,"")</f>
        <v>#VALUE!</v>
      </c>
      <c r="AP51" s="85" t="e">
        <f>IF(SchmidtTheory!AP149&gt;ActuatorSIZING!$G$44,SchmidtTheory!AP149,"")</f>
        <v>#VALUE!</v>
      </c>
      <c r="AQ51" s="85" t="e">
        <f>IF(SchmidtTheory!AQ149&gt;ActuatorSIZING!$G$44,SchmidtTheory!AQ149,"")</f>
        <v>#VALUE!</v>
      </c>
      <c r="AR51" s="85" t="e">
        <f>IF(SchmidtTheory!AR149&gt;ActuatorSIZING!$G$44,SchmidtTheory!AR149,"")</f>
        <v>#VALUE!</v>
      </c>
      <c r="AS51" s="85" t="e">
        <f>IF(SchmidtTheory!AS149&gt;ActuatorSIZING!$G$44,SchmidtTheory!AS149,"")</f>
        <v>#VALUE!</v>
      </c>
      <c r="AT51" s="85" t="e">
        <f>IF(SchmidtTheory!AT149&gt;ActuatorSIZING!$G$44,SchmidtTheory!AT149,"")</f>
        <v>#VALUE!</v>
      </c>
      <c r="AU51" s="85" t="e">
        <f>IF(SchmidtTheory!AU149&gt;ActuatorSIZING!$G$44,SchmidtTheory!AU149,"")</f>
        <v>#VALUE!</v>
      </c>
      <c r="AV51" s="85" t="e">
        <f>IF(SchmidtTheory!AV149&gt;ActuatorSIZING!$G$44,SchmidtTheory!AV149,"")</f>
        <v>#VALUE!</v>
      </c>
      <c r="AW51" s="96">
        <v>12000</v>
      </c>
      <c r="AX51" s="93" t="e">
        <f>IF(AW51&gt;ActuatorSIZING!$G$44,SchmidtTheory!AW51,"")</f>
        <v>#VALUE!</v>
      </c>
      <c r="AY51" s="95" t="e">
        <f>IF(SELECTION!$P$46=SchmidtTheory!G51,SchmidtTheory!AX51,"")</f>
        <v>#VALUE!</v>
      </c>
      <c r="AZ51" s="93" t="e">
        <f>IF(SELECTION!$AJ$24&gt;(I51+0.3),SchmidtTheory!AY51,"")</f>
        <v>#VALUE!</v>
      </c>
      <c r="BA51" s="103" t="s">
        <v>151</v>
      </c>
      <c r="BB51" s="93" t="e">
        <f t="shared" si="3"/>
        <v>#VALUE!</v>
      </c>
      <c r="BC51" s="93" t="e">
        <f>IF(SELECTION!$P$46=SchmidtTheory!G51,SchmidtTheory!BB51,"")</f>
        <v>#VALUE!</v>
      </c>
      <c r="BD51" s="93" t="e">
        <f>IF(SELECTION!$AJ$24&gt;(I51+0.3),SchmidtTheory!BC51,"")</f>
        <v>#VALUE!</v>
      </c>
      <c r="BE51" s="93" t="b">
        <f t="shared" si="2"/>
        <v>0</v>
      </c>
      <c r="BF51" s="103" t="s">
        <v>151</v>
      </c>
    </row>
    <row r="52" spans="2:58" x14ac:dyDescent="0.2">
      <c r="B52" s="42" t="s">
        <v>154</v>
      </c>
      <c r="F52" s="589"/>
      <c r="G52" s="598"/>
      <c r="H52" s="102">
        <v>1.5</v>
      </c>
      <c r="I52" s="101">
        <v>2.1</v>
      </c>
      <c r="J52" s="100">
        <v>3.6</v>
      </c>
      <c r="K52" s="99">
        <v>22500</v>
      </c>
      <c r="L52" s="98">
        <v>6</v>
      </c>
      <c r="M52" s="97">
        <v>58500</v>
      </c>
      <c r="N52" s="85" t="e">
        <f>IF(SchmidtTheory!N150&gt;ActuatorSIZING!$G$44,SchmidtTheory!N150,"")</f>
        <v>#VALUE!</v>
      </c>
      <c r="O52" s="85" t="e">
        <f>IF(SchmidtTheory!O150&gt;ActuatorSIZING!$G$44,SchmidtTheory!O150,"")</f>
        <v>#VALUE!</v>
      </c>
      <c r="P52" s="85" t="e">
        <f>IF(SchmidtTheory!P150&gt;ActuatorSIZING!$G$44,SchmidtTheory!P150,"")</f>
        <v>#VALUE!</v>
      </c>
      <c r="Q52" s="85" t="e">
        <f>IF(SchmidtTheory!Q150&gt;ActuatorSIZING!$G$44,SchmidtTheory!Q150,"")</f>
        <v>#VALUE!</v>
      </c>
      <c r="R52" s="85" t="e">
        <f>IF(SchmidtTheory!R150&gt;ActuatorSIZING!$G$44,SchmidtTheory!R150,"")</f>
        <v>#VALUE!</v>
      </c>
      <c r="S52" s="85" t="e">
        <f>IF(SchmidtTheory!S150&gt;ActuatorSIZING!$G$44,SchmidtTheory!S150,"")</f>
        <v>#VALUE!</v>
      </c>
      <c r="T52" s="85" t="e">
        <f>IF(SchmidtTheory!T150&gt;ActuatorSIZING!$G$44,SchmidtTheory!T150,"")</f>
        <v>#VALUE!</v>
      </c>
      <c r="U52" s="85" t="e">
        <f>IF(SchmidtTheory!U150&gt;ActuatorSIZING!$G$44,SchmidtTheory!U150,"")</f>
        <v>#VALUE!</v>
      </c>
      <c r="V52" s="85" t="e">
        <f>IF(SchmidtTheory!V150&gt;ActuatorSIZING!$G$44,SchmidtTheory!V150,"")</f>
        <v>#VALUE!</v>
      </c>
      <c r="W52" s="85" t="e">
        <f>IF(SchmidtTheory!W150&gt;ActuatorSIZING!$G$44,SchmidtTheory!W150,"")</f>
        <v>#VALUE!</v>
      </c>
      <c r="X52" s="85" t="e">
        <f>IF(SchmidtTheory!X150&gt;ActuatorSIZING!$G$44,SchmidtTheory!X150,"")</f>
        <v>#VALUE!</v>
      </c>
      <c r="Y52" s="85" t="e">
        <f>IF(SchmidtTheory!Y150&gt;ActuatorSIZING!$G$44,SchmidtTheory!Y150,"")</f>
        <v>#VALUE!</v>
      </c>
      <c r="Z52" s="85" t="e">
        <f>IF(SchmidtTheory!Z150&gt;ActuatorSIZING!$G$44,SchmidtTheory!Z150,"")</f>
        <v>#VALUE!</v>
      </c>
      <c r="AA52" s="85" t="e">
        <f>IF(SchmidtTheory!AA150&gt;ActuatorSIZING!$G$44,SchmidtTheory!AA150,"")</f>
        <v>#VALUE!</v>
      </c>
      <c r="AB52" s="85" t="e">
        <f>IF(SchmidtTheory!AB150&gt;ActuatorSIZING!$G$44,SchmidtTheory!AB150,"")</f>
        <v>#VALUE!</v>
      </c>
      <c r="AC52" s="85" t="e">
        <f>IF(SchmidtTheory!AC150&gt;ActuatorSIZING!$G$44,SchmidtTheory!AC150,"")</f>
        <v>#VALUE!</v>
      </c>
      <c r="AD52" s="85" t="e">
        <f>IF(SchmidtTheory!AD150&gt;ActuatorSIZING!$G$44,SchmidtTheory!AD150,"")</f>
        <v>#VALUE!</v>
      </c>
      <c r="AE52" s="85" t="e">
        <f>IF(SchmidtTheory!AE150&gt;ActuatorSIZING!$G$44,SchmidtTheory!AE150,"")</f>
        <v>#VALUE!</v>
      </c>
      <c r="AF52" s="85" t="e">
        <f>IF(SchmidtTheory!AF150&gt;ActuatorSIZING!$G$44,SchmidtTheory!AF150,"")</f>
        <v>#VALUE!</v>
      </c>
      <c r="AG52" s="85" t="e">
        <f>IF(SchmidtTheory!AG150&gt;ActuatorSIZING!$G$44,SchmidtTheory!AG150,"")</f>
        <v>#VALUE!</v>
      </c>
      <c r="AH52" s="85" t="e">
        <f>IF(SchmidtTheory!AH150&gt;ActuatorSIZING!$G$44,SchmidtTheory!AH150,"")</f>
        <v>#VALUE!</v>
      </c>
      <c r="AI52" s="85" t="e">
        <f>IF(SchmidtTheory!AI150&gt;ActuatorSIZING!$G$44,SchmidtTheory!AI150,"")</f>
        <v>#VALUE!</v>
      </c>
      <c r="AJ52" s="85" t="e">
        <f>IF(SchmidtTheory!AJ150&gt;ActuatorSIZING!$G$44,SchmidtTheory!AJ150,"")</f>
        <v>#VALUE!</v>
      </c>
      <c r="AK52" s="85" t="e">
        <f>IF(SchmidtTheory!AK150&gt;ActuatorSIZING!$G$44,SchmidtTheory!AK150,"")</f>
        <v>#VALUE!</v>
      </c>
      <c r="AL52" s="85" t="e">
        <f>IF(SchmidtTheory!AL150&gt;ActuatorSIZING!$G$44,SchmidtTheory!AL150,"")</f>
        <v>#VALUE!</v>
      </c>
      <c r="AM52" s="85" t="e">
        <f>IF(SchmidtTheory!AM150&gt;ActuatorSIZING!$G$44,SchmidtTheory!AM150,"")</f>
        <v>#VALUE!</v>
      </c>
      <c r="AN52" s="85" t="e">
        <f>IF(SchmidtTheory!AN150&gt;ActuatorSIZING!$G$44,SchmidtTheory!AN150,"")</f>
        <v>#VALUE!</v>
      </c>
      <c r="AO52" s="85" t="e">
        <f>IF(SchmidtTheory!AO150&gt;ActuatorSIZING!$G$44,SchmidtTheory!AO150,"")</f>
        <v>#VALUE!</v>
      </c>
      <c r="AP52" s="85" t="e">
        <f>IF(SchmidtTheory!AP150&gt;ActuatorSIZING!$G$44,SchmidtTheory!AP150,"")</f>
        <v>#VALUE!</v>
      </c>
      <c r="AQ52" s="85" t="e">
        <f>IF(SchmidtTheory!AQ150&gt;ActuatorSIZING!$G$44,SchmidtTheory!AQ150,"")</f>
        <v>#VALUE!</v>
      </c>
      <c r="AR52" s="85" t="e">
        <f>IF(SchmidtTheory!AR150&gt;ActuatorSIZING!$G$44,SchmidtTheory!AR150,"")</f>
        <v>#VALUE!</v>
      </c>
      <c r="AS52" s="85" t="e">
        <f>IF(SchmidtTheory!AS150&gt;ActuatorSIZING!$G$44,SchmidtTheory!AS150,"")</f>
        <v>#VALUE!</v>
      </c>
      <c r="AT52" s="85" t="e">
        <f>IF(SchmidtTheory!AT150&gt;ActuatorSIZING!$G$44,SchmidtTheory!AT150,"")</f>
        <v>#VALUE!</v>
      </c>
      <c r="AU52" s="85" t="e">
        <f>IF(SchmidtTheory!AU150&gt;ActuatorSIZING!$G$44,SchmidtTheory!AU150,"")</f>
        <v>#VALUE!</v>
      </c>
      <c r="AV52" s="85" t="e">
        <f>IF(SchmidtTheory!AV150&gt;ActuatorSIZING!$G$44,SchmidtTheory!AV150,"")</f>
        <v>#VALUE!</v>
      </c>
      <c r="AW52" s="96">
        <v>22500</v>
      </c>
      <c r="AX52" s="93" t="e">
        <f>IF(AW52&gt;ActuatorSIZING!$G$44,SchmidtTheory!AW52,"")</f>
        <v>#VALUE!</v>
      </c>
      <c r="AY52" s="95" t="e">
        <f>IF(SELECTION!$P$46=SchmidtTheory!G51,SchmidtTheory!AX52,"")</f>
        <v>#VALUE!</v>
      </c>
      <c r="AZ52" s="93" t="e">
        <f>IF(SELECTION!$AJ$24&gt;(I52+0.3),SchmidtTheory!AY52,"")</f>
        <v>#VALUE!</v>
      </c>
      <c r="BA52" s="103" t="s">
        <v>150</v>
      </c>
      <c r="BB52" s="93" t="e">
        <f t="shared" si="3"/>
        <v>#VALUE!</v>
      </c>
      <c r="BC52" s="93" t="e">
        <f>IF(SELECTION!$P$46=SchmidtTheory!G51,SchmidtTheory!BB52,"")</f>
        <v>#VALUE!</v>
      </c>
      <c r="BD52" s="93" t="e">
        <f>IF(SELECTION!$AJ$24&gt;(I52+0.3),SchmidtTheory!BC52,"")</f>
        <v>#VALUE!</v>
      </c>
      <c r="BE52" s="93" t="b">
        <f t="shared" si="2"/>
        <v>0</v>
      </c>
      <c r="BF52" s="103" t="s">
        <v>150</v>
      </c>
    </row>
    <row r="53" spans="2:58" x14ac:dyDescent="0.2">
      <c r="B53" s="42" t="s">
        <v>152</v>
      </c>
      <c r="F53" s="589"/>
      <c r="G53" s="598">
        <v>40</v>
      </c>
      <c r="H53" s="102">
        <v>0.2</v>
      </c>
      <c r="I53" s="101">
        <v>1</v>
      </c>
      <c r="J53" s="100"/>
      <c r="K53" s="99"/>
      <c r="L53" s="98">
        <v>5</v>
      </c>
      <c r="M53" s="97">
        <v>60000</v>
      </c>
      <c r="N53" s="85" t="e">
        <f>IF(SchmidtTheory!N151&gt;ActuatorSIZING!$G$44,SchmidtTheory!N151,"")</f>
        <v>#VALUE!</v>
      </c>
      <c r="O53" s="85" t="e">
        <f>IF(SchmidtTheory!O151&gt;ActuatorSIZING!$G$44,SchmidtTheory!O151,"")</f>
        <v>#VALUE!</v>
      </c>
      <c r="P53" s="85" t="e">
        <f>IF(SchmidtTheory!P151&gt;ActuatorSIZING!$G$44,SchmidtTheory!P151,"")</f>
        <v>#VALUE!</v>
      </c>
      <c r="Q53" s="85" t="e">
        <f>IF(SchmidtTheory!Q151&gt;ActuatorSIZING!$G$44,SchmidtTheory!Q151,"")</f>
        <v>#VALUE!</v>
      </c>
      <c r="R53" s="85" t="e">
        <f>IF(SchmidtTheory!R151&gt;ActuatorSIZING!$G$44,SchmidtTheory!R151,"")</f>
        <v>#VALUE!</v>
      </c>
      <c r="S53" s="85" t="e">
        <f>IF(SchmidtTheory!S151&gt;ActuatorSIZING!$G$44,SchmidtTheory!S151,"")</f>
        <v>#VALUE!</v>
      </c>
      <c r="T53" s="85" t="e">
        <f>IF(SchmidtTheory!T151&gt;ActuatorSIZING!$G$44,SchmidtTheory!T151,"")</f>
        <v>#VALUE!</v>
      </c>
      <c r="U53" s="85" t="e">
        <f>IF(SchmidtTheory!U151&gt;ActuatorSIZING!$G$44,SchmidtTheory!U151,"")</f>
        <v>#VALUE!</v>
      </c>
      <c r="V53" s="85" t="e">
        <f>IF(SchmidtTheory!V151&gt;ActuatorSIZING!$G$44,SchmidtTheory!V151,"")</f>
        <v>#VALUE!</v>
      </c>
      <c r="W53" s="85" t="e">
        <f>IF(SchmidtTheory!W151&gt;ActuatorSIZING!$G$44,SchmidtTheory!W151,"")</f>
        <v>#VALUE!</v>
      </c>
      <c r="X53" s="85" t="e">
        <f>IF(SchmidtTheory!X151&gt;ActuatorSIZING!$G$44,SchmidtTheory!X151,"")</f>
        <v>#VALUE!</v>
      </c>
      <c r="Y53" s="85" t="e">
        <f>IF(SchmidtTheory!Y151&gt;ActuatorSIZING!$G$44,SchmidtTheory!Y151,"")</f>
        <v>#VALUE!</v>
      </c>
      <c r="Z53" s="85" t="e">
        <f>IF(SchmidtTheory!Z151&gt;ActuatorSIZING!$G$44,SchmidtTheory!Z151,"")</f>
        <v>#VALUE!</v>
      </c>
      <c r="AA53" s="85" t="e">
        <f>IF(SchmidtTheory!AA151&gt;ActuatorSIZING!$G$44,SchmidtTheory!AA151,"")</f>
        <v>#VALUE!</v>
      </c>
      <c r="AB53" s="85" t="e">
        <f>IF(SchmidtTheory!AB151&gt;ActuatorSIZING!$G$44,SchmidtTheory!AB151,"")</f>
        <v>#VALUE!</v>
      </c>
      <c r="AC53" s="85" t="e">
        <f>IF(SchmidtTheory!AC151&gt;ActuatorSIZING!$G$44,SchmidtTheory!AC151,"")</f>
        <v>#VALUE!</v>
      </c>
      <c r="AD53" s="85" t="e">
        <f>IF(SchmidtTheory!AD151&gt;ActuatorSIZING!$G$44,SchmidtTheory!AD151,"")</f>
        <v>#VALUE!</v>
      </c>
      <c r="AE53" s="85" t="e">
        <f>IF(SchmidtTheory!AE151&gt;ActuatorSIZING!$G$44,SchmidtTheory!AE151,"")</f>
        <v>#VALUE!</v>
      </c>
      <c r="AF53" s="85" t="e">
        <f>IF(SchmidtTheory!AF151&gt;ActuatorSIZING!$G$44,SchmidtTheory!AF151,"")</f>
        <v>#VALUE!</v>
      </c>
      <c r="AG53" s="85" t="e">
        <f>IF(SchmidtTheory!AG151&gt;ActuatorSIZING!$G$44,SchmidtTheory!AG151,"")</f>
        <v>#VALUE!</v>
      </c>
      <c r="AH53" s="85" t="e">
        <f>IF(SchmidtTheory!AH151&gt;ActuatorSIZING!$G$44,SchmidtTheory!AH151,"")</f>
        <v>#VALUE!</v>
      </c>
      <c r="AI53" s="85" t="e">
        <f>IF(SchmidtTheory!AI151&gt;ActuatorSIZING!$G$44,SchmidtTheory!AI151,"")</f>
        <v>#VALUE!</v>
      </c>
      <c r="AJ53" s="85" t="e">
        <f>IF(SchmidtTheory!AJ151&gt;ActuatorSIZING!$G$44,SchmidtTheory!AJ151,"")</f>
        <v>#VALUE!</v>
      </c>
      <c r="AK53" s="85" t="e">
        <f>IF(SchmidtTheory!AK151&gt;ActuatorSIZING!$G$44,SchmidtTheory!AK151,"")</f>
        <v>#VALUE!</v>
      </c>
      <c r="AL53" s="85" t="e">
        <f>IF(SchmidtTheory!AL151&gt;ActuatorSIZING!$G$44,SchmidtTheory!AL151,"")</f>
        <v>#VALUE!</v>
      </c>
      <c r="AM53" s="85" t="e">
        <f>IF(SchmidtTheory!AM151&gt;ActuatorSIZING!$G$44,SchmidtTheory!AM151,"")</f>
        <v>#VALUE!</v>
      </c>
      <c r="AN53" s="85" t="e">
        <f>IF(SchmidtTheory!AN151&gt;ActuatorSIZING!$G$44,SchmidtTheory!AN151,"")</f>
        <v>#VALUE!</v>
      </c>
      <c r="AO53" s="85" t="e">
        <f>IF(SchmidtTheory!AO151&gt;ActuatorSIZING!$G$44,SchmidtTheory!AO151,"")</f>
        <v>#VALUE!</v>
      </c>
      <c r="AP53" s="85" t="e">
        <f>IF(SchmidtTheory!AP151&gt;ActuatorSIZING!$G$44,SchmidtTheory!AP151,"")</f>
        <v>#VALUE!</v>
      </c>
      <c r="AQ53" s="85" t="e">
        <f>IF(SchmidtTheory!AQ151&gt;ActuatorSIZING!$G$44,SchmidtTheory!AQ151,"")</f>
        <v>#VALUE!</v>
      </c>
      <c r="AR53" s="85" t="e">
        <f>IF(SchmidtTheory!AR151&gt;ActuatorSIZING!$G$44,SchmidtTheory!AR151,"")</f>
        <v>#VALUE!</v>
      </c>
      <c r="AS53" s="85" t="e">
        <f>IF(SchmidtTheory!AS151&gt;ActuatorSIZING!$G$44,SchmidtTheory!AS151,"")</f>
        <v>#VALUE!</v>
      </c>
      <c r="AT53" s="85" t="e">
        <f>IF(SchmidtTheory!AT151&gt;ActuatorSIZING!$G$44,SchmidtTheory!AT151,"")</f>
        <v>#VALUE!</v>
      </c>
      <c r="AU53" s="85" t="e">
        <f>IF(SchmidtTheory!AU151&gt;ActuatorSIZING!$G$44,SchmidtTheory!AU151,"")</f>
        <v>#VALUE!</v>
      </c>
      <c r="AV53" s="85" t="e">
        <f>IF(SchmidtTheory!AV151&gt;ActuatorSIZING!$G$44,SchmidtTheory!AV151,"")</f>
        <v>#VALUE!</v>
      </c>
      <c r="AW53" s="96">
        <v>3000</v>
      </c>
      <c r="AX53" s="93" t="e">
        <f>IF(AW53&gt;ActuatorSIZING!$G$44,SchmidtTheory!AW53,"")</f>
        <v>#VALUE!</v>
      </c>
      <c r="AY53" s="95" t="str">
        <f>IF(SELECTION!$P$46=SchmidtTheory!G53,SchmidtTheory!AX53,"")</f>
        <v/>
      </c>
      <c r="AZ53" s="93" t="str">
        <f>IF(SELECTION!$AJ$24&gt;(I53+0.3),SchmidtTheory!AY53,"")</f>
        <v/>
      </c>
      <c r="BA53" s="103" t="s">
        <v>148</v>
      </c>
      <c r="BB53" s="93" t="e">
        <f t="shared" si="3"/>
        <v>#VALUE!</v>
      </c>
      <c r="BC53" s="93" t="str">
        <f>IF(SELECTION!$P$46=SchmidtTheory!G53,SchmidtTheory!BB53,"")</f>
        <v/>
      </c>
      <c r="BD53" s="93" t="str">
        <f>IF(SELECTION!$AJ$24&gt;(I53+0.3),SchmidtTheory!BC53,"")</f>
        <v/>
      </c>
      <c r="BE53" s="93" t="b">
        <f t="shared" si="2"/>
        <v>0</v>
      </c>
      <c r="BF53" s="103" t="s">
        <v>148</v>
      </c>
    </row>
    <row r="54" spans="2:58" x14ac:dyDescent="0.2">
      <c r="F54" s="589"/>
      <c r="G54" s="598"/>
      <c r="H54" s="102">
        <v>0.4</v>
      </c>
      <c r="I54" s="101">
        <v>2</v>
      </c>
      <c r="J54" s="100">
        <v>2.4</v>
      </c>
      <c r="K54" s="99">
        <v>6000</v>
      </c>
      <c r="L54" s="98">
        <v>6</v>
      </c>
      <c r="M54" s="97">
        <v>60000</v>
      </c>
      <c r="N54" s="85" t="e">
        <f>IF(SchmidtTheory!N152&gt;ActuatorSIZING!$G$44,SchmidtTheory!N152,"")</f>
        <v>#VALUE!</v>
      </c>
      <c r="O54" s="85" t="e">
        <f>IF(SchmidtTheory!O152&gt;ActuatorSIZING!$G$44,SchmidtTheory!O152,"")</f>
        <v>#VALUE!</v>
      </c>
      <c r="P54" s="85" t="e">
        <f>IF(SchmidtTheory!P152&gt;ActuatorSIZING!$G$44,SchmidtTheory!P152,"")</f>
        <v>#VALUE!</v>
      </c>
      <c r="Q54" s="85" t="e">
        <f>IF(SchmidtTheory!Q152&gt;ActuatorSIZING!$G$44,SchmidtTheory!Q152,"")</f>
        <v>#VALUE!</v>
      </c>
      <c r="R54" s="85" t="e">
        <f>IF(SchmidtTheory!R152&gt;ActuatorSIZING!$G$44,SchmidtTheory!R152,"")</f>
        <v>#VALUE!</v>
      </c>
      <c r="S54" s="85" t="e">
        <f>IF(SchmidtTheory!S152&gt;ActuatorSIZING!$G$44,SchmidtTheory!S152,"")</f>
        <v>#VALUE!</v>
      </c>
      <c r="T54" s="85" t="e">
        <f>IF(SchmidtTheory!T152&gt;ActuatorSIZING!$G$44,SchmidtTheory!T152,"")</f>
        <v>#VALUE!</v>
      </c>
      <c r="U54" s="85" t="e">
        <f>IF(SchmidtTheory!U152&gt;ActuatorSIZING!$G$44,SchmidtTheory!U152,"")</f>
        <v>#VALUE!</v>
      </c>
      <c r="V54" s="85" t="e">
        <f>IF(SchmidtTheory!V152&gt;ActuatorSIZING!$G$44,SchmidtTheory!V152,"")</f>
        <v>#VALUE!</v>
      </c>
      <c r="W54" s="85" t="e">
        <f>IF(SchmidtTheory!W152&gt;ActuatorSIZING!$G$44,SchmidtTheory!W152,"")</f>
        <v>#VALUE!</v>
      </c>
      <c r="X54" s="85" t="e">
        <f>IF(SchmidtTheory!X152&gt;ActuatorSIZING!$G$44,SchmidtTheory!X152,"")</f>
        <v>#VALUE!</v>
      </c>
      <c r="Y54" s="85" t="e">
        <f>IF(SchmidtTheory!Y152&gt;ActuatorSIZING!$G$44,SchmidtTheory!Y152,"")</f>
        <v>#VALUE!</v>
      </c>
      <c r="Z54" s="85" t="e">
        <f>IF(SchmidtTheory!Z152&gt;ActuatorSIZING!$G$44,SchmidtTheory!Z152,"")</f>
        <v>#VALUE!</v>
      </c>
      <c r="AA54" s="85" t="e">
        <f>IF(SchmidtTheory!AA152&gt;ActuatorSIZING!$G$44,SchmidtTheory!AA152,"")</f>
        <v>#VALUE!</v>
      </c>
      <c r="AB54" s="85" t="e">
        <f>IF(SchmidtTheory!AB152&gt;ActuatorSIZING!$G$44,SchmidtTheory!AB152,"")</f>
        <v>#VALUE!</v>
      </c>
      <c r="AC54" s="85" t="e">
        <f>IF(SchmidtTheory!AC152&gt;ActuatorSIZING!$G$44,SchmidtTheory!AC152,"")</f>
        <v>#VALUE!</v>
      </c>
      <c r="AD54" s="85" t="e">
        <f>IF(SchmidtTheory!AD152&gt;ActuatorSIZING!$G$44,SchmidtTheory!AD152,"")</f>
        <v>#VALUE!</v>
      </c>
      <c r="AE54" s="85" t="e">
        <f>IF(SchmidtTheory!AE152&gt;ActuatorSIZING!$G$44,SchmidtTheory!AE152,"")</f>
        <v>#VALUE!</v>
      </c>
      <c r="AF54" s="85" t="e">
        <f>IF(SchmidtTheory!AF152&gt;ActuatorSIZING!$G$44,SchmidtTheory!AF152,"")</f>
        <v>#VALUE!</v>
      </c>
      <c r="AG54" s="85" t="e">
        <f>IF(SchmidtTheory!AG152&gt;ActuatorSIZING!$G$44,SchmidtTheory!AG152,"")</f>
        <v>#VALUE!</v>
      </c>
      <c r="AH54" s="85" t="e">
        <f>IF(SchmidtTheory!AH152&gt;ActuatorSIZING!$G$44,SchmidtTheory!AH152,"")</f>
        <v>#VALUE!</v>
      </c>
      <c r="AI54" s="85" t="e">
        <f>IF(SchmidtTheory!AI152&gt;ActuatorSIZING!$G$44,SchmidtTheory!AI152,"")</f>
        <v>#VALUE!</v>
      </c>
      <c r="AJ54" s="85" t="e">
        <f>IF(SchmidtTheory!AJ152&gt;ActuatorSIZING!$G$44,SchmidtTheory!AJ152,"")</f>
        <v>#VALUE!</v>
      </c>
      <c r="AK54" s="85" t="e">
        <f>IF(SchmidtTheory!AK152&gt;ActuatorSIZING!$G$44,SchmidtTheory!AK152,"")</f>
        <v>#VALUE!</v>
      </c>
      <c r="AL54" s="85" t="e">
        <f>IF(SchmidtTheory!AL152&gt;ActuatorSIZING!$G$44,SchmidtTheory!AL152,"")</f>
        <v>#VALUE!</v>
      </c>
      <c r="AM54" s="85" t="e">
        <f>IF(SchmidtTheory!AM152&gt;ActuatorSIZING!$G$44,SchmidtTheory!AM152,"")</f>
        <v>#VALUE!</v>
      </c>
      <c r="AN54" s="85" t="e">
        <f>IF(SchmidtTheory!AN152&gt;ActuatorSIZING!$G$44,SchmidtTheory!AN152,"")</f>
        <v>#VALUE!</v>
      </c>
      <c r="AO54" s="85" t="e">
        <f>IF(SchmidtTheory!AO152&gt;ActuatorSIZING!$G$44,SchmidtTheory!AO152,"")</f>
        <v>#VALUE!</v>
      </c>
      <c r="AP54" s="85" t="e">
        <f>IF(SchmidtTheory!AP152&gt;ActuatorSIZING!$G$44,SchmidtTheory!AP152,"")</f>
        <v>#VALUE!</v>
      </c>
      <c r="AQ54" s="85" t="e">
        <f>IF(SchmidtTheory!AQ152&gt;ActuatorSIZING!$G$44,SchmidtTheory!AQ152,"")</f>
        <v>#VALUE!</v>
      </c>
      <c r="AR54" s="85" t="e">
        <f>IF(SchmidtTheory!AR152&gt;ActuatorSIZING!$G$44,SchmidtTheory!AR152,"")</f>
        <v>#VALUE!</v>
      </c>
      <c r="AS54" s="85" t="e">
        <f>IF(SchmidtTheory!AS152&gt;ActuatorSIZING!$G$44,SchmidtTheory!AS152,"")</f>
        <v>#VALUE!</v>
      </c>
      <c r="AT54" s="85" t="e">
        <f>IF(SchmidtTheory!AT152&gt;ActuatorSIZING!$G$44,SchmidtTheory!AT152,"")</f>
        <v>#VALUE!</v>
      </c>
      <c r="AU54" s="85" t="e">
        <f>IF(SchmidtTheory!AU152&gt;ActuatorSIZING!$G$44,SchmidtTheory!AU152,"")</f>
        <v>#VALUE!</v>
      </c>
      <c r="AV54" s="85" t="e">
        <f>IF(SchmidtTheory!AV152&gt;ActuatorSIZING!$G$44,SchmidtTheory!AV152,"")</f>
        <v>#VALUE!</v>
      </c>
      <c r="AW54" s="96">
        <v>6000</v>
      </c>
      <c r="AX54" s="93" t="e">
        <f>IF(AW54&gt;ActuatorSIZING!$G$44,SchmidtTheory!AW54,"")</f>
        <v>#VALUE!</v>
      </c>
      <c r="AY54" s="95" t="str">
        <f>IF(SELECTION!$P$46=SchmidtTheory!G53,SchmidtTheory!AX54,"")</f>
        <v/>
      </c>
      <c r="AZ54" s="93" t="str">
        <f>IF(SELECTION!$AJ$24&gt;(I54+0.3),SchmidtTheory!AY54,"")</f>
        <v/>
      </c>
      <c r="BA54" s="103" t="s">
        <v>146</v>
      </c>
      <c r="BB54" s="93" t="e">
        <f t="shared" si="3"/>
        <v>#VALUE!</v>
      </c>
      <c r="BC54" s="93" t="str">
        <f>IF(SELECTION!$P$46=SchmidtTheory!G53,SchmidtTheory!BB54,"")</f>
        <v/>
      </c>
      <c r="BD54" s="93" t="str">
        <f>IF(SELECTION!$AJ$24&gt;(I54+0.3),SchmidtTheory!BC54,"")</f>
        <v/>
      </c>
      <c r="BE54" s="93" t="b">
        <f t="shared" si="2"/>
        <v>0</v>
      </c>
      <c r="BF54" s="103" t="s">
        <v>146</v>
      </c>
    </row>
    <row r="55" spans="2:58" x14ac:dyDescent="0.2">
      <c r="B55" s="42" t="s">
        <v>149</v>
      </c>
      <c r="F55" s="589"/>
      <c r="G55" s="598"/>
      <c r="H55" s="102">
        <v>0.75</v>
      </c>
      <c r="I55" s="101">
        <v>1.4</v>
      </c>
      <c r="J55" s="100">
        <v>2.2000000000000002</v>
      </c>
      <c r="K55" s="99">
        <v>11250</v>
      </c>
      <c r="L55" s="98">
        <v>5.4</v>
      </c>
      <c r="M55" s="97">
        <v>60000</v>
      </c>
      <c r="N55" s="85" t="e">
        <f>IF(SchmidtTheory!N153&gt;ActuatorSIZING!$G$44,SchmidtTheory!N153,"")</f>
        <v>#VALUE!</v>
      </c>
      <c r="O55" s="85" t="e">
        <f>IF(SchmidtTheory!O153&gt;ActuatorSIZING!$G$44,SchmidtTheory!O153,"")</f>
        <v>#VALUE!</v>
      </c>
      <c r="P55" s="85" t="e">
        <f>IF(SchmidtTheory!P153&gt;ActuatorSIZING!$G$44,SchmidtTheory!P153,"")</f>
        <v>#VALUE!</v>
      </c>
      <c r="Q55" s="85" t="e">
        <f>IF(SchmidtTheory!Q153&gt;ActuatorSIZING!$G$44,SchmidtTheory!Q153,"")</f>
        <v>#VALUE!</v>
      </c>
      <c r="R55" s="85" t="e">
        <f>IF(SchmidtTheory!R153&gt;ActuatorSIZING!$G$44,SchmidtTheory!R153,"")</f>
        <v>#VALUE!</v>
      </c>
      <c r="S55" s="85" t="e">
        <f>IF(SchmidtTheory!S153&gt;ActuatorSIZING!$G$44,SchmidtTheory!S153,"")</f>
        <v>#VALUE!</v>
      </c>
      <c r="T55" s="85" t="e">
        <f>IF(SchmidtTheory!T153&gt;ActuatorSIZING!$G$44,SchmidtTheory!T153,"")</f>
        <v>#VALUE!</v>
      </c>
      <c r="U55" s="85" t="e">
        <f>IF(SchmidtTheory!U153&gt;ActuatorSIZING!$G$44,SchmidtTheory!U153,"")</f>
        <v>#VALUE!</v>
      </c>
      <c r="V55" s="85" t="e">
        <f>IF(SchmidtTheory!V153&gt;ActuatorSIZING!$G$44,SchmidtTheory!V153,"")</f>
        <v>#VALUE!</v>
      </c>
      <c r="W55" s="85" t="e">
        <f>IF(SchmidtTheory!W153&gt;ActuatorSIZING!$G$44,SchmidtTheory!W153,"")</f>
        <v>#VALUE!</v>
      </c>
      <c r="X55" s="85" t="e">
        <f>IF(SchmidtTheory!X153&gt;ActuatorSIZING!$G$44,SchmidtTheory!X153,"")</f>
        <v>#VALUE!</v>
      </c>
      <c r="Y55" s="85" t="e">
        <f>IF(SchmidtTheory!Y153&gt;ActuatorSIZING!$G$44,SchmidtTheory!Y153,"")</f>
        <v>#VALUE!</v>
      </c>
      <c r="Z55" s="85" t="e">
        <f>IF(SchmidtTheory!Z153&gt;ActuatorSIZING!$G$44,SchmidtTheory!Z153,"")</f>
        <v>#VALUE!</v>
      </c>
      <c r="AA55" s="85" t="e">
        <f>IF(SchmidtTheory!AA153&gt;ActuatorSIZING!$G$44,SchmidtTheory!AA153,"")</f>
        <v>#VALUE!</v>
      </c>
      <c r="AB55" s="85" t="e">
        <f>IF(SchmidtTheory!AB153&gt;ActuatorSIZING!$G$44,SchmidtTheory!AB153,"")</f>
        <v>#VALUE!</v>
      </c>
      <c r="AC55" s="85" t="e">
        <f>IF(SchmidtTheory!AC153&gt;ActuatorSIZING!$G$44,SchmidtTheory!AC153,"")</f>
        <v>#VALUE!</v>
      </c>
      <c r="AD55" s="85" t="e">
        <f>IF(SchmidtTheory!AD153&gt;ActuatorSIZING!$G$44,SchmidtTheory!AD153,"")</f>
        <v>#VALUE!</v>
      </c>
      <c r="AE55" s="85" t="e">
        <f>IF(SchmidtTheory!AE153&gt;ActuatorSIZING!$G$44,SchmidtTheory!AE153,"")</f>
        <v>#VALUE!</v>
      </c>
      <c r="AF55" s="85" t="e">
        <f>IF(SchmidtTheory!AF153&gt;ActuatorSIZING!$G$44,SchmidtTheory!AF153,"")</f>
        <v>#VALUE!</v>
      </c>
      <c r="AG55" s="85" t="e">
        <f>IF(SchmidtTheory!AG153&gt;ActuatorSIZING!$G$44,SchmidtTheory!AG153,"")</f>
        <v>#VALUE!</v>
      </c>
      <c r="AH55" s="85" t="e">
        <f>IF(SchmidtTheory!AH153&gt;ActuatorSIZING!$G$44,SchmidtTheory!AH153,"")</f>
        <v>#VALUE!</v>
      </c>
      <c r="AI55" s="85" t="e">
        <f>IF(SchmidtTheory!AI153&gt;ActuatorSIZING!$G$44,SchmidtTheory!AI153,"")</f>
        <v>#VALUE!</v>
      </c>
      <c r="AJ55" s="85" t="e">
        <f>IF(SchmidtTheory!AJ153&gt;ActuatorSIZING!$G$44,SchmidtTheory!AJ153,"")</f>
        <v>#VALUE!</v>
      </c>
      <c r="AK55" s="85" t="e">
        <f>IF(SchmidtTheory!AK153&gt;ActuatorSIZING!$G$44,SchmidtTheory!AK153,"")</f>
        <v>#VALUE!</v>
      </c>
      <c r="AL55" s="85" t="e">
        <f>IF(SchmidtTheory!AL153&gt;ActuatorSIZING!$G$44,SchmidtTheory!AL153,"")</f>
        <v>#VALUE!</v>
      </c>
      <c r="AM55" s="85" t="e">
        <f>IF(SchmidtTheory!AM153&gt;ActuatorSIZING!$G$44,SchmidtTheory!AM153,"")</f>
        <v>#VALUE!</v>
      </c>
      <c r="AN55" s="85" t="e">
        <f>IF(SchmidtTheory!AN153&gt;ActuatorSIZING!$G$44,SchmidtTheory!AN153,"")</f>
        <v>#VALUE!</v>
      </c>
      <c r="AO55" s="85" t="e">
        <f>IF(SchmidtTheory!AO153&gt;ActuatorSIZING!$G$44,SchmidtTheory!AO153,"")</f>
        <v>#VALUE!</v>
      </c>
      <c r="AP55" s="85" t="e">
        <f>IF(SchmidtTheory!AP153&gt;ActuatorSIZING!$G$44,SchmidtTheory!AP153,"")</f>
        <v>#VALUE!</v>
      </c>
      <c r="AQ55" s="85" t="e">
        <f>IF(SchmidtTheory!AQ153&gt;ActuatorSIZING!$G$44,SchmidtTheory!AQ153,"")</f>
        <v>#VALUE!</v>
      </c>
      <c r="AR55" s="85" t="e">
        <f>IF(SchmidtTheory!AR153&gt;ActuatorSIZING!$G$44,SchmidtTheory!AR153,"")</f>
        <v>#VALUE!</v>
      </c>
      <c r="AS55" s="85" t="e">
        <f>IF(SchmidtTheory!AS153&gt;ActuatorSIZING!$G$44,SchmidtTheory!AS153,"")</f>
        <v>#VALUE!</v>
      </c>
      <c r="AT55" s="85" t="e">
        <f>IF(SchmidtTheory!AT153&gt;ActuatorSIZING!$G$44,SchmidtTheory!AT153,"")</f>
        <v>#VALUE!</v>
      </c>
      <c r="AU55" s="85" t="e">
        <f>IF(SchmidtTheory!AU153&gt;ActuatorSIZING!$G$44,SchmidtTheory!AU153,"")</f>
        <v>#VALUE!</v>
      </c>
      <c r="AV55" s="85" t="e">
        <f>IF(SchmidtTheory!AV153&gt;ActuatorSIZING!$G$44,SchmidtTheory!AV153,"")</f>
        <v>#VALUE!</v>
      </c>
      <c r="AW55" s="96">
        <v>11250</v>
      </c>
      <c r="AX55" s="93" t="e">
        <f>IF(AW55&gt;ActuatorSIZING!$G$44,SchmidtTheory!AW55,"")</f>
        <v>#VALUE!</v>
      </c>
      <c r="AY55" s="95" t="str">
        <f>IF(SELECTION!$P$46=SchmidtTheory!G53,SchmidtTheory!AX55,"")</f>
        <v/>
      </c>
      <c r="AZ55" s="93" t="str">
        <f>IF(SELECTION!$AJ$24&gt;(I55+0.3),SchmidtTheory!AY55,"")</f>
        <v/>
      </c>
      <c r="BA55" s="103" t="s">
        <v>145</v>
      </c>
      <c r="BB55" s="93" t="e">
        <f t="shared" si="3"/>
        <v>#VALUE!</v>
      </c>
      <c r="BC55" s="93" t="str">
        <f>IF(SELECTION!$P$46=SchmidtTheory!G53,SchmidtTheory!BB55,"")</f>
        <v/>
      </c>
      <c r="BD55" s="93" t="str">
        <f>IF(SELECTION!$AJ$24&gt;(I55+0.3),SchmidtTheory!BC55,"")</f>
        <v/>
      </c>
      <c r="BE55" s="93" t="b">
        <f t="shared" si="2"/>
        <v>0</v>
      </c>
      <c r="BF55" s="103" t="s">
        <v>145</v>
      </c>
    </row>
    <row r="56" spans="2:58" x14ac:dyDescent="0.2">
      <c r="B56" s="42" t="s">
        <v>147</v>
      </c>
      <c r="F56" s="589"/>
      <c r="G56" s="598"/>
      <c r="H56" s="102">
        <v>1.5</v>
      </c>
      <c r="I56" s="101">
        <v>2.7</v>
      </c>
      <c r="J56" s="100">
        <v>4.2</v>
      </c>
      <c r="K56" s="99">
        <v>22500</v>
      </c>
      <c r="L56" s="98">
        <v>6</v>
      </c>
      <c r="M56" s="97">
        <v>49500</v>
      </c>
      <c r="N56" s="85" t="e">
        <f>IF(SchmidtTheory!N154&gt;ActuatorSIZING!$G$44,SchmidtTheory!N154,"")</f>
        <v>#VALUE!</v>
      </c>
      <c r="O56" s="85" t="e">
        <f>IF(SchmidtTheory!O154&gt;ActuatorSIZING!$G$44,SchmidtTheory!O154,"")</f>
        <v>#VALUE!</v>
      </c>
      <c r="P56" s="85" t="e">
        <f>IF(SchmidtTheory!P154&gt;ActuatorSIZING!$G$44,SchmidtTheory!P154,"")</f>
        <v>#VALUE!</v>
      </c>
      <c r="Q56" s="85" t="e">
        <f>IF(SchmidtTheory!Q154&gt;ActuatorSIZING!$G$44,SchmidtTheory!Q154,"")</f>
        <v>#VALUE!</v>
      </c>
      <c r="R56" s="85" t="e">
        <f>IF(SchmidtTheory!R154&gt;ActuatorSIZING!$G$44,SchmidtTheory!R154,"")</f>
        <v>#VALUE!</v>
      </c>
      <c r="S56" s="85" t="e">
        <f>IF(SchmidtTheory!S154&gt;ActuatorSIZING!$G$44,SchmidtTheory!S154,"")</f>
        <v>#VALUE!</v>
      </c>
      <c r="T56" s="85" t="e">
        <f>IF(SchmidtTheory!T154&gt;ActuatorSIZING!$G$44,SchmidtTheory!T154,"")</f>
        <v>#VALUE!</v>
      </c>
      <c r="U56" s="85" t="e">
        <f>IF(SchmidtTheory!U154&gt;ActuatorSIZING!$G$44,SchmidtTheory!U154,"")</f>
        <v>#VALUE!</v>
      </c>
      <c r="V56" s="85" t="e">
        <f>IF(SchmidtTheory!V154&gt;ActuatorSIZING!$G$44,SchmidtTheory!V154,"")</f>
        <v>#VALUE!</v>
      </c>
      <c r="W56" s="85" t="e">
        <f>IF(SchmidtTheory!W154&gt;ActuatorSIZING!$G$44,SchmidtTheory!W154,"")</f>
        <v>#VALUE!</v>
      </c>
      <c r="X56" s="85" t="e">
        <f>IF(SchmidtTheory!X154&gt;ActuatorSIZING!$G$44,SchmidtTheory!X154,"")</f>
        <v>#VALUE!</v>
      </c>
      <c r="Y56" s="85" t="e">
        <f>IF(SchmidtTheory!Y154&gt;ActuatorSIZING!$G$44,SchmidtTheory!Y154,"")</f>
        <v>#VALUE!</v>
      </c>
      <c r="Z56" s="85" t="e">
        <f>IF(SchmidtTheory!Z154&gt;ActuatorSIZING!$G$44,SchmidtTheory!Z154,"")</f>
        <v>#VALUE!</v>
      </c>
      <c r="AA56" s="85" t="e">
        <f>IF(SchmidtTheory!AA154&gt;ActuatorSIZING!$G$44,SchmidtTheory!AA154,"")</f>
        <v>#VALUE!</v>
      </c>
      <c r="AB56" s="85" t="e">
        <f>IF(SchmidtTheory!AB154&gt;ActuatorSIZING!$G$44,SchmidtTheory!AB154,"")</f>
        <v>#VALUE!</v>
      </c>
      <c r="AC56" s="85" t="e">
        <f>IF(SchmidtTheory!AC154&gt;ActuatorSIZING!$G$44,SchmidtTheory!AC154,"")</f>
        <v>#VALUE!</v>
      </c>
      <c r="AD56" s="85" t="e">
        <f>IF(SchmidtTheory!AD154&gt;ActuatorSIZING!$G$44,SchmidtTheory!AD154,"")</f>
        <v>#VALUE!</v>
      </c>
      <c r="AE56" s="85" t="e">
        <f>IF(SchmidtTheory!AE154&gt;ActuatorSIZING!$G$44,SchmidtTheory!AE154,"")</f>
        <v>#VALUE!</v>
      </c>
      <c r="AF56" s="85" t="e">
        <f>IF(SchmidtTheory!AF154&gt;ActuatorSIZING!$G$44,SchmidtTheory!AF154,"")</f>
        <v>#VALUE!</v>
      </c>
      <c r="AG56" s="85" t="e">
        <f>IF(SchmidtTheory!AG154&gt;ActuatorSIZING!$G$44,SchmidtTheory!AG154,"")</f>
        <v>#VALUE!</v>
      </c>
      <c r="AH56" s="85" t="e">
        <f>IF(SchmidtTheory!AH154&gt;ActuatorSIZING!$G$44,SchmidtTheory!AH154,"")</f>
        <v>#VALUE!</v>
      </c>
      <c r="AI56" s="85" t="e">
        <f>IF(SchmidtTheory!AI154&gt;ActuatorSIZING!$G$44,SchmidtTheory!AI154,"")</f>
        <v>#VALUE!</v>
      </c>
      <c r="AJ56" s="85" t="e">
        <f>IF(SchmidtTheory!AJ154&gt;ActuatorSIZING!$G$44,SchmidtTheory!AJ154,"")</f>
        <v>#VALUE!</v>
      </c>
      <c r="AK56" s="85" t="e">
        <f>IF(SchmidtTheory!AK154&gt;ActuatorSIZING!$G$44,SchmidtTheory!AK154,"")</f>
        <v>#VALUE!</v>
      </c>
      <c r="AL56" s="85" t="e">
        <f>IF(SchmidtTheory!AL154&gt;ActuatorSIZING!$G$44,SchmidtTheory!AL154,"")</f>
        <v>#VALUE!</v>
      </c>
      <c r="AM56" s="85" t="e">
        <f>IF(SchmidtTheory!AM154&gt;ActuatorSIZING!$G$44,SchmidtTheory!AM154,"")</f>
        <v>#VALUE!</v>
      </c>
      <c r="AN56" s="85" t="e">
        <f>IF(SchmidtTheory!AN154&gt;ActuatorSIZING!$G$44,SchmidtTheory!AN154,"")</f>
        <v>#VALUE!</v>
      </c>
      <c r="AO56" s="85" t="e">
        <f>IF(SchmidtTheory!AO154&gt;ActuatorSIZING!$G$44,SchmidtTheory!AO154,"")</f>
        <v>#VALUE!</v>
      </c>
      <c r="AP56" s="85" t="e">
        <f>IF(SchmidtTheory!AP154&gt;ActuatorSIZING!$G$44,SchmidtTheory!AP154,"")</f>
        <v>#VALUE!</v>
      </c>
      <c r="AQ56" s="85" t="e">
        <f>IF(SchmidtTheory!AQ154&gt;ActuatorSIZING!$G$44,SchmidtTheory!AQ154,"")</f>
        <v>#VALUE!</v>
      </c>
      <c r="AR56" s="85" t="e">
        <f>IF(SchmidtTheory!AR154&gt;ActuatorSIZING!$G$44,SchmidtTheory!AR154,"")</f>
        <v>#VALUE!</v>
      </c>
      <c r="AS56" s="85" t="e">
        <f>IF(SchmidtTheory!AS154&gt;ActuatorSIZING!$G$44,SchmidtTheory!AS154,"")</f>
        <v>#VALUE!</v>
      </c>
      <c r="AT56" s="85" t="e">
        <f>IF(SchmidtTheory!AT154&gt;ActuatorSIZING!$G$44,SchmidtTheory!AT154,"")</f>
        <v>#VALUE!</v>
      </c>
      <c r="AU56" s="85" t="e">
        <f>IF(SchmidtTheory!AU154&gt;ActuatorSIZING!$G$44,SchmidtTheory!AU154,"")</f>
        <v>#VALUE!</v>
      </c>
      <c r="AV56" s="85" t="e">
        <f>IF(SchmidtTheory!AV154&gt;ActuatorSIZING!$G$44,SchmidtTheory!AV154,"")</f>
        <v>#VALUE!</v>
      </c>
      <c r="AW56" s="96">
        <v>22500</v>
      </c>
      <c r="AX56" s="93" t="e">
        <f>IF(AW56&gt;ActuatorSIZING!$G$44,SchmidtTheory!AW56,"")</f>
        <v>#VALUE!</v>
      </c>
      <c r="AY56" s="95" t="str">
        <f>IF(SELECTION!$P$46=SchmidtTheory!G53,SchmidtTheory!AX56,"")</f>
        <v/>
      </c>
      <c r="AZ56" s="93" t="str">
        <f>IF(SELECTION!$AJ$24&gt;(I56+0.3),SchmidtTheory!AY56,"")</f>
        <v/>
      </c>
      <c r="BA56" s="103" t="s">
        <v>143</v>
      </c>
      <c r="BB56" s="93" t="e">
        <f t="shared" si="3"/>
        <v>#VALUE!</v>
      </c>
      <c r="BC56" s="93" t="str">
        <f>IF(SELECTION!$P$46=SchmidtTheory!G53,SchmidtTheory!BB56,"")</f>
        <v/>
      </c>
      <c r="BD56" s="93" t="str">
        <f>IF(SELECTION!$AJ$24&gt;(I56+0.3),SchmidtTheory!BC56,"")</f>
        <v/>
      </c>
      <c r="BE56" s="93" t="b">
        <f t="shared" si="2"/>
        <v>0</v>
      </c>
      <c r="BF56" s="103" t="s">
        <v>143</v>
      </c>
    </row>
    <row r="57" spans="2:58" x14ac:dyDescent="0.2">
      <c r="F57" s="589"/>
      <c r="G57" s="598"/>
      <c r="H57" s="102">
        <v>2</v>
      </c>
      <c r="I57" s="101">
        <v>3.5</v>
      </c>
      <c r="J57" s="100">
        <v>5.5</v>
      </c>
      <c r="K57" s="99">
        <v>30000</v>
      </c>
      <c r="L57" s="98">
        <v>6</v>
      </c>
      <c r="M57" s="97">
        <v>37500</v>
      </c>
      <c r="N57" s="85" t="e">
        <f>IF(SchmidtTheory!N155&gt;ActuatorSIZING!$G$44,SchmidtTheory!N155,"")</f>
        <v>#VALUE!</v>
      </c>
      <c r="O57" s="85" t="e">
        <f>IF(SchmidtTheory!O155&gt;ActuatorSIZING!$G$44,SchmidtTheory!O155,"")</f>
        <v>#VALUE!</v>
      </c>
      <c r="P57" s="85" t="e">
        <f>IF(SchmidtTheory!P155&gt;ActuatorSIZING!$G$44,SchmidtTheory!P155,"")</f>
        <v>#VALUE!</v>
      </c>
      <c r="Q57" s="85" t="e">
        <f>IF(SchmidtTheory!Q155&gt;ActuatorSIZING!$G$44,SchmidtTheory!Q155,"")</f>
        <v>#VALUE!</v>
      </c>
      <c r="R57" s="85" t="e">
        <f>IF(SchmidtTheory!R155&gt;ActuatorSIZING!$G$44,SchmidtTheory!R155,"")</f>
        <v>#VALUE!</v>
      </c>
      <c r="S57" s="85" t="e">
        <f>IF(SchmidtTheory!S155&gt;ActuatorSIZING!$G$44,SchmidtTheory!S155,"")</f>
        <v>#VALUE!</v>
      </c>
      <c r="T57" s="85" t="e">
        <f>IF(SchmidtTheory!T155&gt;ActuatorSIZING!$G$44,SchmidtTheory!T155,"")</f>
        <v>#VALUE!</v>
      </c>
      <c r="U57" s="85" t="e">
        <f>IF(SchmidtTheory!U155&gt;ActuatorSIZING!$G$44,SchmidtTheory!U155,"")</f>
        <v>#VALUE!</v>
      </c>
      <c r="V57" s="85" t="e">
        <f>IF(SchmidtTheory!V155&gt;ActuatorSIZING!$G$44,SchmidtTheory!V155,"")</f>
        <v>#VALUE!</v>
      </c>
      <c r="W57" s="85" t="e">
        <f>IF(SchmidtTheory!W155&gt;ActuatorSIZING!$G$44,SchmidtTheory!W155,"")</f>
        <v>#VALUE!</v>
      </c>
      <c r="X57" s="85" t="e">
        <f>IF(SchmidtTheory!X155&gt;ActuatorSIZING!$G$44,SchmidtTheory!X155,"")</f>
        <v>#VALUE!</v>
      </c>
      <c r="Y57" s="85" t="e">
        <f>IF(SchmidtTheory!Y155&gt;ActuatorSIZING!$G$44,SchmidtTheory!Y155,"")</f>
        <v>#VALUE!</v>
      </c>
      <c r="Z57" s="85" t="e">
        <f>IF(SchmidtTheory!Z155&gt;ActuatorSIZING!$G$44,SchmidtTheory!Z155,"")</f>
        <v>#VALUE!</v>
      </c>
      <c r="AA57" s="85" t="e">
        <f>IF(SchmidtTheory!AA155&gt;ActuatorSIZING!$G$44,SchmidtTheory!AA155,"")</f>
        <v>#VALUE!</v>
      </c>
      <c r="AB57" s="85" t="e">
        <f>IF(SchmidtTheory!AB155&gt;ActuatorSIZING!$G$44,SchmidtTheory!AB155,"")</f>
        <v>#VALUE!</v>
      </c>
      <c r="AC57" s="85" t="e">
        <f>IF(SchmidtTheory!AC155&gt;ActuatorSIZING!$G$44,SchmidtTheory!AC155,"")</f>
        <v>#VALUE!</v>
      </c>
      <c r="AD57" s="85" t="e">
        <f>IF(SchmidtTheory!AD155&gt;ActuatorSIZING!$G$44,SchmidtTheory!AD155,"")</f>
        <v>#VALUE!</v>
      </c>
      <c r="AE57" s="85" t="e">
        <f>IF(SchmidtTheory!AE155&gt;ActuatorSIZING!$G$44,SchmidtTheory!AE155,"")</f>
        <v>#VALUE!</v>
      </c>
      <c r="AF57" s="85" t="e">
        <f>IF(SchmidtTheory!AF155&gt;ActuatorSIZING!$G$44,SchmidtTheory!AF155,"")</f>
        <v>#VALUE!</v>
      </c>
      <c r="AG57" s="85" t="e">
        <f>IF(SchmidtTheory!AG155&gt;ActuatorSIZING!$G$44,SchmidtTheory!AG155,"")</f>
        <v>#VALUE!</v>
      </c>
      <c r="AH57" s="85" t="e">
        <f>IF(SchmidtTheory!AH155&gt;ActuatorSIZING!$G$44,SchmidtTheory!AH155,"")</f>
        <v>#VALUE!</v>
      </c>
      <c r="AI57" s="85" t="e">
        <f>IF(SchmidtTheory!AI155&gt;ActuatorSIZING!$G$44,SchmidtTheory!AI155,"")</f>
        <v>#VALUE!</v>
      </c>
      <c r="AJ57" s="85" t="e">
        <f>IF(SchmidtTheory!AJ155&gt;ActuatorSIZING!$G$44,SchmidtTheory!AJ155,"")</f>
        <v>#VALUE!</v>
      </c>
      <c r="AK57" s="85" t="e">
        <f>IF(SchmidtTheory!AK155&gt;ActuatorSIZING!$G$44,SchmidtTheory!AK155,"")</f>
        <v>#VALUE!</v>
      </c>
      <c r="AL57" s="85" t="e">
        <f>IF(SchmidtTheory!AL155&gt;ActuatorSIZING!$G$44,SchmidtTheory!AL155,"")</f>
        <v>#VALUE!</v>
      </c>
      <c r="AM57" s="85" t="e">
        <f>IF(SchmidtTheory!AM155&gt;ActuatorSIZING!$G$44,SchmidtTheory!AM155,"")</f>
        <v>#VALUE!</v>
      </c>
      <c r="AN57" s="85" t="e">
        <f>IF(SchmidtTheory!AN155&gt;ActuatorSIZING!$G$44,SchmidtTheory!AN155,"")</f>
        <v>#VALUE!</v>
      </c>
      <c r="AO57" s="85" t="e">
        <f>IF(SchmidtTheory!AO155&gt;ActuatorSIZING!$G$44,SchmidtTheory!AO155,"")</f>
        <v>#VALUE!</v>
      </c>
      <c r="AP57" s="85" t="e">
        <f>IF(SchmidtTheory!AP155&gt;ActuatorSIZING!$G$44,SchmidtTheory!AP155,"")</f>
        <v>#VALUE!</v>
      </c>
      <c r="AQ57" s="85" t="e">
        <f>IF(SchmidtTheory!AQ155&gt;ActuatorSIZING!$G$44,SchmidtTheory!AQ155,"")</f>
        <v>#VALUE!</v>
      </c>
      <c r="AR57" s="85" t="e">
        <f>IF(SchmidtTheory!AR155&gt;ActuatorSIZING!$G$44,SchmidtTheory!AR155,"")</f>
        <v>#VALUE!</v>
      </c>
      <c r="AS57" s="85" t="e">
        <f>IF(SchmidtTheory!AS155&gt;ActuatorSIZING!$G$44,SchmidtTheory!AS155,"")</f>
        <v>#VALUE!</v>
      </c>
      <c r="AT57" s="85" t="e">
        <f>IF(SchmidtTheory!AT155&gt;ActuatorSIZING!$G$44,SchmidtTheory!AT155,"")</f>
        <v>#VALUE!</v>
      </c>
      <c r="AU57" s="85" t="e">
        <f>IF(SchmidtTheory!AU155&gt;ActuatorSIZING!$G$44,SchmidtTheory!AU155,"")</f>
        <v>#VALUE!</v>
      </c>
      <c r="AV57" s="85" t="e">
        <f>IF(SchmidtTheory!AV155&gt;ActuatorSIZING!$G$44,SchmidtTheory!AV155,"")</f>
        <v>#VALUE!</v>
      </c>
      <c r="AW57" s="96">
        <v>30000</v>
      </c>
      <c r="AX57" s="93" t="e">
        <f>IF(AW57&gt;ActuatorSIZING!$G$44,SchmidtTheory!AW57,"")</f>
        <v>#VALUE!</v>
      </c>
      <c r="AY57" s="95" t="str">
        <f>IF(SELECTION!$P$46=SchmidtTheory!G53,SchmidtTheory!AX57,"")</f>
        <v/>
      </c>
      <c r="AZ57" s="93" t="str">
        <f>IF(SELECTION!$AJ$24&gt;(I57+0.3),SchmidtTheory!AY57,"")</f>
        <v/>
      </c>
      <c r="BA57" s="103" t="s">
        <v>141</v>
      </c>
      <c r="BB57" s="93" t="e">
        <f t="shared" si="3"/>
        <v>#VALUE!</v>
      </c>
      <c r="BC57" s="93" t="str">
        <f>IF(SELECTION!$P$46=SchmidtTheory!G53,SchmidtTheory!BB57,"")</f>
        <v/>
      </c>
      <c r="BD57" s="93" t="str">
        <f>IF(SELECTION!$AJ$24&gt;(I57+0.3),SchmidtTheory!BC57,"")</f>
        <v/>
      </c>
      <c r="BE57" s="93" t="b">
        <f t="shared" si="2"/>
        <v>0</v>
      </c>
      <c r="BF57" s="103" t="s">
        <v>141</v>
      </c>
    </row>
    <row r="58" spans="2:58" x14ac:dyDescent="0.2">
      <c r="B58" s="42" t="s">
        <v>144</v>
      </c>
      <c r="F58" s="589"/>
      <c r="G58" s="598"/>
      <c r="H58" s="102">
        <v>2.6</v>
      </c>
      <c r="I58" s="101">
        <v>4.2</v>
      </c>
      <c r="J58" s="100"/>
      <c r="K58" s="99"/>
      <c r="L58" s="98">
        <v>6</v>
      </c>
      <c r="M58" s="97">
        <v>27000</v>
      </c>
      <c r="N58" s="85" t="e">
        <f>IF(SchmidtTheory!N156&gt;ActuatorSIZING!$G$44,SchmidtTheory!N156,"")</f>
        <v>#VALUE!</v>
      </c>
      <c r="O58" s="85" t="e">
        <f>IF(SchmidtTheory!O156&gt;ActuatorSIZING!$G$44,SchmidtTheory!O156,"")</f>
        <v>#VALUE!</v>
      </c>
      <c r="P58" s="85" t="e">
        <f>IF(SchmidtTheory!P156&gt;ActuatorSIZING!$G$44,SchmidtTheory!P156,"")</f>
        <v>#VALUE!</v>
      </c>
      <c r="Q58" s="85" t="e">
        <f>IF(SchmidtTheory!Q156&gt;ActuatorSIZING!$G$44,SchmidtTheory!Q156,"")</f>
        <v>#VALUE!</v>
      </c>
      <c r="R58" s="85" t="e">
        <f>IF(SchmidtTheory!R156&gt;ActuatorSIZING!$G$44,SchmidtTheory!R156,"")</f>
        <v>#VALUE!</v>
      </c>
      <c r="S58" s="85" t="e">
        <f>IF(SchmidtTheory!S156&gt;ActuatorSIZING!$G$44,SchmidtTheory!S156,"")</f>
        <v>#VALUE!</v>
      </c>
      <c r="T58" s="85" t="e">
        <f>IF(SchmidtTheory!T156&gt;ActuatorSIZING!$G$44,SchmidtTheory!T156,"")</f>
        <v>#VALUE!</v>
      </c>
      <c r="U58" s="85" t="e">
        <f>IF(SchmidtTheory!U156&gt;ActuatorSIZING!$G$44,SchmidtTheory!U156,"")</f>
        <v>#VALUE!</v>
      </c>
      <c r="V58" s="85" t="e">
        <f>IF(SchmidtTheory!V156&gt;ActuatorSIZING!$G$44,SchmidtTheory!V156,"")</f>
        <v>#VALUE!</v>
      </c>
      <c r="W58" s="85" t="e">
        <f>IF(SchmidtTheory!W156&gt;ActuatorSIZING!$G$44,SchmidtTheory!W156,"")</f>
        <v>#VALUE!</v>
      </c>
      <c r="X58" s="85" t="e">
        <f>IF(SchmidtTheory!X156&gt;ActuatorSIZING!$G$44,SchmidtTheory!X156,"")</f>
        <v>#VALUE!</v>
      </c>
      <c r="Y58" s="85" t="e">
        <f>IF(SchmidtTheory!Y156&gt;ActuatorSIZING!$G$44,SchmidtTheory!Y156,"")</f>
        <v>#VALUE!</v>
      </c>
      <c r="Z58" s="85" t="e">
        <f>IF(SchmidtTheory!Z156&gt;ActuatorSIZING!$G$44,SchmidtTheory!Z156,"")</f>
        <v>#VALUE!</v>
      </c>
      <c r="AA58" s="85" t="e">
        <f>IF(SchmidtTheory!AA156&gt;ActuatorSIZING!$G$44,SchmidtTheory!AA156,"")</f>
        <v>#VALUE!</v>
      </c>
      <c r="AB58" s="85" t="e">
        <f>IF(SchmidtTheory!AB156&gt;ActuatorSIZING!$G$44,SchmidtTheory!AB156,"")</f>
        <v>#VALUE!</v>
      </c>
      <c r="AC58" s="85" t="e">
        <f>IF(SchmidtTheory!AC156&gt;ActuatorSIZING!$G$44,SchmidtTheory!AC156,"")</f>
        <v>#VALUE!</v>
      </c>
      <c r="AD58" s="85" t="e">
        <f>IF(SchmidtTheory!AD156&gt;ActuatorSIZING!$G$44,SchmidtTheory!AD156,"")</f>
        <v>#VALUE!</v>
      </c>
      <c r="AE58" s="85" t="e">
        <f>IF(SchmidtTheory!AE156&gt;ActuatorSIZING!$G$44,SchmidtTheory!AE156,"")</f>
        <v>#VALUE!</v>
      </c>
      <c r="AF58" s="85" t="e">
        <f>IF(SchmidtTheory!AF156&gt;ActuatorSIZING!$G$44,SchmidtTheory!AF156,"")</f>
        <v>#VALUE!</v>
      </c>
      <c r="AG58" s="85" t="e">
        <f>IF(SchmidtTheory!AG156&gt;ActuatorSIZING!$G$44,SchmidtTheory!AG156,"")</f>
        <v>#VALUE!</v>
      </c>
      <c r="AH58" s="85" t="e">
        <f>IF(SchmidtTheory!AH156&gt;ActuatorSIZING!$G$44,SchmidtTheory!AH156,"")</f>
        <v>#VALUE!</v>
      </c>
      <c r="AI58" s="85" t="e">
        <f>IF(SchmidtTheory!AI156&gt;ActuatorSIZING!$G$44,SchmidtTheory!AI156,"")</f>
        <v>#VALUE!</v>
      </c>
      <c r="AJ58" s="85" t="e">
        <f>IF(SchmidtTheory!AJ156&gt;ActuatorSIZING!$G$44,SchmidtTheory!AJ156,"")</f>
        <v>#VALUE!</v>
      </c>
      <c r="AK58" s="85" t="e">
        <f>IF(SchmidtTheory!AK156&gt;ActuatorSIZING!$G$44,SchmidtTheory!AK156,"")</f>
        <v>#VALUE!</v>
      </c>
      <c r="AL58" s="85" t="e">
        <f>IF(SchmidtTheory!AL156&gt;ActuatorSIZING!$G$44,SchmidtTheory!AL156,"")</f>
        <v>#VALUE!</v>
      </c>
      <c r="AM58" s="85" t="e">
        <f>IF(SchmidtTheory!AM156&gt;ActuatorSIZING!$G$44,SchmidtTheory!AM156,"")</f>
        <v>#VALUE!</v>
      </c>
      <c r="AN58" s="85" t="e">
        <f>IF(SchmidtTheory!AN156&gt;ActuatorSIZING!$G$44,SchmidtTheory!AN156,"")</f>
        <v>#VALUE!</v>
      </c>
      <c r="AO58" s="85" t="e">
        <f>IF(SchmidtTheory!AO156&gt;ActuatorSIZING!$G$44,SchmidtTheory!AO156,"")</f>
        <v>#VALUE!</v>
      </c>
      <c r="AP58" s="85" t="e">
        <f>IF(SchmidtTheory!AP156&gt;ActuatorSIZING!$G$44,SchmidtTheory!AP156,"")</f>
        <v>#VALUE!</v>
      </c>
      <c r="AQ58" s="85" t="e">
        <f>IF(SchmidtTheory!AQ156&gt;ActuatorSIZING!$G$44,SchmidtTheory!AQ156,"")</f>
        <v>#VALUE!</v>
      </c>
      <c r="AR58" s="85" t="e">
        <f>IF(SchmidtTheory!AR156&gt;ActuatorSIZING!$G$44,SchmidtTheory!AR156,"")</f>
        <v>#VALUE!</v>
      </c>
      <c r="AS58" s="85" t="e">
        <f>IF(SchmidtTheory!AS156&gt;ActuatorSIZING!$G$44,SchmidtTheory!AS156,"")</f>
        <v>#VALUE!</v>
      </c>
      <c r="AT58" s="85" t="e">
        <f>IF(SchmidtTheory!AT156&gt;ActuatorSIZING!$G$44,SchmidtTheory!AT156,"")</f>
        <v>#VALUE!</v>
      </c>
      <c r="AU58" s="85" t="e">
        <f>IF(SchmidtTheory!AU156&gt;ActuatorSIZING!$G$44,SchmidtTheory!AU156,"")</f>
        <v>#VALUE!</v>
      </c>
      <c r="AV58" s="85" t="e">
        <f>IF(SchmidtTheory!AV156&gt;ActuatorSIZING!$G$44,SchmidtTheory!AV156,"")</f>
        <v>#VALUE!</v>
      </c>
      <c r="AW58" s="96">
        <v>39000</v>
      </c>
      <c r="AX58" s="93" t="e">
        <f>IF(AW58&gt;ActuatorSIZING!$G$44,SchmidtTheory!AW58,"")</f>
        <v>#VALUE!</v>
      </c>
      <c r="AY58" s="95" t="str">
        <f>IF(SELECTION!$P$46=SchmidtTheory!G53,SchmidtTheory!AX58,"")</f>
        <v/>
      </c>
      <c r="AZ58" s="93" t="str">
        <f>IF(SELECTION!$AJ$24&gt;(I58+0.3),SchmidtTheory!AY58,"")</f>
        <v/>
      </c>
      <c r="BA58" s="103" t="s">
        <v>140</v>
      </c>
      <c r="BB58" s="93" t="e">
        <f t="shared" si="3"/>
        <v>#VALUE!</v>
      </c>
      <c r="BC58" s="93" t="str">
        <f>IF(SELECTION!$P$46=SchmidtTheory!G53,SchmidtTheory!BB58,"")</f>
        <v/>
      </c>
      <c r="BD58" s="93" t="str">
        <f>IF(SELECTION!$AJ$24&gt;(I58+0.3),SchmidtTheory!BC58,"")</f>
        <v/>
      </c>
      <c r="BE58" s="93" t="b">
        <f t="shared" si="2"/>
        <v>0</v>
      </c>
      <c r="BF58" s="103" t="s">
        <v>140</v>
      </c>
    </row>
    <row r="59" spans="2:58" x14ac:dyDescent="0.2">
      <c r="B59" s="42" t="s">
        <v>142</v>
      </c>
      <c r="F59" s="589"/>
      <c r="G59" s="598">
        <v>60</v>
      </c>
      <c r="H59" s="102">
        <v>0.2</v>
      </c>
      <c r="I59" s="101">
        <v>1</v>
      </c>
      <c r="J59" s="100"/>
      <c r="K59" s="99"/>
      <c r="L59" s="98">
        <v>5</v>
      </c>
      <c r="M59" s="97">
        <v>60000</v>
      </c>
      <c r="N59" s="85" t="e">
        <f>IF(SchmidtTheory!N157&gt;ActuatorSIZING!$G$44,SchmidtTheory!N157,"")</f>
        <v>#VALUE!</v>
      </c>
      <c r="O59" s="85" t="e">
        <f>IF(SchmidtTheory!O157&gt;ActuatorSIZING!$G$44,SchmidtTheory!O157,"")</f>
        <v>#VALUE!</v>
      </c>
      <c r="P59" s="85" t="e">
        <f>IF(SchmidtTheory!P157&gt;ActuatorSIZING!$G$44,SchmidtTheory!P157,"")</f>
        <v>#VALUE!</v>
      </c>
      <c r="Q59" s="85" t="e">
        <f>IF(SchmidtTheory!Q157&gt;ActuatorSIZING!$G$44,SchmidtTheory!Q157,"")</f>
        <v>#VALUE!</v>
      </c>
      <c r="R59" s="85" t="e">
        <f>IF(SchmidtTheory!R157&gt;ActuatorSIZING!$G$44,SchmidtTheory!R157,"")</f>
        <v>#VALUE!</v>
      </c>
      <c r="S59" s="85" t="e">
        <f>IF(SchmidtTheory!S157&gt;ActuatorSIZING!$G$44,SchmidtTheory!S157,"")</f>
        <v>#VALUE!</v>
      </c>
      <c r="T59" s="85" t="e">
        <f>IF(SchmidtTheory!T157&gt;ActuatorSIZING!$G$44,SchmidtTheory!T157,"")</f>
        <v>#VALUE!</v>
      </c>
      <c r="U59" s="85" t="e">
        <f>IF(SchmidtTheory!U157&gt;ActuatorSIZING!$G$44,SchmidtTheory!U157,"")</f>
        <v>#VALUE!</v>
      </c>
      <c r="V59" s="85" t="e">
        <f>IF(SchmidtTheory!V157&gt;ActuatorSIZING!$G$44,SchmidtTheory!V157,"")</f>
        <v>#VALUE!</v>
      </c>
      <c r="W59" s="85" t="e">
        <f>IF(SchmidtTheory!W157&gt;ActuatorSIZING!$G$44,SchmidtTheory!W157,"")</f>
        <v>#VALUE!</v>
      </c>
      <c r="X59" s="85" t="e">
        <f>IF(SchmidtTheory!X157&gt;ActuatorSIZING!$G$44,SchmidtTheory!X157,"")</f>
        <v>#VALUE!</v>
      </c>
      <c r="Y59" s="85" t="e">
        <f>IF(SchmidtTheory!Y157&gt;ActuatorSIZING!$G$44,SchmidtTheory!Y157,"")</f>
        <v>#VALUE!</v>
      </c>
      <c r="Z59" s="85" t="e">
        <f>IF(SchmidtTheory!Z157&gt;ActuatorSIZING!$G$44,SchmidtTheory!Z157,"")</f>
        <v>#VALUE!</v>
      </c>
      <c r="AA59" s="85" t="e">
        <f>IF(SchmidtTheory!AA157&gt;ActuatorSIZING!$G$44,SchmidtTheory!AA157,"")</f>
        <v>#VALUE!</v>
      </c>
      <c r="AB59" s="85" t="e">
        <f>IF(SchmidtTheory!AB157&gt;ActuatorSIZING!$G$44,SchmidtTheory!AB157,"")</f>
        <v>#VALUE!</v>
      </c>
      <c r="AC59" s="85" t="e">
        <f>IF(SchmidtTheory!AC157&gt;ActuatorSIZING!$G$44,SchmidtTheory!AC157,"")</f>
        <v>#VALUE!</v>
      </c>
      <c r="AD59" s="85" t="e">
        <f>IF(SchmidtTheory!AD157&gt;ActuatorSIZING!$G$44,SchmidtTheory!AD157,"")</f>
        <v>#VALUE!</v>
      </c>
      <c r="AE59" s="85" t="e">
        <f>IF(SchmidtTheory!AE157&gt;ActuatorSIZING!$G$44,SchmidtTheory!AE157,"")</f>
        <v>#VALUE!</v>
      </c>
      <c r="AF59" s="85" t="e">
        <f>IF(SchmidtTheory!AF157&gt;ActuatorSIZING!$G$44,SchmidtTheory!AF157,"")</f>
        <v>#VALUE!</v>
      </c>
      <c r="AG59" s="85" t="e">
        <f>IF(SchmidtTheory!AG157&gt;ActuatorSIZING!$G$44,SchmidtTheory!AG157,"")</f>
        <v>#VALUE!</v>
      </c>
      <c r="AH59" s="85" t="e">
        <f>IF(SchmidtTheory!AH157&gt;ActuatorSIZING!$G$44,SchmidtTheory!AH157,"")</f>
        <v>#VALUE!</v>
      </c>
      <c r="AI59" s="85" t="e">
        <f>IF(SchmidtTheory!AI157&gt;ActuatorSIZING!$G$44,SchmidtTheory!AI157,"")</f>
        <v>#VALUE!</v>
      </c>
      <c r="AJ59" s="85" t="e">
        <f>IF(SchmidtTheory!AJ157&gt;ActuatorSIZING!$G$44,SchmidtTheory!AJ157,"")</f>
        <v>#VALUE!</v>
      </c>
      <c r="AK59" s="85" t="e">
        <f>IF(SchmidtTheory!AK157&gt;ActuatorSIZING!$G$44,SchmidtTheory!AK157,"")</f>
        <v>#VALUE!</v>
      </c>
      <c r="AL59" s="85" t="e">
        <f>IF(SchmidtTheory!AL157&gt;ActuatorSIZING!$G$44,SchmidtTheory!AL157,"")</f>
        <v>#VALUE!</v>
      </c>
      <c r="AM59" s="85" t="e">
        <f>IF(SchmidtTheory!AM157&gt;ActuatorSIZING!$G$44,SchmidtTheory!AM157,"")</f>
        <v>#VALUE!</v>
      </c>
      <c r="AN59" s="85" t="e">
        <f>IF(SchmidtTheory!AN157&gt;ActuatorSIZING!$G$44,SchmidtTheory!AN157,"")</f>
        <v>#VALUE!</v>
      </c>
      <c r="AO59" s="85" t="e">
        <f>IF(SchmidtTheory!AO157&gt;ActuatorSIZING!$G$44,SchmidtTheory!AO157,"")</f>
        <v>#VALUE!</v>
      </c>
      <c r="AP59" s="85" t="e">
        <f>IF(SchmidtTheory!AP157&gt;ActuatorSIZING!$G$44,SchmidtTheory!AP157,"")</f>
        <v>#VALUE!</v>
      </c>
      <c r="AQ59" s="85" t="e">
        <f>IF(SchmidtTheory!AQ157&gt;ActuatorSIZING!$G$44,SchmidtTheory!AQ157,"")</f>
        <v>#VALUE!</v>
      </c>
      <c r="AR59" s="85" t="e">
        <f>IF(SchmidtTheory!AR157&gt;ActuatorSIZING!$G$44,SchmidtTheory!AR157,"")</f>
        <v>#VALUE!</v>
      </c>
      <c r="AS59" s="85" t="e">
        <f>IF(SchmidtTheory!AS157&gt;ActuatorSIZING!$G$44,SchmidtTheory!AS157,"")</f>
        <v>#VALUE!</v>
      </c>
      <c r="AT59" s="85" t="e">
        <f>IF(SchmidtTheory!AT157&gt;ActuatorSIZING!$G$44,SchmidtTheory!AT157,"")</f>
        <v>#VALUE!</v>
      </c>
      <c r="AU59" s="85" t="e">
        <f>IF(SchmidtTheory!AU157&gt;ActuatorSIZING!$G$44,SchmidtTheory!AU157,"")</f>
        <v>#VALUE!</v>
      </c>
      <c r="AV59" s="85" t="e">
        <f>IF(SchmidtTheory!AV157&gt;ActuatorSIZING!$G$44,SchmidtTheory!AV157,"")</f>
        <v>#VALUE!</v>
      </c>
      <c r="AW59" s="96">
        <v>3000</v>
      </c>
      <c r="AX59" s="93" t="e">
        <f>IF(AW59&gt;ActuatorSIZING!$G$44,SchmidtTheory!AW59,"")</f>
        <v>#VALUE!</v>
      </c>
      <c r="AY59" s="95" t="str">
        <f>IF(SELECTION!$P$46=SchmidtTheory!G59,SchmidtTheory!AX59,"")</f>
        <v/>
      </c>
      <c r="AZ59" s="93" t="str">
        <f>IF(SELECTION!$AJ$24&gt;(I59+0.3),SchmidtTheory!AY59,"")</f>
        <v/>
      </c>
      <c r="BA59" s="103" t="s">
        <v>138</v>
      </c>
      <c r="BB59" s="93" t="e">
        <f t="shared" si="3"/>
        <v>#VALUE!</v>
      </c>
      <c r="BC59" s="93" t="str">
        <f>IF(SELECTION!$P$46=SchmidtTheory!G59,SchmidtTheory!BB59,"")</f>
        <v/>
      </c>
      <c r="BD59" s="93" t="str">
        <f>IF(SELECTION!$AJ$24&gt;(I59+0.3),SchmidtTheory!BC59,"")</f>
        <v/>
      </c>
      <c r="BE59" s="93" t="b">
        <f t="shared" si="2"/>
        <v>0</v>
      </c>
      <c r="BF59" s="103" t="s">
        <v>138</v>
      </c>
    </row>
    <row r="60" spans="2:58" x14ac:dyDescent="0.2">
      <c r="F60" s="589"/>
      <c r="G60" s="598"/>
      <c r="H60" s="102">
        <v>0.4</v>
      </c>
      <c r="I60" s="101">
        <v>2</v>
      </c>
      <c r="J60" s="100">
        <v>2.4</v>
      </c>
      <c r="K60" s="99">
        <v>6000</v>
      </c>
      <c r="L60" s="98">
        <v>6</v>
      </c>
      <c r="M60" s="97">
        <v>60000</v>
      </c>
      <c r="N60" s="85" t="e">
        <f>IF(SchmidtTheory!N158&gt;ActuatorSIZING!$G$44,SchmidtTheory!N158,"")</f>
        <v>#VALUE!</v>
      </c>
      <c r="O60" s="85" t="e">
        <f>IF(SchmidtTheory!O158&gt;ActuatorSIZING!$G$44,SchmidtTheory!O158,"")</f>
        <v>#VALUE!</v>
      </c>
      <c r="P60" s="85" t="e">
        <f>IF(SchmidtTheory!P158&gt;ActuatorSIZING!$G$44,SchmidtTheory!P158,"")</f>
        <v>#VALUE!</v>
      </c>
      <c r="Q60" s="85" t="e">
        <f>IF(SchmidtTheory!Q158&gt;ActuatorSIZING!$G$44,SchmidtTheory!Q158,"")</f>
        <v>#VALUE!</v>
      </c>
      <c r="R60" s="85" t="e">
        <f>IF(SchmidtTheory!R158&gt;ActuatorSIZING!$G$44,SchmidtTheory!R158,"")</f>
        <v>#VALUE!</v>
      </c>
      <c r="S60" s="85" t="e">
        <f>IF(SchmidtTheory!S158&gt;ActuatorSIZING!$G$44,SchmidtTheory!S158,"")</f>
        <v>#VALUE!</v>
      </c>
      <c r="T60" s="85" t="e">
        <f>IF(SchmidtTheory!T158&gt;ActuatorSIZING!$G$44,SchmidtTheory!T158,"")</f>
        <v>#VALUE!</v>
      </c>
      <c r="U60" s="85" t="e">
        <f>IF(SchmidtTheory!U158&gt;ActuatorSIZING!$G$44,SchmidtTheory!U158,"")</f>
        <v>#VALUE!</v>
      </c>
      <c r="V60" s="85" t="e">
        <f>IF(SchmidtTheory!V158&gt;ActuatorSIZING!$G$44,SchmidtTheory!V158,"")</f>
        <v>#VALUE!</v>
      </c>
      <c r="W60" s="85" t="e">
        <f>IF(SchmidtTheory!W158&gt;ActuatorSIZING!$G$44,SchmidtTheory!W158,"")</f>
        <v>#VALUE!</v>
      </c>
      <c r="X60" s="85" t="e">
        <f>IF(SchmidtTheory!X158&gt;ActuatorSIZING!$G$44,SchmidtTheory!X158,"")</f>
        <v>#VALUE!</v>
      </c>
      <c r="Y60" s="85" t="e">
        <f>IF(SchmidtTheory!Y158&gt;ActuatorSIZING!$G$44,SchmidtTheory!Y158,"")</f>
        <v>#VALUE!</v>
      </c>
      <c r="Z60" s="85" t="e">
        <f>IF(SchmidtTheory!Z158&gt;ActuatorSIZING!$G$44,SchmidtTheory!Z158,"")</f>
        <v>#VALUE!</v>
      </c>
      <c r="AA60" s="85" t="e">
        <f>IF(SchmidtTheory!AA158&gt;ActuatorSIZING!$G$44,SchmidtTheory!AA158,"")</f>
        <v>#VALUE!</v>
      </c>
      <c r="AB60" s="85" t="e">
        <f>IF(SchmidtTheory!AB158&gt;ActuatorSIZING!$G$44,SchmidtTheory!AB158,"")</f>
        <v>#VALUE!</v>
      </c>
      <c r="AC60" s="85" t="e">
        <f>IF(SchmidtTheory!AC158&gt;ActuatorSIZING!$G$44,SchmidtTheory!AC158,"")</f>
        <v>#VALUE!</v>
      </c>
      <c r="AD60" s="85" t="e">
        <f>IF(SchmidtTheory!AD158&gt;ActuatorSIZING!$G$44,SchmidtTheory!AD158,"")</f>
        <v>#VALUE!</v>
      </c>
      <c r="AE60" s="85" t="e">
        <f>IF(SchmidtTheory!AE158&gt;ActuatorSIZING!$G$44,SchmidtTheory!AE158,"")</f>
        <v>#VALUE!</v>
      </c>
      <c r="AF60" s="85" t="e">
        <f>IF(SchmidtTheory!AF158&gt;ActuatorSIZING!$G$44,SchmidtTheory!AF158,"")</f>
        <v>#VALUE!</v>
      </c>
      <c r="AG60" s="85" t="e">
        <f>IF(SchmidtTheory!AG158&gt;ActuatorSIZING!$G$44,SchmidtTheory!AG158,"")</f>
        <v>#VALUE!</v>
      </c>
      <c r="AH60" s="85" t="e">
        <f>IF(SchmidtTheory!AH158&gt;ActuatorSIZING!$G$44,SchmidtTheory!AH158,"")</f>
        <v>#VALUE!</v>
      </c>
      <c r="AI60" s="85" t="e">
        <f>IF(SchmidtTheory!AI158&gt;ActuatorSIZING!$G$44,SchmidtTheory!AI158,"")</f>
        <v>#VALUE!</v>
      </c>
      <c r="AJ60" s="85" t="e">
        <f>IF(SchmidtTheory!AJ158&gt;ActuatorSIZING!$G$44,SchmidtTheory!AJ158,"")</f>
        <v>#VALUE!</v>
      </c>
      <c r="AK60" s="85" t="e">
        <f>IF(SchmidtTheory!AK158&gt;ActuatorSIZING!$G$44,SchmidtTheory!AK158,"")</f>
        <v>#VALUE!</v>
      </c>
      <c r="AL60" s="85" t="e">
        <f>IF(SchmidtTheory!AL158&gt;ActuatorSIZING!$G$44,SchmidtTheory!AL158,"")</f>
        <v>#VALUE!</v>
      </c>
      <c r="AM60" s="85" t="e">
        <f>IF(SchmidtTheory!AM158&gt;ActuatorSIZING!$G$44,SchmidtTheory!AM158,"")</f>
        <v>#VALUE!</v>
      </c>
      <c r="AN60" s="85" t="e">
        <f>IF(SchmidtTheory!AN158&gt;ActuatorSIZING!$G$44,SchmidtTheory!AN158,"")</f>
        <v>#VALUE!</v>
      </c>
      <c r="AO60" s="85" t="e">
        <f>IF(SchmidtTheory!AO158&gt;ActuatorSIZING!$G$44,SchmidtTheory!AO158,"")</f>
        <v>#VALUE!</v>
      </c>
      <c r="AP60" s="85" t="e">
        <f>IF(SchmidtTheory!AP158&gt;ActuatorSIZING!$G$44,SchmidtTheory!AP158,"")</f>
        <v>#VALUE!</v>
      </c>
      <c r="AQ60" s="85" t="e">
        <f>IF(SchmidtTheory!AQ158&gt;ActuatorSIZING!$G$44,SchmidtTheory!AQ158,"")</f>
        <v>#VALUE!</v>
      </c>
      <c r="AR60" s="85" t="e">
        <f>IF(SchmidtTheory!AR158&gt;ActuatorSIZING!$G$44,SchmidtTheory!AR158,"")</f>
        <v>#VALUE!</v>
      </c>
      <c r="AS60" s="85" t="e">
        <f>IF(SchmidtTheory!AS158&gt;ActuatorSIZING!$G$44,SchmidtTheory!AS158,"")</f>
        <v>#VALUE!</v>
      </c>
      <c r="AT60" s="85" t="e">
        <f>IF(SchmidtTheory!AT158&gt;ActuatorSIZING!$G$44,SchmidtTheory!AT158,"")</f>
        <v>#VALUE!</v>
      </c>
      <c r="AU60" s="85" t="e">
        <f>IF(SchmidtTheory!AU158&gt;ActuatorSIZING!$G$44,SchmidtTheory!AU158,"")</f>
        <v>#VALUE!</v>
      </c>
      <c r="AV60" s="85" t="e">
        <f>IF(SchmidtTheory!AV158&gt;ActuatorSIZING!$G$44,SchmidtTheory!AV158,"")</f>
        <v>#VALUE!</v>
      </c>
      <c r="AW60" s="96">
        <v>6000</v>
      </c>
      <c r="AX60" s="93" t="e">
        <f>IF(AW60&gt;ActuatorSIZING!$G$44,SchmidtTheory!AW60,"")</f>
        <v>#VALUE!</v>
      </c>
      <c r="AY60" s="95" t="str">
        <f>IF(SELECTION!$P$46=SchmidtTheory!G59,SchmidtTheory!AX60,"")</f>
        <v/>
      </c>
      <c r="AZ60" s="93" t="str">
        <f>IF(SELECTION!$AJ$24&gt;(I60+0.3),SchmidtTheory!AY60,"")</f>
        <v/>
      </c>
      <c r="BA60" s="103" t="s">
        <v>137</v>
      </c>
      <c r="BB60" s="93" t="e">
        <f t="shared" si="3"/>
        <v>#VALUE!</v>
      </c>
      <c r="BC60" s="93" t="str">
        <f>IF(SELECTION!$P$46=SchmidtTheory!G59,SchmidtTheory!BB60,"")</f>
        <v/>
      </c>
      <c r="BD60" s="93" t="str">
        <f>IF(SELECTION!$AJ$24&gt;(I60+0.3),SchmidtTheory!BC60,"")</f>
        <v/>
      </c>
      <c r="BE60" s="93" t="b">
        <f t="shared" si="2"/>
        <v>0</v>
      </c>
      <c r="BF60" s="103" t="s">
        <v>137</v>
      </c>
    </row>
    <row r="61" spans="2:58" x14ac:dyDescent="0.2">
      <c r="B61" s="42" t="s">
        <v>139</v>
      </c>
      <c r="F61" s="589"/>
      <c r="G61" s="598"/>
      <c r="H61" s="102">
        <v>0.75</v>
      </c>
      <c r="I61" s="101">
        <v>1.4</v>
      </c>
      <c r="J61" s="100">
        <v>2.2000000000000002</v>
      </c>
      <c r="K61" s="99">
        <v>11250</v>
      </c>
      <c r="L61" s="98">
        <v>5.4</v>
      </c>
      <c r="M61" s="97">
        <v>60000</v>
      </c>
      <c r="N61" s="85" t="e">
        <f>IF(SchmidtTheory!N159&gt;ActuatorSIZING!$G$44,SchmidtTheory!N159,"")</f>
        <v>#VALUE!</v>
      </c>
      <c r="O61" s="85" t="e">
        <f>IF(SchmidtTheory!O159&gt;ActuatorSIZING!$G$44,SchmidtTheory!O159,"")</f>
        <v>#VALUE!</v>
      </c>
      <c r="P61" s="85" t="e">
        <f>IF(SchmidtTheory!P159&gt;ActuatorSIZING!$G$44,SchmidtTheory!P159,"")</f>
        <v>#VALUE!</v>
      </c>
      <c r="Q61" s="85" t="e">
        <f>IF(SchmidtTheory!Q159&gt;ActuatorSIZING!$G$44,SchmidtTheory!Q159,"")</f>
        <v>#VALUE!</v>
      </c>
      <c r="R61" s="85" t="e">
        <f>IF(SchmidtTheory!R159&gt;ActuatorSIZING!$G$44,SchmidtTheory!R159,"")</f>
        <v>#VALUE!</v>
      </c>
      <c r="S61" s="85" t="e">
        <f>IF(SchmidtTheory!S159&gt;ActuatorSIZING!$G$44,SchmidtTheory!S159,"")</f>
        <v>#VALUE!</v>
      </c>
      <c r="T61" s="85" t="e">
        <f>IF(SchmidtTheory!T159&gt;ActuatorSIZING!$G$44,SchmidtTheory!T159,"")</f>
        <v>#VALUE!</v>
      </c>
      <c r="U61" s="85" t="e">
        <f>IF(SchmidtTheory!U159&gt;ActuatorSIZING!$G$44,SchmidtTheory!U159,"")</f>
        <v>#VALUE!</v>
      </c>
      <c r="V61" s="85" t="e">
        <f>IF(SchmidtTheory!V159&gt;ActuatorSIZING!$G$44,SchmidtTheory!V159,"")</f>
        <v>#VALUE!</v>
      </c>
      <c r="W61" s="85" t="e">
        <f>IF(SchmidtTheory!W159&gt;ActuatorSIZING!$G$44,SchmidtTheory!W159,"")</f>
        <v>#VALUE!</v>
      </c>
      <c r="X61" s="85" t="e">
        <f>IF(SchmidtTheory!X159&gt;ActuatorSIZING!$G$44,SchmidtTheory!X159,"")</f>
        <v>#VALUE!</v>
      </c>
      <c r="Y61" s="85" t="e">
        <f>IF(SchmidtTheory!Y159&gt;ActuatorSIZING!$G$44,SchmidtTheory!Y159,"")</f>
        <v>#VALUE!</v>
      </c>
      <c r="Z61" s="85" t="e">
        <f>IF(SchmidtTheory!Z159&gt;ActuatorSIZING!$G$44,SchmidtTheory!Z159,"")</f>
        <v>#VALUE!</v>
      </c>
      <c r="AA61" s="85" t="e">
        <f>IF(SchmidtTheory!AA159&gt;ActuatorSIZING!$G$44,SchmidtTheory!AA159,"")</f>
        <v>#VALUE!</v>
      </c>
      <c r="AB61" s="85" t="e">
        <f>IF(SchmidtTheory!AB159&gt;ActuatorSIZING!$G$44,SchmidtTheory!AB159,"")</f>
        <v>#VALUE!</v>
      </c>
      <c r="AC61" s="85" t="e">
        <f>IF(SchmidtTheory!AC159&gt;ActuatorSIZING!$G$44,SchmidtTheory!AC159,"")</f>
        <v>#VALUE!</v>
      </c>
      <c r="AD61" s="85" t="e">
        <f>IF(SchmidtTheory!AD159&gt;ActuatorSIZING!$G$44,SchmidtTheory!AD159,"")</f>
        <v>#VALUE!</v>
      </c>
      <c r="AE61" s="85" t="e">
        <f>IF(SchmidtTheory!AE159&gt;ActuatorSIZING!$G$44,SchmidtTheory!AE159,"")</f>
        <v>#VALUE!</v>
      </c>
      <c r="AF61" s="85" t="e">
        <f>IF(SchmidtTheory!AF159&gt;ActuatorSIZING!$G$44,SchmidtTheory!AF159,"")</f>
        <v>#VALUE!</v>
      </c>
      <c r="AG61" s="85" t="e">
        <f>IF(SchmidtTheory!AG159&gt;ActuatorSIZING!$G$44,SchmidtTheory!AG159,"")</f>
        <v>#VALUE!</v>
      </c>
      <c r="AH61" s="85" t="e">
        <f>IF(SchmidtTheory!AH159&gt;ActuatorSIZING!$G$44,SchmidtTheory!AH159,"")</f>
        <v>#VALUE!</v>
      </c>
      <c r="AI61" s="85" t="e">
        <f>IF(SchmidtTheory!AI159&gt;ActuatorSIZING!$G$44,SchmidtTheory!AI159,"")</f>
        <v>#VALUE!</v>
      </c>
      <c r="AJ61" s="85" t="e">
        <f>IF(SchmidtTheory!AJ159&gt;ActuatorSIZING!$G$44,SchmidtTheory!AJ159,"")</f>
        <v>#VALUE!</v>
      </c>
      <c r="AK61" s="85" t="e">
        <f>IF(SchmidtTheory!AK159&gt;ActuatorSIZING!$G$44,SchmidtTheory!AK159,"")</f>
        <v>#VALUE!</v>
      </c>
      <c r="AL61" s="85" t="e">
        <f>IF(SchmidtTheory!AL159&gt;ActuatorSIZING!$G$44,SchmidtTheory!AL159,"")</f>
        <v>#VALUE!</v>
      </c>
      <c r="AM61" s="85" t="e">
        <f>IF(SchmidtTheory!AM159&gt;ActuatorSIZING!$G$44,SchmidtTheory!AM159,"")</f>
        <v>#VALUE!</v>
      </c>
      <c r="AN61" s="85" t="e">
        <f>IF(SchmidtTheory!AN159&gt;ActuatorSIZING!$G$44,SchmidtTheory!AN159,"")</f>
        <v>#VALUE!</v>
      </c>
      <c r="AO61" s="85" t="e">
        <f>IF(SchmidtTheory!AO159&gt;ActuatorSIZING!$G$44,SchmidtTheory!AO159,"")</f>
        <v>#VALUE!</v>
      </c>
      <c r="AP61" s="85" t="e">
        <f>IF(SchmidtTheory!AP159&gt;ActuatorSIZING!$G$44,SchmidtTheory!AP159,"")</f>
        <v>#VALUE!</v>
      </c>
      <c r="AQ61" s="85" t="e">
        <f>IF(SchmidtTheory!AQ159&gt;ActuatorSIZING!$G$44,SchmidtTheory!AQ159,"")</f>
        <v>#VALUE!</v>
      </c>
      <c r="AR61" s="85" t="e">
        <f>IF(SchmidtTheory!AR159&gt;ActuatorSIZING!$G$44,SchmidtTheory!AR159,"")</f>
        <v>#VALUE!</v>
      </c>
      <c r="AS61" s="85" t="e">
        <f>IF(SchmidtTheory!AS159&gt;ActuatorSIZING!$G$44,SchmidtTheory!AS159,"")</f>
        <v>#VALUE!</v>
      </c>
      <c r="AT61" s="85" t="e">
        <f>IF(SchmidtTheory!AT159&gt;ActuatorSIZING!$G$44,SchmidtTheory!AT159,"")</f>
        <v>#VALUE!</v>
      </c>
      <c r="AU61" s="85" t="e">
        <f>IF(SchmidtTheory!AU159&gt;ActuatorSIZING!$G$44,SchmidtTheory!AU159,"")</f>
        <v>#VALUE!</v>
      </c>
      <c r="AV61" s="85" t="e">
        <f>IF(SchmidtTheory!AV159&gt;ActuatorSIZING!$G$44,SchmidtTheory!AV159,"")</f>
        <v>#VALUE!</v>
      </c>
      <c r="AW61" s="96">
        <v>11250</v>
      </c>
      <c r="AX61" s="93" t="e">
        <f>IF(AW61&gt;ActuatorSIZING!$G$44,SchmidtTheory!AW61,"")</f>
        <v>#VALUE!</v>
      </c>
      <c r="AY61" s="95" t="str">
        <f>IF(SELECTION!$P$46=SchmidtTheory!G59,SchmidtTheory!AX61,"")</f>
        <v/>
      </c>
      <c r="AZ61" s="93" t="str">
        <f>IF(SELECTION!$AJ$24&gt;(I61+0.3),SchmidtTheory!AY61,"")</f>
        <v/>
      </c>
      <c r="BA61" s="103" t="s">
        <v>135</v>
      </c>
      <c r="BB61" s="93" t="e">
        <f t="shared" si="3"/>
        <v>#VALUE!</v>
      </c>
      <c r="BC61" s="93" t="str">
        <f>IF(SELECTION!$P$46=SchmidtTheory!G59,SchmidtTheory!BB61,"")</f>
        <v/>
      </c>
      <c r="BD61" s="93" t="str">
        <f>IF(SELECTION!$AJ$24&gt;(I61+0.3),SchmidtTheory!BC61,"")</f>
        <v/>
      </c>
      <c r="BE61" s="93" t="b">
        <f t="shared" si="2"/>
        <v>0</v>
      </c>
      <c r="BF61" s="103" t="s">
        <v>135</v>
      </c>
    </row>
    <row r="62" spans="2:58" x14ac:dyDescent="0.2">
      <c r="B62" s="126" t="s">
        <v>813</v>
      </c>
      <c r="F62" s="589"/>
      <c r="G62" s="598"/>
      <c r="H62" s="102">
        <v>1.5</v>
      </c>
      <c r="I62" s="101">
        <v>2.7</v>
      </c>
      <c r="J62" s="100">
        <v>4.2</v>
      </c>
      <c r="K62" s="99">
        <v>22500</v>
      </c>
      <c r="L62" s="98">
        <v>6</v>
      </c>
      <c r="M62" s="97">
        <v>49500</v>
      </c>
      <c r="N62" s="85" t="e">
        <f>IF(SchmidtTheory!N160&gt;ActuatorSIZING!$G$44,SchmidtTheory!N160,"")</f>
        <v>#VALUE!</v>
      </c>
      <c r="O62" s="85" t="e">
        <f>IF(SchmidtTheory!O160&gt;ActuatorSIZING!$G$44,SchmidtTheory!O160,"")</f>
        <v>#VALUE!</v>
      </c>
      <c r="P62" s="85" t="e">
        <f>IF(SchmidtTheory!P160&gt;ActuatorSIZING!$G$44,SchmidtTheory!P160,"")</f>
        <v>#VALUE!</v>
      </c>
      <c r="Q62" s="85" t="e">
        <f>IF(SchmidtTheory!Q160&gt;ActuatorSIZING!$G$44,SchmidtTheory!Q160,"")</f>
        <v>#VALUE!</v>
      </c>
      <c r="R62" s="85" t="e">
        <f>IF(SchmidtTheory!R160&gt;ActuatorSIZING!$G$44,SchmidtTheory!R160,"")</f>
        <v>#VALUE!</v>
      </c>
      <c r="S62" s="85" t="e">
        <f>IF(SchmidtTheory!S160&gt;ActuatorSIZING!$G$44,SchmidtTheory!S160,"")</f>
        <v>#VALUE!</v>
      </c>
      <c r="T62" s="85" t="e">
        <f>IF(SchmidtTheory!T160&gt;ActuatorSIZING!$G$44,SchmidtTheory!T160,"")</f>
        <v>#VALUE!</v>
      </c>
      <c r="U62" s="85" t="e">
        <f>IF(SchmidtTheory!U160&gt;ActuatorSIZING!$G$44,SchmidtTheory!U160,"")</f>
        <v>#VALUE!</v>
      </c>
      <c r="V62" s="85" t="e">
        <f>IF(SchmidtTheory!V160&gt;ActuatorSIZING!$G$44,SchmidtTheory!V160,"")</f>
        <v>#VALUE!</v>
      </c>
      <c r="W62" s="85" t="e">
        <f>IF(SchmidtTheory!W160&gt;ActuatorSIZING!$G$44,SchmidtTheory!W160,"")</f>
        <v>#VALUE!</v>
      </c>
      <c r="X62" s="85" t="e">
        <f>IF(SchmidtTheory!X160&gt;ActuatorSIZING!$G$44,SchmidtTheory!X160,"")</f>
        <v>#VALUE!</v>
      </c>
      <c r="Y62" s="85" t="e">
        <f>IF(SchmidtTheory!Y160&gt;ActuatorSIZING!$G$44,SchmidtTheory!Y160,"")</f>
        <v>#VALUE!</v>
      </c>
      <c r="Z62" s="85" t="e">
        <f>IF(SchmidtTheory!Z160&gt;ActuatorSIZING!$G$44,SchmidtTheory!Z160,"")</f>
        <v>#VALUE!</v>
      </c>
      <c r="AA62" s="85" t="e">
        <f>IF(SchmidtTheory!AA160&gt;ActuatorSIZING!$G$44,SchmidtTheory!AA160,"")</f>
        <v>#VALUE!</v>
      </c>
      <c r="AB62" s="85" t="e">
        <f>IF(SchmidtTheory!AB160&gt;ActuatorSIZING!$G$44,SchmidtTheory!AB160,"")</f>
        <v>#VALUE!</v>
      </c>
      <c r="AC62" s="85" t="e">
        <f>IF(SchmidtTheory!AC160&gt;ActuatorSIZING!$G$44,SchmidtTheory!AC160,"")</f>
        <v>#VALUE!</v>
      </c>
      <c r="AD62" s="85" t="e">
        <f>IF(SchmidtTheory!AD160&gt;ActuatorSIZING!$G$44,SchmidtTheory!AD160,"")</f>
        <v>#VALUE!</v>
      </c>
      <c r="AE62" s="85" t="e">
        <f>IF(SchmidtTheory!AE160&gt;ActuatorSIZING!$G$44,SchmidtTheory!AE160,"")</f>
        <v>#VALUE!</v>
      </c>
      <c r="AF62" s="85" t="e">
        <f>IF(SchmidtTheory!AF160&gt;ActuatorSIZING!$G$44,SchmidtTheory!AF160,"")</f>
        <v>#VALUE!</v>
      </c>
      <c r="AG62" s="85" t="e">
        <f>IF(SchmidtTheory!AG160&gt;ActuatorSIZING!$G$44,SchmidtTheory!AG160,"")</f>
        <v>#VALUE!</v>
      </c>
      <c r="AH62" s="85" t="e">
        <f>IF(SchmidtTheory!AH160&gt;ActuatorSIZING!$G$44,SchmidtTheory!AH160,"")</f>
        <v>#VALUE!</v>
      </c>
      <c r="AI62" s="85" t="e">
        <f>IF(SchmidtTheory!AI160&gt;ActuatorSIZING!$G$44,SchmidtTheory!AI160,"")</f>
        <v>#VALUE!</v>
      </c>
      <c r="AJ62" s="85" t="e">
        <f>IF(SchmidtTheory!AJ160&gt;ActuatorSIZING!$G$44,SchmidtTheory!AJ160,"")</f>
        <v>#VALUE!</v>
      </c>
      <c r="AK62" s="85" t="e">
        <f>IF(SchmidtTheory!AK160&gt;ActuatorSIZING!$G$44,SchmidtTheory!AK160,"")</f>
        <v>#VALUE!</v>
      </c>
      <c r="AL62" s="85" t="e">
        <f>IF(SchmidtTheory!AL160&gt;ActuatorSIZING!$G$44,SchmidtTheory!AL160,"")</f>
        <v>#VALUE!</v>
      </c>
      <c r="AM62" s="85" t="e">
        <f>IF(SchmidtTheory!AM160&gt;ActuatorSIZING!$G$44,SchmidtTheory!AM160,"")</f>
        <v>#VALUE!</v>
      </c>
      <c r="AN62" s="85" t="e">
        <f>IF(SchmidtTheory!AN160&gt;ActuatorSIZING!$G$44,SchmidtTheory!AN160,"")</f>
        <v>#VALUE!</v>
      </c>
      <c r="AO62" s="85" t="e">
        <f>IF(SchmidtTheory!AO160&gt;ActuatorSIZING!$G$44,SchmidtTheory!AO160,"")</f>
        <v>#VALUE!</v>
      </c>
      <c r="AP62" s="85" t="e">
        <f>IF(SchmidtTheory!AP160&gt;ActuatorSIZING!$G$44,SchmidtTheory!AP160,"")</f>
        <v>#VALUE!</v>
      </c>
      <c r="AQ62" s="85" t="e">
        <f>IF(SchmidtTheory!AQ160&gt;ActuatorSIZING!$G$44,SchmidtTheory!AQ160,"")</f>
        <v>#VALUE!</v>
      </c>
      <c r="AR62" s="85" t="e">
        <f>IF(SchmidtTheory!AR160&gt;ActuatorSIZING!$G$44,SchmidtTheory!AR160,"")</f>
        <v>#VALUE!</v>
      </c>
      <c r="AS62" s="85" t="e">
        <f>IF(SchmidtTheory!AS160&gt;ActuatorSIZING!$G$44,SchmidtTheory!AS160,"")</f>
        <v>#VALUE!</v>
      </c>
      <c r="AT62" s="85" t="e">
        <f>IF(SchmidtTheory!AT160&gt;ActuatorSIZING!$G$44,SchmidtTheory!AT160,"")</f>
        <v>#VALUE!</v>
      </c>
      <c r="AU62" s="85" t="e">
        <f>IF(SchmidtTheory!AU160&gt;ActuatorSIZING!$G$44,SchmidtTheory!AU160,"")</f>
        <v>#VALUE!</v>
      </c>
      <c r="AV62" s="85" t="e">
        <f>IF(SchmidtTheory!AV160&gt;ActuatorSIZING!$G$44,SchmidtTheory!AV160,"")</f>
        <v>#VALUE!</v>
      </c>
      <c r="AW62" s="96">
        <v>22500</v>
      </c>
      <c r="AX62" s="93" t="e">
        <f>IF(AW62&gt;ActuatorSIZING!$G$44,SchmidtTheory!AW62,"")</f>
        <v>#VALUE!</v>
      </c>
      <c r="AY62" s="95" t="str">
        <f>IF(SELECTION!$P$46=SchmidtTheory!G59,SchmidtTheory!AX62,"")</f>
        <v/>
      </c>
      <c r="AZ62" s="93" t="str">
        <f>IF(SELECTION!$AJ$24&gt;(I62+0.3),SchmidtTheory!AY62,"")</f>
        <v/>
      </c>
      <c r="BA62" s="103" t="s">
        <v>134</v>
      </c>
      <c r="BB62" s="93" t="e">
        <f t="shared" si="3"/>
        <v>#VALUE!</v>
      </c>
      <c r="BC62" s="93" t="str">
        <f>IF(SELECTION!$P$46=SchmidtTheory!G59,SchmidtTheory!BB62,"")</f>
        <v/>
      </c>
      <c r="BD62" s="93" t="str">
        <f>IF(SELECTION!$AJ$24&gt;(I62+0.3),SchmidtTheory!BC62,"")</f>
        <v/>
      </c>
      <c r="BE62" s="93" t="b">
        <f t="shared" si="2"/>
        <v>0</v>
      </c>
      <c r="BF62" s="103" t="s">
        <v>134</v>
      </c>
    </row>
    <row r="63" spans="2:58" x14ac:dyDescent="0.2">
      <c r="B63" s="42" t="s">
        <v>136</v>
      </c>
      <c r="F63" s="589"/>
      <c r="G63" s="598"/>
      <c r="H63" s="102">
        <v>2</v>
      </c>
      <c r="I63" s="101">
        <v>3.5</v>
      </c>
      <c r="J63" s="100">
        <v>5.5</v>
      </c>
      <c r="K63" s="99">
        <v>30000</v>
      </c>
      <c r="L63" s="98">
        <v>6</v>
      </c>
      <c r="M63" s="97">
        <v>37500</v>
      </c>
      <c r="N63" s="85" t="e">
        <f>IF(SchmidtTheory!N161&gt;ActuatorSIZING!$G$44,SchmidtTheory!N161,"")</f>
        <v>#VALUE!</v>
      </c>
      <c r="O63" s="85" t="e">
        <f>IF(SchmidtTheory!O161&gt;ActuatorSIZING!$G$44,SchmidtTheory!O161,"")</f>
        <v>#VALUE!</v>
      </c>
      <c r="P63" s="85" t="e">
        <f>IF(SchmidtTheory!P161&gt;ActuatorSIZING!$G$44,SchmidtTheory!P161,"")</f>
        <v>#VALUE!</v>
      </c>
      <c r="Q63" s="85" t="e">
        <f>IF(SchmidtTheory!Q161&gt;ActuatorSIZING!$G$44,SchmidtTheory!Q161,"")</f>
        <v>#VALUE!</v>
      </c>
      <c r="R63" s="85" t="e">
        <f>IF(SchmidtTheory!R161&gt;ActuatorSIZING!$G$44,SchmidtTheory!R161,"")</f>
        <v>#VALUE!</v>
      </c>
      <c r="S63" s="85" t="e">
        <f>IF(SchmidtTheory!S161&gt;ActuatorSIZING!$G$44,SchmidtTheory!S161,"")</f>
        <v>#VALUE!</v>
      </c>
      <c r="T63" s="85" t="e">
        <f>IF(SchmidtTheory!T161&gt;ActuatorSIZING!$G$44,SchmidtTheory!T161,"")</f>
        <v>#VALUE!</v>
      </c>
      <c r="U63" s="85" t="e">
        <f>IF(SchmidtTheory!U161&gt;ActuatorSIZING!$G$44,SchmidtTheory!U161,"")</f>
        <v>#VALUE!</v>
      </c>
      <c r="V63" s="85" t="e">
        <f>IF(SchmidtTheory!V161&gt;ActuatorSIZING!$G$44,SchmidtTheory!V161,"")</f>
        <v>#VALUE!</v>
      </c>
      <c r="W63" s="85" t="e">
        <f>IF(SchmidtTheory!W161&gt;ActuatorSIZING!$G$44,SchmidtTheory!W161,"")</f>
        <v>#VALUE!</v>
      </c>
      <c r="X63" s="85" t="e">
        <f>IF(SchmidtTheory!X161&gt;ActuatorSIZING!$G$44,SchmidtTheory!X161,"")</f>
        <v>#VALUE!</v>
      </c>
      <c r="Y63" s="85" t="e">
        <f>IF(SchmidtTheory!Y161&gt;ActuatorSIZING!$G$44,SchmidtTheory!Y161,"")</f>
        <v>#VALUE!</v>
      </c>
      <c r="Z63" s="85" t="e">
        <f>IF(SchmidtTheory!Z161&gt;ActuatorSIZING!$G$44,SchmidtTheory!Z161,"")</f>
        <v>#VALUE!</v>
      </c>
      <c r="AA63" s="85" t="e">
        <f>IF(SchmidtTheory!AA161&gt;ActuatorSIZING!$G$44,SchmidtTheory!AA161,"")</f>
        <v>#VALUE!</v>
      </c>
      <c r="AB63" s="85" t="e">
        <f>IF(SchmidtTheory!AB161&gt;ActuatorSIZING!$G$44,SchmidtTheory!AB161,"")</f>
        <v>#VALUE!</v>
      </c>
      <c r="AC63" s="85" t="e">
        <f>IF(SchmidtTheory!AC161&gt;ActuatorSIZING!$G$44,SchmidtTheory!AC161,"")</f>
        <v>#VALUE!</v>
      </c>
      <c r="AD63" s="85" t="e">
        <f>IF(SchmidtTheory!AD161&gt;ActuatorSIZING!$G$44,SchmidtTheory!AD161,"")</f>
        <v>#VALUE!</v>
      </c>
      <c r="AE63" s="85" t="e">
        <f>IF(SchmidtTheory!AE161&gt;ActuatorSIZING!$G$44,SchmidtTheory!AE161,"")</f>
        <v>#VALUE!</v>
      </c>
      <c r="AF63" s="85" t="e">
        <f>IF(SchmidtTheory!AF161&gt;ActuatorSIZING!$G$44,SchmidtTheory!AF161,"")</f>
        <v>#VALUE!</v>
      </c>
      <c r="AG63" s="85" t="e">
        <f>IF(SchmidtTheory!AG161&gt;ActuatorSIZING!$G$44,SchmidtTheory!AG161,"")</f>
        <v>#VALUE!</v>
      </c>
      <c r="AH63" s="85" t="e">
        <f>IF(SchmidtTheory!AH161&gt;ActuatorSIZING!$G$44,SchmidtTheory!AH161,"")</f>
        <v>#VALUE!</v>
      </c>
      <c r="AI63" s="85" t="e">
        <f>IF(SchmidtTheory!AI161&gt;ActuatorSIZING!$G$44,SchmidtTheory!AI161,"")</f>
        <v>#VALUE!</v>
      </c>
      <c r="AJ63" s="85" t="e">
        <f>IF(SchmidtTheory!AJ161&gt;ActuatorSIZING!$G$44,SchmidtTheory!AJ161,"")</f>
        <v>#VALUE!</v>
      </c>
      <c r="AK63" s="85" t="e">
        <f>IF(SchmidtTheory!AK161&gt;ActuatorSIZING!$G$44,SchmidtTheory!AK161,"")</f>
        <v>#VALUE!</v>
      </c>
      <c r="AL63" s="85" t="e">
        <f>IF(SchmidtTheory!AL161&gt;ActuatorSIZING!$G$44,SchmidtTheory!AL161,"")</f>
        <v>#VALUE!</v>
      </c>
      <c r="AM63" s="85" t="e">
        <f>IF(SchmidtTheory!AM161&gt;ActuatorSIZING!$G$44,SchmidtTheory!AM161,"")</f>
        <v>#VALUE!</v>
      </c>
      <c r="AN63" s="85" t="e">
        <f>IF(SchmidtTheory!AN161&gt;ActuatorSIZING!$G$44,SchmidtTheory!AN161,"")</f>
        <v>#VALUE!</v>
      </c>
      <c r="AO63" s="85" t="e">
        <f>IF(SchmidtTheory!AO161&gt;ActuatorSIZING!$G$44,SchmidtTheory!AO161,"")</f>
        <v>#VALUE!</v>
      </c>
      <c r="AP63" s="85" t="e">
        <f>IF(SchmidtTheory!AP161&gt;ActuatorSIZING!$G$44,SchmidtTheory!AP161,"")</f>
        <v>#VALUE!</v>
      </c>
      <c r="AQ63" s="85" t="e">
        <f>IF(SchmidtTheory!AQ161&gt;ActuatorSIZING!$G$44,SchmidtTheory!AQ161,"")</f>
        <v>#VALUE!</v>
      </c>
      <c r="AR63" s="85" t="e">
        <f>IF(SchmidtTheory!AR161&gt;ActuatorSIZING!$G$44,SchmidtTheory!AR161,"")</f>
        <v>#VALUE!</v>
      </c>
      <c r="AS63" s="85" t="e">
        <f>IF(SchmidtTheory!AS161&gt;ActuatorSIZING!$G$44,SchmidtTheory!AS161,"")</f>
        <v>#VALUE!</v>
      </c>
      <c r="AT63" s="85" t="e">
        <f>IF(SchmidtTheory!AT161&gt;ActuatorSIZING!$G$44,SchmidtTheory!AT161,"")</f>
        <v>#VALUE!</v>
      </c>
      <c r="AU63" s="85" t="e">
        <f>IF(SchmidtTheory!AU161&gt;ActuatorSIZING!$G$44,SchmidtTheory!AU161,"")</f>
        <v>#VALUE!</v>
      </c>
      <c r="AV63" s="85" t="e">
        <f>IF(SchmidtTheory!AV161&gt;ActuatorSIZING!$G$44,SchmidtTheory!AV161,"")</f>
        <v>#VALUE!</v>
      </c>
      <c r="AW63" s="96">
        <v>30000</v>
      </c>
      <c r="AX63" s="93" t="e">
        <f>IF(AW63&gt;ActuatorSIZING!$G$44,SchmidtTheory!AW63,"")</f>
        <v>#VALUE!</v>
      </c>
      <c r="AY63" s="95" t="str">
        <f>IF(SELECTION!$P$46=SchmidtTheory!G59,SchmidtTheory!AX63,"")</f>
        <v/>
      </c>
      <c r="AZ63" s="93" t="str">
        <f>IF(SELECTION!$AJ$24&gt;(I63+0.3),SchmidtTheory!AY63,"")</f>
        <v/>
      </c>
      <c r="BA63" s="103" t="s">
        <v>132</v>
      </c>
      <c r="BB63" s="93" t="e">
        <f t="shared" si="3"/>
        <v>#VALUE!</v>
      </c>
      <c r="BC63" s="93" t="str">
        <f>IF(SELECTION!$P$46=SchmidtTheory!G59,SchmidtTheory!BB63,"")</f>
        <v/>
      </c>
      <c r="BD63" s="93" t="str">
        <f>IF(SELECTION!$AJ$24&gt;(I63+0.3),SchmidtTheory!BC63,"")</f>
        <v/>
      </c>
      <c r="BE63" s="93" t="b">
        <f t="shared" si="2"/>
        <v>0</v>
      </c>
      <c r="BF63" s="103" t="s">
        <v>132</v>
      </c>
    </row>
    <row r="64" spans="2:58" x14ac:dyDescent="0.2">
      <c r="F64" s="589"/>
      <c r="G64" s="598"/>
      <c r="H64" s="102">
        <v>2.6</v>
      </c>
      <c r="I64" s="101">
        <v>4.2</v>
      </c>
      <c r="J64" s="100"/>
      <c r="K64" s="99"/>
      <c r="L64" s="98">
        <v>6</v>
      </c>
      <c r="M64" s="97">
        <v>27000</v>
      </c>
      <c r="N64" s="85" t="e">
        <f>IF(SchmidtTheory!N162&gt;ActuatorSIZING!$G$44,SchmidtTheory!N162,"")</f>
        <v>#VALUE!</v>
      </c>
      <c r="O64" s="85" t="e">
        <f>IF(SchmidtTheory!O162&gt;ActuatorSIZING!$G$44,SchmidtTheory!O162,"")</f>
        <v>#VALUE!</v>
      </c>
      <c r="P64" s="85" t="e">
        <f>IF(SchmidtTheory!P162&gt;ActuatorSIZING!$G$44,SchmidtTheory!P162,"")</f>
        <v>#VALUE!</v>
      </c>
      <c r="Q64" s="85" t="e">
        <f>IF(SchmidtTheory!Q162&gt;ActuatorSIZING!$G$44,SchmidtTheory!Q162,"")</f>
        <v>#VALUE!</v>
      </c>
      <c r="R64" s="85" t="e">
        <f>IF(SchmidtTheory!R162&gt;ActuatorSIZING!$G$44,SchmidtTheory!R162,"")</f>
        <v>#VALUE!</v>
      </c>
      <c r="S64" s="85" t="e">
        <f>IF(SchmidtTheory!S162&gt;ActuatorSIZING!$G$44,SchmidtTheory!S162,"")</f>
        <v>#VALUE!</v>
      </c>
      <c r="T64" s="85" t="e">
        <f>IF(SchmidtTheory!T162&gt;ActuatorSIZING!$G$44,SchmidtTheory!T162,"")</f>
        <v>#VALUE!</v>
      </c>
      <c r="U64" s="85" t="e">
        <f>IF(SchmidtTheory!U162&gt;ActuatorSIZING!$G$44,SchmidtTheory!U162,"")</f>
        <v>#VALUE!</v>
      </c>
      <c r="V64" s="85" t="e">
        <f>IF(SchmidtTheory!V162&gt;ActuatorSIZING!$G$44,SchmidtTheory!V162,"")</f>
        <v>#VALUE!</v>
      </c>
      <c r="W64" s="85" t="e">
        <f>IF(SchmidtTheory!W162&gt;ActuatorSIZING!$G$44,SchmidtTheory!W162,"")</f>
        <v>#VALUE!</v>
      </c>
      <c r="X64" s="85" t="e">
        <f>IF(SchmidtTheory!X162&gt;ActuatorSIZING!$G$44,SchmidtTheory!X162,"")</f>
        <v>#VALUE!</v>
      </c>
      <c r="Y64" s="85" t="e">
        <f>IF(SchmidtTheory!Y162&gt;ActuatorSIZING!$G$44,SchmidtTheory!Y162,"")</f>
        <v>#VALUE!</v>
      </c>
      <c r="Z64" s="85" t="e">
        <f>IF(SchmidtTheory!Z162&gt;ActuatorSIZING!$G$44,SchmidtTheory!Z162,"")</f>
        <v>#VALUE!</v>
      </c>
      <c r="AA64" s="85" t="e">
        <f>IF(SchmidtTheory!AA162&gt;ActuatorSIZING!$G$44,SchmidtTheory!AA162,"")</f>
        <v>#VALUE!</v>
      </c>
      <c r="AB64" s="85" t="e">
        <f>IF(SchmidtTheory!AB162&gt;ActuatorSIZING!$G$44,SchmidtTheory!AB162,"")</f>
        <v>#VALUE!</v>
      </c>
      <c r="AC64" s="85" t="e">
        <f>IF(SchmidtTheory!AC162&gt;ActuatorSIZING!$G$44,SchmidtTheory!AC162,"")</f>
        <v>#VALUE!</v>
      </c>
      <c r="AD64" s="85" t="e">
        <f>IF(SchmidtTheory!AD162&gt;ActuatorSIZING!$G$44,SchmidtTheory!AD162,"")</f>
        <v>#VALUE!</v>
      </c>
      <c r="AE64" s="85" t="e">
        <f>IF(SchmidtTheory!AE162&gt;ActuatorSIZING!$G$44,SchmidtTheory!AE162,"")</f>
        <v>#VALUE!</v>
      </c>
      <c r="AF64" s="85" t="e">
        <f>IF(SchmidtTheory!AF162&gt;ActuatorSIZING!$G$44,SchmidtTheory!AF162,"")</f>
        <v>#VALUE!</v>
      </c>
      <c r="AG64" s="85" t="e">
        <f>IF(SchmidtTheory!AG162&gt;ActuatorSIZING!$G$44,SchmidtTheory!AG162,"")</f>
        <v>#VALUE!</v>
      </c>
      <c r="AH64" s="85" t="e">
        <f>IF(SchmidtTheory!AH162&gt;ActuatorSIZING!$G$44,SchmidtTheory!AH162,"")</f>
        <v>#VALUE!</v>
      </c>
      <c r="AI64" s="85" t="e">
        <f>IF(SchmidtTheory!AI162&gt;ActuatorSIZING!$G$44,SchmidtTheory!AI162,"")</f>
        <v>#VALUE!</v>
      </c>
      <c r="AJ64" s="85" t="e">
        <f>IF(SchmidtTheory!AJ162&gt;ActuatorSIZING!$G$44,SchmidtTheory!AJ162,"")</f>
        <v>#VALUE!</v>
      </c>
      <c r="AK64" s="85" t="e">
        <f>IF(SchmidtTheory!AK162&gt;ActuatorSIZING!$G$44,SchmidtTheory!AK162,"")</f>
        <v>#VALUE!</v>
      </c>
      <c r="AL64" s="85" t="e">
        <f>IF(SchmidtTheory!AL162&gt;ActuatorSIZING!$G$44,SchmidtTheory!AL162,"")</f>
        <v>#VALUE!</v>
      </c>
      <c r="AM64" s="85" t="e">
        <f>IF(SchmidtTheory!AM162&gt;ActuatorSIZING!$G$44,SchmidtTheory!AM162,"")</f>
        <v>#VALUE!</v>
      </c>
      <c r="AN64" s="85" t="e">
        <f>IF(SchmidtTheory!AN162&gt;ActuatorSIZING!$G$44,SchmidtTheory!AN162,"")</f>
        <v>#VALUE!</v>
      </c>
      <c r="AO64" s="85" t="e">
        <f>IF(SchmidtTheory!AO162&gt;ActuatorSIZING!$G$44,SchmidtTheory!AO162,"")</f>
        <v>#VALUE!</v>
      </c>
      <c r="AP64" s="85" t="e">
        <f>IF(SchmidtTheory!AP162&gt;ActuatorSIZING!$G$44,SchmidtTheory!AP162,"")</f>
        <v>#VALUE!</v>
      </c>
      <c r="AQ64" s="85" t="e">
        <f>IF(SchmidtTheory!AQ162&gt;ActuatorSIZING!$G$44,SchmidtTheory!AQ162,"")</f>
        <v>#VALUE!</v>
      </c>
      <c r="AR64" s="85" t="e">
        <f>IF(SchmidtTheory!AR162&gt;ActuatorSIZING!$G$44,SchmidtTheory!AR162,"")</f>
        <v>#VALUE!</v>
      </c>
      <c r="AS64" s="85" t="e">
        <f>IF(SchmidtTheory!AS162&gt;ActuatorSIZING!$G$44,SchmidtTheory!AS162,"")</f>
        <v>#VALUE!</v>
      </c>
      <c r="AT64" s="85" t="e">
        <f>IF(SchmidtTheory!AT162&gt;ActuatorSIZING!$G$44,SchmidtTheory!AT162,"")</f>
        <v>#VALUE!</v>
      </c>
      <c r="AU64" s="85" t="e">
        <f>IF(SchmidtTheory!AU162&gt;ActuatorSIZING!$G$44,SchmidtTheory!AU162,"")</f>
        <v>#VALUE!</v>
      </c>
      <c r="AV64" s="85" t="e">
        <f>IF(SchmidtTheory!AV162&gt;ActuatorSIZING!$G$44,SchmidtTheory!AV162,"")</f>
        <v>#VALUE!</v>
      </c>
      <c r="AW64" s="96">
        <v>39000</v>
      </c>
      <c r="AX64" s="93" t="e">
        <f>IF(AW64&gt;ActuatorSIZING!$G$44,SchmidtTheory!AW64,"")</f>
        <v>#VALUE!</v>
      </c>
      <c r="AY64" s="95" t="str">
        <f>IF(SELECTION!$P$46=SchmidtTheory!G59,SchmidtTheory!AX64,"")</f>
        <v/>
      </c>
      <c r="AZ64" s="93" t="str">
        <f>IF(SELECTION!$AJ$24&gt;(I64+0.3),SchmidtTheory!AY64,"")</f>
        <v/>
      </c>
      <c r="BA64" s="103" t="s">
        <v>131</v>
      </c>
      <c r="BB64" s="93" t="e">
        <f t="shared" si="3"/>
        <v>#VALUE!</v>
      </c>
      <c r="BC64" s="93" t="str">
        <f>IF(SELECTION!$P$46=SchmidtTheory!G59,SchmidtTheory!BB64,"")</f>
        <v/>
      </c>
      <c r="BD64" s="93" t="str">
        <f>IF(SELECTION!$AJ$24&gt;(I64+0.3),SchmidtTheory!BC64,"")</f>
        <v/>
      </c>
      <c r="BE64" s="93" t="b">
        <f t="shared" si="2"/>
        <v>0</v>
      </c>
      <c r="BF64" s="103" t="s">
        <v>131</v>
      </c>
    </row>
    <row r="65" spans="2:58" x14ac:dyDescent="0.2">
      <c r="B65" s="42" t="s">
        <v>133</v>
      </c>
      <c r="F65" s="589"/>
      <c r="G65" s="598">
        <v>80</v>
      </c>
      <c r="H65" s="102">
        <v>0.2</v>
      </c>
      <c r="I65" s="101">
        <v>1</v>
      </c>
      <c r="J65" s="100"/>
      <c r="K65" s="99"/>
      <c r="L65" s="98">
        <v>5</v>
      </c>
      <c r="M65" s="97">
        <v>60000</v>
      </c>
      <c r="N65" s="85" t="e">
        <f>IF(SchmidtTheory!N163&gt;ActuatorSIZING!$G$44,SchmidtTheory!N163,"")</f>
        <v>#VALUE!</v>
      </c>
      <c r="O65" s="85" t="e">
        <f>IF(SchmidtTheory!O163&gt;ActuatorSIZING!$G$44,SchmidtTheory!O163,"")</f>
        <v>#VALUE!</v>
      </c>
      <c r="P65" s="85" t="e">
        <f>IF(SchmidtTheory!P163&gt;ActuatorSIZING!$G$44,SchmidtTheory!P163,"")</f>
        <v>#VALUE!</v>
      </c>
      <c r="Q65" s="85" t="e">
        <f>IF(SchmidtTheory!Q163&gt;ActuatorSIZING!$G$44,SchmidtTheory!Q163,"")</f>
        <v>#VALUE!</v>
      </c>
      <c r="R65" s="85" t="e">
        <f>IF(SchmidtTheory!R163&gt;ActuatorSIZING!$G$44,SchmidtTheory!R163,"")</f>
        <v>#VALUE!</v>
      </c>
      <c r="S65" s="85" t="e">
        <f>IF(SchmidtTheory!S163&gt;ActuatorSIZING!$G$44,SchmidtTheory!S163,"")</f>
        <v>#VALUE!</v>
      </c>
      <c r="T65" s="85" t="e">
        <f>IF(SchmidtTheory!T163&gt;ActuatorSIZING!$G$44,SchmidtTheory!T163,"")</f>
        <v>#VALUE!</v>
      </c>
      <c r="U65" s="85" t="e">
        <f>IF(SchmidtTheory!U163&gt;ActuatorSIZING!$G$44,SchmidtTheory!U163,"")</f>
        <v>#VALUE!</v>
      </c>
      <c r="V65" s="85" t="e">
        <f>IF(SchmidtTheory!V163&gt;ActuatorSIZING!$G$44,SchmidtTheory!V163,"")</f>
        <v>#VALUE!</v>
      </c>
      <c r="W65" s="85" t="e">
        <f>IF(SchmidtTheory!W163&gt;ActuatorSIZING!$G$44,SchmidtTheory!W163,"")</f>
        <v>#VALUE!</v>
      </c>
      <c r="X65" s="85" t="e">
        <f>IF(SchmidtTheory!X163&gt;ActuatorSIZING!$G$44,SchmidtTheory!X163,"")</f>
        <v>#VALUE!</v>
      </c>
      <c r="Y65" s="85" t="e">
        <f>IF(SchmidtTheory!Y163&gt;ActuatorSIZING!$G$44,SchmidtTheory!Y163,"")</f>
        <v>#VALUE!</v>
      </c>
      <c r="Z65" s="85" t="e">
        <f>IF(SchmidtTheory!Z163&gt;ActuatorSIZING!$G$44,SchmidtTheory!Z163,"")</f>
        <v>#VALUE!</v>
      </c>
      <c r="AA65" s="85" t="e">
        <f>IF(SchmidtTheory!AA163&gt;ActuatorSIZING!$G$44,SchmidtTheory!AA163,"")</f>
        <v>#VALUE!</v>
      </c>
      <c r="AB65" s="85" t="e">
        <f>IF(SchmidtTheory!AB163&gt;ActuatorSIZING!$G$44,SchmidtTheory!AB163,"")</f>
        <v>#VALUE!</v>
      </c>
      <c r="AC65" s="85" t="e">
        <f>IF(SchmidtTheory!AC163&gt;ActuatorSIZING!$G$44,SchmidtTheory!AC163,"")</f>
        <v>#VALUE!</v>
      </c>
      <c r="AD65" s="85" t="e">
        <f>IF(SchmidtTheory!AD163&gt;ActuatorSIZING!$G$44,SchmidtTheory!AD163,"")</f>
        <v>#VALUE!</v>
      </c>
      <c r="AE65" s="85" t="e">
        <f>IF(SchmidtTheory!AE163&gt;ActuatorSIZING!$G$44,SchmidtTheory!AE163,"")</f>
        <v>#VALUE!</v>
      </c>
      <c r="AF65" s="85" t="e">
        <f>IF(SchmidtTheory!AF163&gt;ActuatorSIZING!$G$44,SchmidtTheory!AF163,"")</f>
        <v>#VALUE!</v>
      </c>
      <c r="AG65" s="85" t="e">
        <f>IF(SchmidtTheory!AG163&gt;ActuatorSIZING!$G$44,SchmidtTheory!AG163,"")</f>
        <v>#VALUE!</v>
      </c>
      <c r="AH65" s="85" t="e">
        <f>IF(SchmidtTheory!AH163&gt;ActuatorSIZING!$G$44,SchmidtTheory!AH163,"")</f>
        <v>#VALUE!</v>
      </c>
      <c r="AI65" s="85" t="e">
        <f>IF(SchmidtTheory!AI163&gt;ActuatorSIZING!$G$44,SchmidtTheory!AI163,"")</f>
        <v>#VALUE!</v>
      </c>
      <c r="AJ65" s="85" t="e">
        <f>IF(SchmidtTheory!AJ163&gt;ActuatorSIZING!$G$44,SchmidtTheory!AJ163,"")</f>
        <v>#VALUE!</v>
      </c>
      <c r="AK65" s="85" t="e">
        <f>IF(SchmidtTheory!AK163&gt;ActuatorSIZING!$G$44,SchmidtTheory!AK163,"")</f>
        <v>#VALUE!</v>
      </c>
      <c r="AL65" s="85" t="e">
        <f>IF(SchmidtTheory!AL163&gt;ActuatorSIZING!$G$44,SchmidtTheory!AL163,"")</f>
        <v>#VALUE!</v>
      </c>
      <c r="AM65" s="85" t="e">
        <f>IF(SchmidtTheory!AM163&gt;ActuatorSIZING!$G$44,SchmidtTheory!AM163,"")</f>
        <v>#VALUE!</v>
      </c>
      <c r="AN65" s="85" t="e">
        <f>IF(SchmidtTheory!AN163&gt;ActuatorSIZING!$G$44,SchmidtTheory!AN163,"")</f>
        <v>#VALUE!</v>
      </c>
      <c r="AO65" s="85" t="e">
        <f>IF(SchmidtTheory!AO163&gt;ActuatorSIZING!$G$44,SchmidtTheory!AO163,"")</f>
        <v>#VALUE!</v>
      </c>
      <c r="AP65" s="85" t="e">
        <f>IF(SchmidtTheory!AP163&gt;ActuatorSIZING!$G$44,SchmidtTheory!AP163,"")</f>
        <v>#VALUE!</v>
      </c>
      <c r="AQ65" s="85" t="e">
        <f>IF(SchmidtTheory!AQ163&gt;ActuatorSIZING!$G$44,SchmidtTheory!AQ163,"")</f>
        <v>#VALUE!</v>
      </c>
      <c r="AR65" s="85" t="e">
        <f>IF(SchmidtTheory!AR163&gt;ActuatorSIZING!$G$44,SchmidtTheory!AR163,"")</f>
        <v>#VALUE!</v>
      </c>
      <c r="AS65" s="85" t="e">
        <f>IF(SchmidtTheory!AS163&gt;ActuatorSIZING!$G$44,SchmidtTheory!AS163,"")</f>
        <v>#VALUE!</v>
      </c>
      <c r="AT65" s="85" t="e">
        <f>IF(SchmidtTheory!AT163&gt;ActuatorSIZING!$G$44,SchmidtTheory!AT163,"")</f>
        <v>#VALUE!</v>
      </c>
      <c r="AU65" s="85" t="e">
        <f>IF(SchmidtTheory!AU163&gt;ActuatorSIZING!$G$44,SchmidtTheory!AU163,"")</f>
        <v>#VALUE!</v>
      </c>
      <c r="AV65" s="85" t="e">
        <f>IF(SchmidtTheory!AV163&gt;ActuatorSIZING!$G$44,SchmidtTheory!AV163,"")</f>
        <v>#VALUE!</v>
      </c>
      <c r="AW65" s="96">
        <v>3000</v>
      </c>
      <c r="AX65" s="93" t="e">
        <f>IF(AW65&gt;ActuatorSIZING!$G$44,SchmidtTheory!AW65,"")</f>
        <v>#VALUE!</v>
      </c>
      <c r="AY65" s="95" t="str">
        <f>IF(SELECTION!$P$46=SchmidtTheory!G65,SchmidtTheory!AX65,"")</f>
        <v/>
      </c>
      <c r="AZ65" s="93" t="str">
        <f>IF(SELECTION!$AJ$24&gt;(I65+0.3),SchmidtTheory!AY65,"")</f>
        <v/>
      </c>
      <c r="BA65" s="103" t="s">
        <v>130</v>
      </c>
      <c r="BB65" s="93" t="e">
        <f t="shared" si="3"/>
        <v>#VALUE!</v>
      </c>
      <c r="BC65" s="93" t="str">
        <f>IF(SELECTION!$P$46=SchmidtTheory!G65,SchmidtTheory!BB65,"")</f>
        <v/>
      </c>
      <c r="BD65" s="93" t="str">
        <f>IF(SELECTION!$AJ$24&gt;(I65+0.3),SchmidtTheory!BC65,"")</f>
        <v/>
      </c>
      <c r="BE65" s="93" t="b">
        <f t="shared" si="2"/>
        <v>0</v>
      </c>
      <c r="BF65" s="103" t="s">
        <v>130</v>
      </c>
    </row>
    <row r="66" spans="2:58" x14ac:dyDescent="0.2">
      <c r="B66" s="126" t="s">
        <v>812</v>
      </c>
      <c r="F66" s="589"/>
      <c r="G66" s="598"/>
      <c r="H66" s="102">
        <v>0.4</v>
      </c>
      <c r="I66" s="101">
        <v>2</v>
      </c>
      <c r="J66" s="100">
        <v>2.4</v>
      </c>
      <c r="K66" s="99">
        <v>6000</v>
      </c>
      <c r="L66" s="98">
        <v>6</v>
      </c>
      <c r="M66" s="97">
        <v>60000</v>
      </c>
      <c r="N66" s="85" t="e">
        <f>IF(SchmidtTheory!N164&gt;ActuatorSIZING!$G$44,SchmidtTheory!N164,"")</f>
        <v>#VALUE!</v>
      </c>
      <c r="O66" s="85" t="e">
        <f>IF(SchmidtTheory!O164&gt;ActuatorSIZING!$G$44,SchmidtTheory!O164,"")</f>
        <v>#VALUE!</v>
      </c>
      <c r="P66" s="85" t="e">
        <f>IF(SchmidtTheory!P164&gt;ActuatorSIZING!$G$44,SchmidtTheory!P164,"")</f>
        <v>#VALUE!</v>
      </c>
      <c r="Q66" s="85" t="e">
        <f>IF(SchmidtTheory!Q164&gt;ActuatorSIZING!$G$44,SchmidtTheory!Q164,"")</f>
        <v>#VALUE!</v>
      </c>
      <c r="R66" s="85" t="e">
        <f>IF(SchmidtTheory!R164&gt;ActuatorSIZING!$G$44,SchmidtTheory!R164,"")</f>
        <v>#VALUE!</v>
      </c>
      <c r="S66" s="85" t="e">
        <f>IF(SchmidtTheory!S164&gt;ActuatorSIZING!$G$44,SchmidtTheory!S164,"")</f>
        <v>#VALUE!</v>
      </c>
      <c r="T66" s="85" t="e">
        <f>IF(SchmidtTheory!T164&gt;ActuatorSIZING!$G$44,SchmidtTheory!T164,"")</f>
        <v>#VALUE!</v>
      </c>
      <c r="U66" s="85" t="e">
        <f>IF(SchmidtTheory!U164&gt;ActuatorSIZING!$G$44,SchmidtTheory!U164,"")</f>
        <v>#VALUE!</v>
      </c>
      <c r="V66" s="85" t="e">
        <f>IF(SchmidtTheory!V164&gt;ActuatorSIZING!$G$44,SchmidtTheory!V164,"")</f>
        <v>#VALUE!</v>
      </c>
      <c r="W66" s="85" t="e">
        <f>IF(SchmidtTheory!W164&gt;ActuatorSIZING!$G$44,SchmidtTheory!W164,"")</f>
        <v>#VALUE!</v>
      </c>
      <c r="X66" s="85" t="e">
        <f>IF(SchmidtTheory!X164&gt;ActuatorSIZING!$G$44,SchmidtTheory!X164,"")</f>
        <v>#VALUE!</v>
      </c>
      <c r="Y66" s="85" t="e">
        <f>IF(SchmidtTheory!Y164&gt;ActuatorSIZING!$G$44,SchmidtTheory!Y164,"")</f>
        <v>#VALUE!</v>
      </c>
      <c r="Z66" s="85" t="e">
        <f>IF(SchmidtTheory!Z164&gt;ActuatorSIZING!$G$44,SchmidtTheory!Z164,"")</f>
        <v>#VALUE!</v>
      </c>
      <c r="AA66" s="85" t="e">
        <f>IF(SchmidtTheory!AA164&gt;ActuatorSIZING!$G$44,SchmidtTheory!AA164,"")</f>
        <v>#VALUE!</v>
      </c>
      <c r="AB66" s="85" t="e">
        <f>IF(SchmidtTheory!AB164&gt;ActuatorSIZING!$G$44,SchmidtTheory!AB164,"")</f>
        <v>#VALUE!</v>
      </c>
      <c r="AC66" s="85" t="e">
        <f>IF(SchmidtTheory!AC164&gt;ActuatorSIZING!$G$44,SchmidtTheory!AC164,"")</f>
        <v>#VALUE!</v>
      </c>
      <c r="AD66" s="85" t="e">
        <f>IF(SchmidtTheory!AD164&gt;ActuatorSIZING!$G$44,SchmidtTheory!AD164,"")</f>
        <v>#VALUE!</v>
      </c>
      <c r="AE66" s="85" t="e">
        <f>IF(SchmidtTheory!AE164&gt;ActuatorSIZING!$G$44,SchmidtTheory!AE164,"")</f>
        <v>#VALUE!</v>
      </c>
      <c r="AF66" s="85" t="e">
        <f>IF(SchmidtTheory!AF164&gt;ActuatorSIZING!$G$44,SchmidtTheory!AF164,"")</f>
        <v>#VALUE!</v>
      </c>
      <c r="AG66" s="85" t="e">
        <f>IF(SchmidtTheory!AG164&gt;ActuatorSIZING!$G$44,SchmidtTheory!AG164,"")</f>
        <v>#VALUE!</v>
      </c>
      <c r="AH66" s="85" t="e">
        <f>IF(SchmidtTheory!AH164&gt;ActuatorSIZING!$G$44,SchmidtTheory!AH164,"")</f>
        <v>#VALUE!</v>
      </c>
      <c r="AI66" s="85" t="e">
        <f>IF(SchmidtTheory!AI164&gt;ActuatorSIZING!$G$44,SchmidtTheory!AI164,"")</f>
        <v>#VALUE!</v>
      </c>
      <c r="AJ66" s="85" t="e">
        <f>IF(SchmidtTheory!AJ164&gt;ActuatorSIZING!$G$44,SchmidtTheory!AJ164,"")</f>
        <v>#VALUE!</v>
      </c>
      <c r="AK66" s="85" t="e">
        <f>IF(SchmidtTheory!AK164&gt;ActuatorSIZING!$G$44,SchmidtTheory!AK164,"")</f>
        <v>#VALUE!</v>
      </c>
      <c r="AL66" s="85" t="e">
        <f>IF(SchmidtTheory!AL164&gt;ActuatorSIZING!$G$44,SchmidtTheory!AL164,"")</f>
        <v>#VALUE!</v>
      </c>
      <c r="AM66" s="85" t="e">
        <f>IF(SchmidtTheory!AM164&gt;ActuatorSIZING!$G$44,SchmidtTheory!AM164,"")</f>
        <v>#VALUE!</v>
      </c>
      <c r="AN66" s="85" t="e">
        <f>IF(SchmidtTheory!AN164&gt;ActuatorSIZING!$G$44,SchmidtTheory!AN164,"")</f>
        <v>#VALUE!</v>
      </c>
      <c r="AO66" s="85" t="e">
        <f>IF(SchmidtTheory!AO164&gt;ActuatorSIZING!$G$44,SchmidtTheory!AO164,"")</f>
        <v>#VALUE!</v>
      </c>
      <c r="AP66" s="85" t="e">
        <f>IF(SchmidtTheory!AP164&gt;ActuatorSIZING!$G$44,SchmidtTheory!AP164,"")</f>
        <v>#VALUE!</v>
      </c>
      <c r="AQ66" s="85" t="e">
        <f>IF(SchmidtTheory!AQ164&gt;ActuatorSIZING!$G$44,SchmidtTheory!AQ164,"")</f>
        <v>#VALUE!</v>
      </c>
      <c r="AR66" s="85" t="e">
        <f>IF(SchmidtTheory!AR164&gt;ActuatorSIZING!$G$44,SchmidtTheory!AR164,"")</f>
        <v>#VALUE!</v>
      </c>
      <c r="AS66" s="85" t="e">
        <f>IF(SchmidtTheory!AS164&gt;ActuatorSIZING!$G$44,SchmidtTheory!AS164,"")</f>
        <v>#VALUE!</v>
      </c>
      <c r="AT66" s="85" t="e">
        <f>IF(SchmidtTheory!AT164&gt;ActuatorSIZING!$G$44,SchmidtTheory!AT164,"")</f>
        <v>#VALUE!</v>
      </c>
      <c r="AU66" s="85" t="e">
        <f>IF(SchmidtTheory!AU164&gt;ActuatorSIZING!$G$44,SchmidtTheory!AU164,"")</f>
        <v>#VALUE!</v>
      </c>
      <c r="AV66" s="85" t="e">
        <f>IF(SchmidtTheory!AV164&gt;ActuatorSIZING!$G$44,SchmidtTheory!AV164,"")</f>
        <v>#VALUE!</v>
      </c>
      <c r="AW66" s="96">
        <v>6000</v>
      </c>
      <c r="AX66" s="93" t="e">
        <f>IF(AW66&gt;ActuatorSIZING!$G$44,SchmidtTheory!AW66,"")</f>
        <v>#VALUE!</v>
      </c>
      <c r="AY66" s="95" t="str">
        <f>IF(SELECTION!$P$46=SchmidtTheory!G65,SchmidtTheory!AX66,"")</f>
        <v/>
      </c>
      <c r="AZ66" s="93" t="str">
        <f>IF(SELECTION!$AJ$24&gt;(I66+0.3),SchmidtTheory!AY66,"")</f>
        <v/>
      </c>
      <c r="BA66" s="103" t="s">
        <v>128</v>
      </c>
      <c r="BB66" s="93" t="e">
        <f t="shared" si="3"/>
        <v>#VALUE!</v>
      </c>
      <c r="BC66" s="93" t="str">
        <f>IF(SELECTION!$P$46=SchmidtTheory!G65,SchmidtTheory!BB66,"")</f>
        <v/>
      </c>
      <c r="BD66" s="93" t="str">
        <f>IF(SELECTION!$AJ$24&gt;(I66+0.3),SchmidtTheory!BC66,"")</f>
        <v/>
      </c>
      <c r="BE66" s="93" t="b">
        <f t="shared" si="2"/>
        <v>0</v>
      </c>
      <c r="BF66" s="103" t="s">
        <v>128</v>
      </c>
    </row>
    <row r="67" spans="2:58" x14ac:dyDescent="0.2">
      <c r="F67" s="589"/>
      <c r="G67" s="598"/>
      <c r="H67" s="102">
        <v>0.75</v>
      </c>
      <c r="I67" s="101">
        <v>1.4</v>
      </c>
      <c r="J67" s="100">
        <v>2.2000000000000002</v>
      </c>
      <c r="K67" s="99">
        <v>11250</v>
      </c>
      <c r="L67" s="98">
        <v>5.4</v>
      </c>
      <c r="M67" s="97">
        <v>60000</v>
      </c>
      <c r="N67" s="85" t="e">
        <f>IF(SchmidtTheory!N165&gt;ActuatorSIZING!$G$44,SchmidtTheory!N165,"")</f>
        <v>#VALUE!</v>
      </c>
      <c r="O67" s="85" t="e">
        <f>IF(SchmidtTheory!O165&gt;ActuatorSIZING!$G$44,SchmidtTheory!O165,"")</f>
        <v>#VALUE!</v>
      </c>
      <c r="P67" s="85" t="e">
        <f>IF(SchmidtTheory!P165&gt;ActuatorSIZING!$G$44,SchmidtTheory!P165,"")</f>
        <v>#VALUE!</v>
      </c>
      <c r="Q67" s="85" t="e">
        <f>IF(SchmidtTheory!Q165&gt;ActuatorSIZING!$G$44,SchmidtTheory!Q165,"")</f>
        <v>#VALUE!</v>
      </c>
      <c r="R67" s="85" t="e">
        <f>IF(SchmidtTheory!R165&gt;ActuatorSIZING!$G$44,SchmidtTheory!R165,"")</f>
        <v>#VALUE!</v>
      </c>
      <c r="S67" s="85" t="e">
        <f>IF(SchmidtTheory!S165&gt;ActuatorSIZING!$G$44,SchmidtTheory!S165,"")</f>
        <v>#VALUE!</v>
      </c>
      <c r="T67" s="85" t="e">
        <f>IF(SchmidtTheory!T165&gt;ActuatorSIZING!$G$44,SchmidtTheory!T165,"")</f>
        <v>#VALUE!</v>
      </c>
      <c r="U67" s="85" t="e">
        <f>IF(SchmidtTheory!U165&gt;ActuatorSIZING!$G$44,SchmidtTheory!U165,"")</f>
        <v>#VALUE!</v>
      </c>
      <c r="V67" s="85" t="e">
        <f>IF(SchmidtTheory!V165&gt;ActuatorSIZING!$G$44,SchmidtTheory!V165,"")</f>
        <v>#VALUE!</v>
      </c>
      <c r="W67" s="85" t="e">
        <f>IF(SchmidtTheory!W165&gt;ActuatorSIZING!$G$44,SchmidtTheory!W165,"")</f>
        <v>#VALUE!</v>
      </c>
      <c r="X67" s="85" t="e">
        <f>IF(SchmidtTheory!X165&gt;ActuatorSIZING!$G$44,SchmidtTheory!X165,"")</f>
        <v>#VALUE!</v>
      </c>
      <c r="Y67" s="85" t="e">
        <f>IF(SchmidtTheory!Y165&gt;ActuatorSIZING!$G$44,SchmidtTheory!Y165,"")</f>
        <v>#VALUE!</v>
      </c>
      <c r="Z67" s="85" t="e">
        <f>IF(SchmidtTheory!Z165&gt;ActuatorSIZING!$G$44,SchmidtTheory!Z165,"")</f>
        <v>#VALUE!</v>
      </c>
      <c r="AA67" s="85" t="e">
        <f>IF(SchmidtTheory!AA165&gt;ActuatorSIZING!$G$44,SchmidtTheory!AA165,"")</f>
        <v>#VALUE!</v>
      </c>
      <c r="AB67" s="85" t="e">
        <f>IF(SchmidtTheory!AB165&gt;ActuatorSIZING!$G$44,SchmidtTheory!AB165,"")</f>
        <v>#VALUE!</v>
      </c>
      <c r="AC67" s="85" t="e">
        <f>IF(SchmidtTheory!AC165&gt;ActuatorSIZING!$G$44,SchmidtTheory!AC165,"")</f>
        <v>#VALUE!</v>
      </c>
      <c r="AD67" s="85" t="e">
        <f>IF(SchmidtTheory!AD165&gt;ActuatorSIZING!$G$44,SchmidtTheory!AD165,"")</f>
        <v>#VALUE!</v>
      </c>
      <c r="AE67" s="85" t="e">
        <f>IF(SchmidtTheory!AE165&gt;ActuatorSIZING!$G$44,SchmidtTheory!AE165,"")</f>
        <v>#VALUE!</v>
      </c>
      <c r="AF67" s="85" t="e">
        <f>IF(SchmidtTheory!AF165&gt;ActuatorSIZING!$G$44,SchmidtTheory!AF165,"")</f>
        <v>#VALUE!</v>
      </c>
      <c r="AG67" s="85" t="e">
        <f>IF(SchmidtTheory!AG165&gt;ActuatorSIZING!$G$44,SchmidtTheory!AG165,"")</f>
        <v>#VALUE!</v>
      </c>
      <c r="AH67" s="85" t="e">
        <f>IF(SchmidtTheory!AH165&gt;ActuatorSIZING!$G$44,SchmidtTheory!AH165,"")</f>
        <v>#VALUE!</v>
      </c>
      <c r="AI67" s="85" t="e">
        <f>IF(SchmidtTheory!AI165&gt;ActuatorSIZING!$G$44,SchmidtTheory!AI165,"")</f>
        <v>#VALUE!</v>
      </c>
      <c r="AJ67" s="85" t="e">
        <f>IF(SchmidtTheory!AJ165&gt;ActuatorSIZING!$G$44,SchmidtTheory!AJ165,"")</f>
        <v>#VALUE!</v>
      </c>
      <c r="AK67" s="85" t="e">
        <f>IF(SchmidtTheory!AK165&gt;ActuatorSIZING!$G$44,SchmidtTheory!AK165,"")</f>
        <v>#VALUE!</v>
      </c>
      <c r="AL67" s="85" t="e">
        <f>IF(SchmidtTheory!AL165&gt;ActuatorSIZING!$G$44,SchmidtTheory!AL165,"")</f>
        <v>#VALUE!</v>
      </c>
      <c r="AM67" s="85" t="e">
        <f>IF(SchmidtTheory!AM165&gt;ActuatorSIZING!$G$44,SchmidtTheory!AM165,"")</f>
        <v>#VALUE!</v>
      </c>
      <c r="AN67" s="85" t="e">
        <f>IF(SchmidtTheory!AN165&gt;ActuatorSIZING!$G$44,SchmidtTheory!AN165,"")</f>
        <v>#VALUE!</v>
      </c>
      <c r="AO67" s="85" t="e">
        <f>IF(SchmidtTheory!AO165&gt;ActuatorSIZING!$G$44,SchmidtTheory!AO165,"")</f>
        <v>#VALUE!</v>
      </c>
      <c r="AP67" s="85" t="e">
        <f>IF(SchmidtTheory!AP165&gt;ActuatorSIZING!$G$44,SchmidtTheory!AP165,"")</f>
        <v>#VALUE!</v>
      </c>
      <c r="AQ67" s="85" t="e">
        <f>IF(SchmidtTheory!AQ165&gt;ActuatorSIZING!$G$44,SchmidtTheory!AQ165,"")</f>
        <v>#VALUE!</v>
      </c>
      <c r="AR67" s="85" t="e">
        <f>IF(SchmidtTheory!AR165&gt;ActuatorSIZING!$G$44,SchmidtTheory!AR165,"")</f>
        <v>#VALUE!</v>
      </c>
      <c r="AS67" s="85" t="e">
        <f>IF(SchmidtTheory!AS165&gt;ActuatorSIZING!$G$44,SchmidtTheory!AS165,"")</f>
        <v>#VALUE!</v>
      </c>
      <c r="AT67" s="85" t="e">
        <f>IF(SchmidtTheory!AT165&gt;ActuatorSIZING!$G$44,SchmidtTheory!AT165,"")</f>
        <v>#VALUE!</v>
      </c>
      <c r="AU67" s="85" t="e">
        <f>IF(SchmidtTheory!AU165&gt;ActuatorSIZING!$G$44,SchmidtTheory!AU165,"")</f>
        <v>#VALUE!</v>
      </c>
      <c r="AV67" s="85" t="e">
        <f>IF(SchmidtTheory!AV165&gt;ActuatorSIZING!$G$44,SchmidtTheory!AV165,"")</f>
        <v>#VALUE!</v>
      </c>
      <c r="AW67" s="96">
        <v>11250</v>
      </c>
      <c r="AX67" s="93" t="e">
        <f>IF(AW67&gt;ActuatorSIZING!$G$44,SchmidtTheory!AW67,"")</f>
        <v>#VALUE!</v>
      </c>
      <c r="AY67" s="95" t="str">
        <f>IF(SELECTION!$P$46=SchmidtTheory!G65,SchmidtTheory!AX67,"")</f>
        <v/>
      </c>
      <c r="AZ67" s="93" t="str">
        <f>IF(SELECTION!$AJ$24&gt;(I67+0.3),SchmidtTheory!AY67,"")</f>
        <v/>
      </c>
      <c r="BA67" s="103" t="s">
        <v>127</v>
      </c>
      <c r="BB67" s="93" t="e">
        <f t="shared" si="3"/>
        <v>#VALUE!</v>
      </c>
      <c r="BC67" s="93" t="str">
        <f>IF(SELECTION!$P$46=SchmidtTheory!G65,SchmidtTheory!BB67,"")</f>
        <v/>
      </c>
      <c r="BD67" s="93" t="str">
        <f>IF(SELECTION!$AJ$24&gt;(I67+0.3),SchmidtTheory!BC67,"")</f>
        <v/>
      </c>
      <c r="BE67" s="93" t="b">
        <f t="shared" si="2"/>
        <v>0</v>
      </c>
      <c r="BF67" s="103" t="s">
        <v>127</v>
      </c>
    </row>
    <row r="68" spans="2:58" x14ac:dyDescent="0.2">
      <c r="B68" s="42" t="s">
        <v>129</v>
      </c>
      <c r="F68" s="589"/>
      <c r="G68" s="598"/>
      <c r="H68" s="102">
        <v>1.5</v>
      </c>
      <c r="I68" s="101">
        <v>2.7</v>
      </c>
      <c r="J68" s="100">
        <v>4.2</v>
      </c>
      <c r="K68" s="99">
        <v>22500</v>
      </c>
      <c r="L68" s="98">
        <v>6</v>
      </c>
      <c r="M68" s="97">
        <v>49500</v>
      </c>
      <c r="N68" s="85" t="e">
        <f>IF(SchmidtTheory!N166&gt;ActuatorSIZING!$G$44,SchmidtTheory!N166,"")</f>
        <v>#VALUE!</v>
      </c>
      <c r="O68" s="85" t="e">
        <f>IF(SchmidtTheory!O166&gt;ActuatorSIZING!$G$44,SchmidtTheory!O166,"")</f>
        <v>#VALUE!</v>
      </c>
      <c r="P68" s="85" t="e">
        <f>IF(SchmidtTheory!P166&gt;ActuatorSIZING!$G$44,SchmidtTheory!P166,"")</f>
        <v>#VALUE!</v>
      </c>
      <c r="Q68" s="85" t="e">
        <f>IF(SchmidtTheory!Q166&gt;ActuatorSIZING!$G$44,SchmidtTheory!Q166,"")</f>
        <v>#VALUE!</v>
      </c>
      <c r="R68" s="85" t="e">
        <f>IF(SchmidtTheory!R166&gt;ActuatorSIZING!$G$44,SchmidtTheory!R166,"")</f>
        <v>#VALUE!</v>
      </c>
      <c r="S68" s="85" t="e">
        <f>IF(SchmidtTheory!S166&gt;ActuatorSIZING!$G$44,SchmidtTheory!S166,"")</f>
        <v>#VALUE!</v>
      </c>
      <c r="T68" s="85" t="e">
        <f>IF(SchmidtTheory!T166&gt;ActuatorSIZING!$G$44,SchmidtTheory!T166,"")</f>
        <v>#VALUE!</v>
      </c>
      <c r="U68" s="85" t="e">
        <f>IF(SchmidtTheory!U166&gt;ActuatorSIZING!$G$44,SchmidtTheory!U166,"")</f>
        <v>#VALUE!</v>
      </c>
      <c r="V68" s="85" t="e">
        <f>IF(SchmidtTheory!V166&gt;ActuatorSIZING!$G$44,SchmidtTheory!V166,"")</f>
        <v>#VALUE!</v>
      </c>
      <c r="W68" s="85" t="e">
        <f>IF(SchmidtTheory!W166&gt;ActuatorSIZING!$G$44,SchmidtTheory!W166,"")</f>
        <v>#VALUE!</v>
      </c>
      <c r="X68" s="85" t="e">
        <f>IF(SchmidtTheory!X166&gt;ActuatorSIZING!$G$44,SchmidtTheory!X166,"")</f>
        <v>#VALUE!</v>
      </c>
      <c r="Y68" s="85" t="e">
        <f>IF(SchmidtTheory!Y166&gt;ActuatorSIZING!$G$44,SchmidtTheory!Y166,"")</f>
        <v>#VALUE!</v>
      </c>
      <c r="Z68" s="85" t="e">
        <f>IF(SchmidtTheory!Z166&gt;ActuatorSIZING!$G$44,SchmidtTheory!Z166,"")</f>
        <v>#VALUE!</v>
      </c>
      <c r="AA68" s="85" t="e">
        <f>IF(SchmidtTheory!AA166&gt;ActuatorSIZING!$G$44,SchmidtTheory!AA166,"")</f>
        <v>#VALUE!</v>
      </c>
      <c r="AB68" s="85" t="e">
        <f>IF(SchmidtTheory!AB166&gt;ActuatorSIZING!$G$44,SchmidtTheory!AB166,"")</f>
        <v>#VALUE!</v>
      </c>
      <c r="AC68" s="85" t="e">
        <f>IF(SchmidtTheory!AC166&gt;ActuatorSIZING!$G$44,SchmidtTheory!AC166,"")</f>
        <v>#VALUE!</v>
      </c>
      <c r="AD68" s="85" t="e">
        <f>IF(SchmidtTheory!AD166&gt;ActuatorSIZING!$G$44,SchmidtTheory!AD166,"")</f>
        <v>#VALUE!</v>
      </c>
      <c r="AE68" s="85" t="e">
        <f>IF(SchmidtTheory!AE166&gt;ActuatorSIZING!$G$44,SchmidtTheory!AE166,"")</f>
        <v>#VALUE!</v>
      </c>
      <c r="AF68" s="85" t="e">
        <f>IF(SchmidtTheory!AF166&gt;ActuatorSIZING!$G$44,SchmidtTheory!AF166,"")</f>
        <v>#VALUE!</v>
      </c>
      <c r="AG68" s="85" t="e">
        <f>IF(SchmidtTheory!AG166&gt;ActuatorSIZING!$G$44,SchmidtTheory!AG166,"")</f>
        <v>#VALUE!</v>
      </c>
      <c r="AH68" s="85" t="e">
        <f>IF(SchmidtTheory!AH166&gt;ActuatorSIZING!$G$44,SchmidtTheory!AH166,"")</f>
        <v>#VALUE!</v>
      </c>
      <c r="AI68" s="85" t="e">
        <f>IF(SchmidtTheory!AI166&gt;ActuatorSIZING!$G$44,SchmidtTheory!AI166,"")</f>
        <v>#VALUE!</v>
      </c>
      <c r="AJ68" s="85" t="e">
        <f>IF(SchmidtTheory!AJ166&gt;ActuatorSIZING!$G$44,SchmidtTheory!AJ166,"")</f>
        <v>#VALUE!</v>
      </c>
      <c r="AK68" s="85" t="e">
        <f>IF(SchmidtTheory!AK166&gt;ActuatorSIZING!$G$44,SchmidtTheory!AK166,"")</f>
        <v>#VALUE!</v>
      </c>
      <c r="AL68" s="85" t="e">
        <f>IF(SchmidtTheory!AL166&gt;ActuatorSIZING!$G$44,SchmidtTheory!AL166,"")</f>
        <v>#VALUE!</v>
      </c>
      <c r="AM68" s="85" t="e">
        <f>IF(SchmidtTheory!AM166&gt;ActuatorSIZING!$G$44,SchmidtTheory!AM166,"")</f>
        <v>#VALUE!</v>
      </c>
      <c r="AN68" s="85" t="e">
        <f>IF(SchmidtTheory!AN166&gt;ActuatorSIZING!$G$44,SchmidtTheory!AN166,"")</f>
        <v>#VALUE!</v>
      </c>
      <c r="AO68" s="85" t="e">
        <f>IF(SchmidtTheory!AO166&gt;ActuatorSIZING!$G$44,SchmidtTheory!AO166,"")</f>
        <v>#VALUE!</v>
      </c>
      <c r="AP68" s="85" t="e">
        <f>IF(SchmidtTheory!AP166&gt;ActuatorSIZING!$G$44,SchmidtTheory!AP166,"")</f>
        <v>#VALUE!</v>
      </c>
      <c r="AQ68" s="85" t="e">
        <f>IF(SchmidtTheory!AQ166&gt;ActuatorSIZING!$G$44,SchmidtTheory!AQ166,"")</f>
        <v>#VALUE!</v>
      </c>
      <c r="AR68" s="85" t="e">
        <f>IF(SchmidtTheory!AR166&gt;ActuatorSIZING!$G$44,SchmidtTheory!AR166,"")</f>
        <v>#VALUE!</v>
      </c>
      <c r="AS68" s="85" t="e">
        <f>IF(SchmidtTheory!AS166&gt;ActuatorSIZING!$G$44,SchmidtTheory!AS166,"")</f>
        <v>#VALUE!</v>
      </c>
      <c r="AT68" s="85" t="e">
        <f>IF(SchmidtTheory!AT166&gt;ActuatorSIZING!$G$44,SchmidtTheory!AT166,"")</f>
        <v>#VALUE!</v>
      </c>
      <c r="AU68" s="85" t="e">
        <f>IF(SchmidtTheory!AU166&gt;ActuatorSIZING!$G$44,SchmidtTheory!AU166,"")</f>
        <v>#VALUE!</v>
      </c>
      <c r="AV68" s="85" t="e">
        <f>IF(SchmidtTheory!AV166&gt;ActuatorSIZING!$G$44,SchmidtTheory!AV166,"")</f>
        <v>#VALUE!</v>
      </c>
      <c r="AW68" s="96">
        <v>22500</v>
      </c>
      <c r="AX68" s="93" t="e">
        <f>IF(AW68&gt;ActuatorSIZING!$G$44,SchmidtTheory!AW68,"")</f>
        <v>#VALUE!</v>
      </c>
      <c r="AY68" s="95" t="str">
        <f>IF(SELECTION!$P$46=SchmidtTheory!G65,SchmidtTheory!AX68,"")</f>
        <v/>
      </c>
      <c r="AZ68" s="93" t="str">
        <f>IF(SELECTION!$AJ$24&gt;(I68+0.3),SchmidtTheory!AY68,"")</f>
        <v/>
      </c>
      <c r="BA68" s="103" t="s">
        <v>126</v>
      </c>
      <c r="BB68" s="93" t="e">
        <f t="shared" si="3"/>
        <v>#VALUE!</v>
      </c>
      <c r="BC68" s="93" t="str">
        <f>IF(SELECTION!$P$46=SchmidtTheory!G65,SchmidtTheory!BB68,"")</f>
        <v/>
      </c>
      <c r="BD68" s="93" t="str">
        <f>IF(SELECTION!$AJ$24&gt;(I68+0.3),SchmidtTheory!BC68,"")</f>
        <v/>
      </c>
      <c r="BE68" s="93" t="b">
        <f t="shared" si="2"/>
        <v>0</v>
      </c>
      <c r="BF68" s="103" t="s">
        <v>126</v>
      </c>
    </row>
    <row r="69" spans="2:58" x14ac:dyDescent="0.2">
      <c r="B69" s="126" t="s">
        <v>814</v>
      </c>
      <c r="F69" s="589"/>
      <c r="G69" s="598"/>
      <c r="H69" s="102">
        <v>2</v>
      </c>
      <c r="I69" s="101">
        <v>3.5</v>
      </c>
      <c r="J69" s="100">
        <v>5.5</v>
      </c>
      <c r="K69" s="99">
        <v>30000</v>
      </c>
      <c r="L69" s="98">
        <v>6</v>
      </c>
      <c r="M69" s="97">
        <v>37500</v>
      </c>
      <c r="N69" s="85" t="e">
        <f>IF(SchmidtTheory!N167&gt;ActuatorSIZING!$G$44,SchmidtTheory!N167,"")</f>
        <v>#VALUE!</v>
      </c>
      <c r="O69" s="85" t="e">
        <f>IF(SchmidtTheory!O167&gt;ActuatorSIZING!$G$44,SchmidtTheory!O167,"")</f>
        <v>#VALUE!</v>
      </c>
      <c r="P69" s="85" t="e">
        <f>IF(SchmidtTheory!P167&gt;ActuatorSIZING!$G$44,SchmidtTheory!P167,"")</f>
        <v>#VALUE!</v>
      </c>
      <c r="Q69" s="85" t="e">
        <f>IF(SchmidtTheory!Q167&gt;ActuatorSIZING!$G$44,SchmidtTheory!Q167,"")</f>
        <v>#VALUE!</v>
      </c>
      <c r="R69" s="85" t="e">
        <f>IF(SchmidtTheory!R167&gt;ActuatorSIZING!$G$44,SchmidtTheory!R167,"")</f>
        <v>#VALUE!</v>
      </c>
      <c r="S69" s="85" t="e">
        <f>IF(SchmidtTheory!S167&gt;ActuatorSIZING!$G$44,SchmidtTheory!S167,"")</f>
        <v>#VALUE!</v>
      </c>
      <c r="T69" s="85" t="e">
        <f>IF(SchmidtTheory!T167&gt;ActuatorSIZING!$G$44,SchmidtTheory!T167,"")</f>
        <v>#VALUE!</v>
      </c>
      <c r="U69" s="85" t="e">
        <f>IF(SchmidtTheory!U167&gt;ActuatorSIZING!$G$44,SchmidtTheory!U167,"")</f>
        <v>#VALUE!</v>
      </c>
      <c r="V69" s="85" t="e">
        <f>IF(SchmidtTheory!V167&gt;ActuatorSIZING!$G$44,SchmidtTheory!V167,"")</f>
        <v>#VALUE!</v>
      </c>
      <c r="W69" s="85" t="e">
        <f>IF(SchmidtTheory!W167&gt;ActuatorSIZING!$G$44,SchmidtTheory!W167,"")</f>
        <v>#VALUE!</v>
      </c>
      <c r="X69" s="85" t="e">
        <f>IF(SchmidtTheory!X167&gt;ActuatorSIZING!$G$44,SchmidtTheory!X167,"")</f>
        <v>#VALUE!</v>
      </c>
      <c r="Y69" s="85" t="e">
        <f>IF(SchmidtTheory!Y167&gt;ActuatorSIZING!$G$44,SchmidtTheory!Y167,"")</f>
        <v>#VALUE!</v>
      </c>
      <c r="Z69" s="85" t="e">
        <f>IF(SchmidtTheory!Z167&gt;ActuatorSIZING!$G$44,SchmidtTheory!Z167,"")</f>
        <v>#VALUE!</v>
      </c>
      <c r="AA69" s="85" t="e">
        <f>IF(SchmidtTheory!AA167&gt;ActuatorSIZING!$G$44,SchmidtTheory!AA167,"")</f>
        <v>#VALUE!</v>
      </c>
      <c r="AB69" s="85" t="e">
        <f>IF(SchmidtTheory!AB167&gt;ActuatorSIZING!$G$44,SchmidtTheory!AB167,"")</f>
        <v>#VALUE!</v>
      </c>
      <c r="AC69" s="85" t="e">
        <f>IF(SchmidtTheory!AC167&gt;ActuatorSIZING!$G$44,SchmidtTheory!AC167,"")</f>
        <v>#VALUE!</v>
      </c>
      <c r="AD69" s="85" t="e">
        <f>IF(SchmidtTheory!AD167&gt;ActuatorSIZING!$G$44,SchmidtTheory!AD167,"")</f>
        <v>#VALUE!</v>
      </c>
      <c r="AE69" s="85" t="e">
        <f>IF(SchmidtTheory!AE167&gt;ActuatorSIZING!$G$44,SchmidtTheory!AE167,"")</f>
        <v>#VALUE!</v>
      </c>
      <c r="AF69" s="85" t="e">
        <f>IF(SchmidtTheory!AF167&gt;ActuatorSIZING!$G$44,SchmidtTheory!AF167,"")</f>
        <v>#VALUE!</v>
      </c>
      <c r="AG69" s="85" t="e">
        <f>IF(SchmidtTheory!AG167&gt;ActuatorSIZING!$G$44,SchmidtTheory!AG167,"")</f>
        <v>#VALUE!</v>
      </c>
      <c r="AH69" s="85" t="e">
        <f>IF(SchmidtTheory!AH167&gt;ActuatorSIZING!$G$44,SchmidtTheory!AH167,"")</f>
        <v>#VALUE!</v>
      </c>
      <c r="AI69" s="85" t="e">
        <f>IF(SchmidtTheory!AI167&gt;ActuatorSIZING!$G$44,SchmidtTheory!AI167,"")</f>
        <v>#VALUE!</v>
      </c>
      <c r="AJ69" s="85" t="e">
        <f>IF(SchmidtTheory!AJ167&gt;ActuatorSIZING!$G$44,SchmidtTheory!AJ167,"")</f>
        <v>#VALUE!</v>
      </c>
      <c r="AK69" s="85" t="e">
        <f>IF(SchmidtTheory!AK167&gt;ActuatorSIZING!$G$44,SchmidtTheory!AK167,"")</f>
        <v>#VALUE!</v>
      </c>
      <c r="AL69" s="85" t="e">
        <f>IF(SchmidtTheory!AL167&gt;ActuatorSIZING!$G$44,SchmidtTheory!AL167,"")</f>
        <v>#VALUE!</v>
      </c>
      <c r="AM69" s="85" t="e">
        <f>IF(SchmidtTheory!AM167&gt;ActuatorSIZING!$G$44,SchmidtTheory!AM167,"")</f>
        <v>#VALUE!</v>
      </c>
      <c r="AN69" s="85" t="e">
        <f>IF(SchmidtTheory!AN167&gt;ActuatorSIZING!$G$44,SchmidtTheory!AN167,"")</f>
        <v>#VALUE!</v>
      </c>
      <c r="AO69" s="85" t="e">
        <f>IF(SchmidtTheory!AO167&gt;ActuatorSIZING!$G$44,SchmidtTheory!AO167,"")</f>
        <v>#VALUE!</v>
      </c>
      <c r="AP69" s="85" t="e">
        <f>IF(SchmidtTheory!AP167&gt;ActuatorSIZING!$G$44,SchmidtTheory!AP167,"")</f>
        <v>#VALUE!</v>
      </c>
      <c r="AQ69" s="85" t="e">
        <f>IF(SchmidtTheory!AQ167&gt;ActuatorSIZING!$G$44,SchmidtTheory!AQ167,"")</f>
        <v>#VALUE!</v>
      </c>
      <c r="AR69" s="85" t="e">
        <f>IF(SchmidtTheory!AR167&gt;ActuatorSIZING!$G$44,SchmidtTheory!AR167,"")</f>
        <v>#VALUE!</v>
      </c>
      <c r="AS69" s="85" t="e">
        <f>IF(SchmidtTheory!AS167&gt;ActuatorSIZING!$G$44,SchmidtTheory!AS167,"")</f>
        <v>#VALUE!</v>
      </c>
      <c r="AT69" s="85" t="e">
        <f>IF(SchmidtTheory!AT167&gt;ActuatorSIZING!$G$44,SchmidtTheory!AT167,"")</f>
        <v>#VALUE!</v>
      </c>
      <c r="AU69" s="85" t="e">
        <f>IF(SchmidtTheory!AU167&gt;ActuatorSIZING!$G$44,SchmidtTheory!AU167,"")</f>
        <v>#VALUE!</v>
      </c>
      <c r="AV69" s="85" t="e">
        <f>IF(SchmidtTheory!AV167&gt;ActuatorSIZING!$G$44,SchmidtTheory!AV167,"")</f>
        <v>#VALUE!</v>
      </c>
      <c r="AW69" s="96">
        <v>30000</v>
      </c>
      <c r="AX69" s="93" t="e">
        <f>IF(AW69&gt;ActuatorSIZING!$G$44,SchmidtTheory!AW69,"")</f>
        <v>#VALUE!</v>
      </c>
      <c r="AY69" s="95" t="str">
        <f>IF(SELECTION!$P$46=SchmidtTheory!G65,SchmidtTheory!AX69,"")</f>
        <v/>
      </c>
      <c r="AZ69" s="93" t="str">
        <f>IF(SELECTION!$AJ$24&gt;(I69+0.3),SchmidtTheory!AY69,"")</f>
        <v/>
      </c>
      <c r="BA69" s="103" t="s">
        <v>124</v>
      </c>
      <c r="BB69" s="93" t="e">
        <f t="shared" si="3"/>
        <v>#VALUE!</v>
      </c>
      <c r="BC69" s="93" t="str">
        <f>IF(SELECTION!$P$46=SchmidtTheory!G65,SchmidtTheory!BB69,"")</f>
        <v/>
      </c>
      <c r="BD69" s="93" t="str">
        <f>IF(SELECTION!$AJ$24&gt;(I69+0.3),SchmidtTheory!BC69,"")</f>
        <v/>
      </c>
      <c r="BE69" s="93" t="b">
        <f t="shared" si="2"/>
        <v>0</v>
      </c>
      <c r="BF69" s="103" t="s">
        <v>124</v>
      </c>
    </row>
    <row r="70" spans="2:58" x14ac:dyDescent="0.2">
      <c r="F70" s="589"/>
      <c r="G70" s="598"/>
      <c r="H70" s="102">
        <v>2.6</v>
      </c>
      <c r="I70" s="101">
        <v>4.2</v>
      </c>
      <c r="J70" s="100"/>
      <c r="K70" s="99"/>
      <c r="L70" s="98">
        <v>6</v>
      </c>
      <c r="M70" s="97">
        <v>27000</v>
      </c>
      <c r="N70" s="85" t="e">
        <f>IF(SchmidtTheory!N168&gt;ActuatorSIZING!$G$44,SchmidtTheory!N168,"")</f>
        <v>#VALUE!</v>
      </c>
      <c r="O70" s="85" t="e">
        <f>IF(SchmidtTheory!O168&gt;ActuatorSIZING!$G$44,SchmidtTheory!O168,"")</f>
        <v>#VALUE!</v>
      </c>
      <c r="P70" s="85" t="e">
        <f>IF(SchmidtTheory!P168&gt;ActuatorSIZING!$G$44,SchmidtTheory!P168,"")</f>
        <v>#VALUE!</v>
      </c>
      <c r="Q70" s="85" t="e">
        <f>IF(SchmidtTheory!Q168&gt;ActuatorSIZING!$G$44,SchmidtTheory!Q168,"")</f>
        <v>#VALUE!</v>
      </c>
      <c r="R70" s="85" t="e">
        <f>IF(SchmidtTheory!R168&gt;ActuatorSIZING!$G$44,SchmidtTheory!R168,"")</f>
        <v>#VALUE!</v>
      </c>
      <c r="S70" s="85" t="e">
        <f>IF(SchmidtTheory!S168&gt;ActuatorSIZING!$G$44,SchmidtTheory!S168,"")</f>
        <v>#VALUE!</v>
      </c>
      <c r="T70" s="85" t="e">
        <f>IF(SchmidtTheory!T168&gt;ActuatorSIZING!$G$44,SchmidtTheory!T168,"")</f>
        <v>#VALUE!</v>
      </c>
      <c r="U70" s="85" t="e">
        <f>IF(SchmidtTheory!U168&gt;ActuatorSIZING!$G$44,SchmidtTheory!U168,"")</f>
        <v>#VALUE!</v>
      </c>
      <c r="V70" s="85" t="e">
        <f>IF(SchmidtTheory!V168&gt;ActuatorSIZING!$G$44,SchmidtTheory!V168,"")</f>
        <v>#VALUE!</v>
      </c>
      <c r="W70" s="85" t="e">
        <f>IF(SchmidtTheory!W168&gt;ActuatorSIZING!$G$44,SchmidtTheory!W168,"")</f>
        <v>#VALUE!</v>
      </c>
      <c r="X70" s="85" t="e">
        <f>IF(SchmidtTheory!X168&gt;ActuatorSIZING!$G$44,SchmidtTheory!X168,"")</f>
        <v>#VALUE!</v>
      </c>
      <c r="Y70" s="85" t="e">
        <f>IF(SchmidtTheory!Y168&gt;ActuatorSIZING!$G$44,SchmidtTheory!Y168,"")</f>
        <v>#VALUE!</v>
      </c>
      <c r="Z70" s="85" t="e">
        <f>IF(SchmidtTheory!Z168&gt;ActuatorSIZING!$G$44,SchmidtTheory!Z168,"")</f>
        <v>#VALUE!</v>
      </c>
      <c r="AA70" s="85" t="e">
        <f>IF(SchmidtTheory!AA168&gt;ActuatorSIZING!$G$44,SchmidtTheory!AA168,"")</f>
        <v>#VALUE!</v>
      </c>
      <c r="AB70" s="85" t="e">
        <f>IF(SchmidtTheory!AB168&gt;ActuatorSIZING!$G$44,SchmidtTheory!AB168,"")</f>
        <v>#VALUE!</v>
      </c>
      <c r="AC70" s="85" t="e">
        <f>IF(SchmidtTheory!AC168&gt;ActuatorSIZING!$G$44,SchmidtTheory!AC168,"")</f>
        <v>#VALUE!</v>
      </c>
      <c r="AD70" s="85" t="e">
        <f>IF(SchmidtTheory!AD168&gt;ActuatorSIZING!$G$44,SchmidtTheory!AD168,"")</f>
        <v>#VALUE!</v>
      </c>
      <c r="AE70" s="85" t="e">
        <f>IF(SchmidtTheory!AE168&gt;ActuatorSIZING!$G$44,SchmidtTheory!AE168,"")</f>
        <v>#VALUE!</v>
      </c>
      <c r="AF70" s="85" t="e">
        <f>IF(SchmidtTheory!AF168&gt;ActuatorSIZING!$G$44,SchmidtTheory!AF168,"")</f>
        <v>#VALUE!</v>
      </c>
      <c r="AG70" s="85" t="e">
        <f>IF(SchmidtTheory!AG168&gt;ActuatorSIZING!$G$44,SchmidtTheory!AG168,"")</f>
        <v>#VALUE!</v>
      </c>
      <c r="AH70" s="85" t="e">
        <f>IF(SchmidtTheory!AH168&gt;ActuatorSIZING!$G$44,SchmidtTheory!AH168,"")</f>
        <v>#VALUE!</v>
      </c>
      <c r="AI70" s="85" t="e">
        <f>IF(SchmidtTheory!AI168&gt;ActuatorSIZING!$G$44,SchmidtTheory!AI168,"")</f>
        <v>#VALUE!</v>
      </c>
      <c r="AJ70" s="85" t="e">
        <f>IF(SchmidtTheory!AJ168&gt;ActuatorSIZING!$G$44,SchmidtTheory!AJ168,"")</f>
        <v>#VALUE!</v>
      </c>
      <c r="AK70" s="85" t="e">
        <f>IF(SchmidtTheory!AK168&gt;ActuatorSIZING!$G$44,SchmidtTheory!AK168,"")</f>
        <v>#VALUE!</v>
      </c>
      <c r="AL70" s="85" t="e">
        <f>IF(SchmidtTheory!AL168&gt;ActuatorSIZING!$G$44,SchmidtTheory!AL168,"")</f>
        <v>#VALUE!</v>
      </c>
      <c r="AM70" s="85" t="e">
        <f>IF(SchmidtTheory!AM168&gt;ActuatorSIZING!$G$44,SchmidtTheory!AM168,"")</f>
        <v>#VALUE!</v>
      </c>
      <c r="AN70" s="85" t="e">
        <f>IF(SchmidtTheory!AN168&gt;ActuatorSIZING!$G$44,SchmidtTheory!AN168,"")</f>
        <v>#VALUE!</v>
      </c>
      <c r="AO70" s="85" t="e">
        <f>IF(SchmidtTheory!AO168&gt;ActuatorSIZING!$G$44,SchmidtTheory!AO168,"")</f>
        <v>#VALUE!</v>
      </c>
      <c r="AP70" s="85" t="e">
        <f>IF(SchmidtTheory!AP168&gt;ActuatorSIZING!$G$44,SchmidtTheory!AP168,"")</f>
        <v>#VALUE!</v>
      </c>
      <c r="AQ70" s="85" t="e">
        <f>IF(SchmidtTheory!AQ168&gt;ActuatorSIZING!$G$44,SchmidtTheory!AQ168,"")</f>
        <v>#VALUE!</v>
      </c>
      <c r="AR70" s="85" t="e">
        <f>IF(SchmidtTheory!AR168&gt;ActuatorSIZING!$G$44,SchmidtTheory!AR168,"")</f>
        <v>#VALUE!</v>
      </c>
      <c r="AS70" s="85" t="e">
        <f>IF(SchmidtTheory!AS168&gt;ActuatorSIZING!$G$44,SchmidtTheory!AS168,"")</f>
        <v>#VALUE!</v>
      </c>
      <c r="AT70" s="85" t="e">
        <f>IF(SchmidtTheory!AT168&gt;ActuatorSIZING!$G$44,SchmidtTheory!AT168,"")</f>
        <v>#VALUE!</v>
      </c>
      <c r="AU70" s="85" t="e">
        <f>IF(SchmidtTheory!AU168&gt;ActuatorSIZING!$G$44,SchmidtTheory!AU168,"")</f>
        <v>#VALUE!</v>
      </c>
      <c r="AV70" s="85" t="e">
        <f>IF(SchmidtTheory!AV168&gt;ActuatorSIZING!$G$44,SchmidtTheory!AV168,"")</f>
        <v>#VALUE!</v>
      </c>
      <c r="AW70" s="96">
        <v>39000</v>
      </c>
      <c r="AX70" s="93" t="e">
        <f>IF(AW70&gt;ActuatorSIZING!$G$44,SchmidtTheory!AW70,"")</f>
        <v>#VALUE!</v>
      </c>
      <c r="AY70" s="95" t="str">
        <f>IF(SELECTION!$P$46=SchmidtTheory!G65,SchmidtTheory!AX70,"")</f>
        <v/>
      </c>
      <c r="AZ70" s="93" t="str">
        <f>IF(SELECTION!$AJ$24&gt;(I70+0.3),SchmidtTheory!AY70,"")</f>
        <v/>
      </c>
      <c r="BA70" s="103" t="s">
        <v>123</v>
      </c>
      <c r="BB70" s="93" t="e">
        <f t="shared" si="3"/>
        <v>#VALUE!</v>
      </c>
      <c r="BC70" s="93" t="str">
        <f>IF(SELECTION!$P$46=SchmidtTheory!G65,SchmidtTheory!BB70,"")</f>
        <v/>
      </c>
      <c r="BD70" s="93" t="str">
        <f>IF(SELECTION!$AJ$24&gt;(I70+0.3),SchmidtTheory!BC70,"")</f>
        <v/>
      </c>
      <c r="BE70" s="93" t="b">
        <f t="shared" si="2"/>
        <v>0</v>
      </c>
      <c r="BF70" s="103" t="s">
        <v>123</v>
      </c>
    </row>
    <row r="71" spans="2:58" x14ac:dyDescent="0.2">
      <c r="B71" s="104" t="s">
        <v>125</v>
      </c>
      <c r="F71" s="589"/>
      <c r="G71" s="598" t="s">
        <v>21</v>
      </c>
      <c r="H71" s="102">
        <v>0.9</v>
      </c>
      <c r="I71" s="101">
        <v>1.9</v>
      </c>
      <c r="J71" s="100"/>
      <c r="K71" s="99"/>
      <c r="L71" s="98"/>
      <c r="M71" s="97"/>
      <c r="N71" s="85" t="e">
        <f>IF(SchmidtTheory!N169&gt;ActuatorSIZING!$G$44,SchmidtTheory!N169,"")</f>
        <v>#VALUE!</v>
      </c>
      <c r="O71" s="85" t="e">
        <f>IF(SchmidtTheory!O169&gt;ActuatorSIZING!$G$44,SchmidtTheory!O169,"")</f>
        <v>#VALUE!</v>
      </c>
      <c r="P71" s="85" t="e">
        <f>IF(SchmidtTheory!P169&gt;ActuatorSIZING!$G$44,SchmidtTheory!P169,"")</f>
        <v>#VALUE!</v>
      </c>
      <c r="Q71" s="85" t="e">
        <f>IF(SchmidtTheory!Q169&gt;ActuatorSIZING!$G$44,SchmidtTheory!Q169,"")</f>
        <v>#VALUE!</v>
      </c>
      <c r="R71" s="85" t="e">
        <f>IF(SchmidtTheory!R169&gt;ActuatorSIZING!$G$44,SchmidtTheory!R169,"")</f>
        <v>#VALUE!</v>
      </c>
      <c r="S71" s="85" t="e">
        <f>IF(SchmidtTheory!S169&gt;ActuatorSIZING!$G$44,SchmidtTheory!S169,"")</f>
        <v>#VALUE!</v>
      </c>
      <c r="T71" s="85" t="e">
        <f>IF(SchmidtTheory!T169&gt;ActuatorSIZING!$G$44,SchmidtTheory!T169,"")</f>
        <v>#VALUE!</v>
      </c>
      <c r="U71" s="85" t="e">
        <f>IF(SchmidtTheory!U169&gt;ActuatorSIZING!$G$44,SchmidtTheory!U169,"")</f>
        <v>#VALUE!</v>
      </c>
      <c r="V71" s="85" t="e">
        <f>IF(SchmidtTheory!V169&gt;ActuatorSIZING!$G$44,SchmidtTheory!V169,"")</f>
        <v>#VALUE!</v>
      </c>
      <c r="W71" s="85" t="e">
        <f>IF(SchmidtTheory!W169&gt;ActuatorSIZING!$G$44,SchmidtTheory!W169,"")</f>
        <v>#VALUE!</v>
      </c>
      <c r="X71" s="85" t="e">
        <f>IF(SchmidtTheory!X169&gt;ActuatorSIZING!$G$44,SchmidtTheory!X169,"")</f>
        <v>#VALUE!</v>
      </c>
      <c r="Y71" s="85" t="e">
        <f>IF(SchmidtTheory!Y169&gt;ActuatorSIZING!$G$44,SchmidtTheory!Y169,"")</f>
        <v>#VALUE!</v>
      </c>
      <c r="Z71" s="85" t="e">
        <f>IF(SchmidtTheory!Z169&gt;ActuatorSIZING!$G$44,SchmidtTheory!Z169,"")</f>
        <v>#VALUE!</v>
      </c>
      <c r="AA71" s="85" t="e">
        <f>IF(SchmidtTheory!AA169&gt;ActuatorSIZING!$G$44,SchmidtTheory!AA169,"")</f>
        <v>#VALUE!</v>
      </c>
      <c r="AB71" s="85" t="e">
        <f>IF(SchmidtTheory!AB169&gt;ActuatorSIZING!$G$44,SchmidtTheory!AB169,"")</f>
        <v>#VALUE!</v>
      </c>
      <c r="AC71" s="85" t="e">
        <f>IF(SchmidtTheory!AC169&gt;ActuatorSIZING!$G$44,SchmidtTheory!AC169,"")</f>
        <v>#VALUE!</v>
      </c>
      <c r="AD71" s="85" t="e">
        <f>IF(SchmidtTheory!AD169&gt;ActuatorSIZING!$G$44,SchmidtTheory!AD169,"")</f>
        <v>#VALUE!</v>
      </c>
      <c r="AE71" s="85" t="e">
        <f>IF(SchmidtTheory!AE169&gt;ActuatorSIZING!$G$44,SchmidtTheory!AE169,"")</f>
        <v>#VALUE!</v>
      </c>
      <c r="AF71" s="85" t="e">
        <f>IF(SchmidtTheory!AF169&gt;ActuatorSIZING!$G$44,SchmidtTheory!AF169,"")</f>
        <v>#VALUE!</v>
      </c>
      <c r="AG71" s="85" t="e">
        <f>IF(SchmidtTheory!AG169&gt;ActuatorSIZING!$G$44,SchmidtTheory!AG169,"")</f>
        <v>#VALUE!</v>
      </c>
      <c r="AH71" s="85" t="e">
        <f>IF(SchmidtTheory!AH169&gt;ActuatorSIZING!$G$44,SchmidtTheory!AH169,"")</f>
        <v>#VALUE!</v>
      </c>
      <c r="AI71" s="85" t="e">
        <f>IF(SchmidtTheory!AI169&gt;ActuatorSIZING!$G$44,SchmidtTheory!AI169,"")</f>
        <v>#VALUE!</v>
      </c>
      <c r="AJ71" s="85" t="e">
        <f>IF(SchmidtTheory!AJ169&gt;ActuatorSIZING!$G$44,SchmidtTheory!AJ169,"")</f>
        <v>#VALUE!</v>
      </c>
      <c r="AK71" s="85" t="e">
        <f>IF(SchmidtTheory!AK169&gt;ActuatorSIZING!$G$44,SchmidtTheory!AK169,"")</f>
        <v>#VALUE!</v>
      </c>
      <c r="AL71" s="85" t="e">
        <f>IF(SchmidtTheory!AL169&gt;ActuatorSIZING!$G$44,SchmidtTheory!AL169,"")</f>
        <v>#VALUE!</v>
      </c>
      <c r="AM71" s="85" t="e">
        <f>IF(SchmidtTheory!AM169&gt;ActuatorSIZING!$G$44,SchmidtTheory!AM169,"")</f>
        <v>#VALUE!</v>
      </c>
      <c r="AN71" s="85" t="e">
        <f>IF(SchmidtTheory!AN169&gt;ActuatorSIZING!$G$44,SchmidtTheory!AN169,"")</f>
        <v>#VALUE!</v>
      </c>
      <c r="AO71" s="85" t="e">
        <f>IF(SchmidtTheory!AO169&gt;ActuatorSIZING!$G$44,SchmidtTheory!AO169,"")</f>
        <v>#VALUE!</v>
      </c>
      <c r="AP71" s="85" t="e">
        <f>IF(SchmidtTheory!AP169&gt;ActuatorSIZING!$G$44,SchmidtTheory!AP169,"")</f>
        <v>#VALUE!</v>
      </c>
      <c r="AQ71" s="85" t="e">
        <f>IF(SchmidtTheory!AQ169&gt;ActuatorSIZING!$G$44,SchmidtTheory!AQ169,"")</f>
        <v>#VALUE!</v>
      </c>
      <c r="AR71" s="85" t="e">
        <f>IF(SchmidtTheory!AR169&gt;ActuatorSIZING!$G$44,SchmidtTheory!AR169,"")</f>
        <v>#VALUE!</v>
      </c>
      <c r="AS71" s="85" t="e">
        <f>IF(SchmidtTheory!AS169&gt;ActuatorSIZING!$G$44,SchmidtTheory!AS169,"")</f>
        <v>#VALUE!</v>
      </c>
      <c r="AT71" s="85" t="e">
        <f>IF(SchmidtTheory!AT169&gt;ActuatorSIZING!$G$44,SchmidtTheory!AT169,"")</f>
        <v>#VALUE!</v>
      </c>
      <c r="AU71" s="85" t="e">
        <f>IF(SchmidtTheory!AU169&gt;ActuatorSIZING!$G$44,SchmidtTheory!AU169,"")</f>
        <v>#VALUE!</v>
      </c>
      <c r="AV71" s="85" t="e">
        <f>IF(SchmidtTheory!AV169&gt;ActuatorSIZING!$G$44,SchmidtTheory!AV169,"")</f>
        <v>#VALUE!</v>
      </c>
      <c r="AW71" s="106"/>
      <c r="AX71" s="93" t="e">
        <f>IF(AW71&gt;ActuatorSIZING!$G$44,SchmidtTheory!AW71,"")</f>
        <v>#VALUE!</v>
      </c>
      <c r="AY71" s="95" t="str">
        <f>IF(SELECTION!$P$46=SchmidtTheory!G71,SchmidtTheory!AX71,"")</f>
        <v/>
      </c>
      <c r="AZ71" s="93" t="str">
        <f>IF(SELECTION!$AJ$24&gt;(I71+0.3),SchmidtTheory!AY71,"")</f>
        <v/>
      </c>
      <c r="BA71" s="92"/>
      <c r="BB71" s="94"/>
      <c r="BC71" s="93" t="str">
        <f>IF(SELECTION!$P$46=SchmidtTheory!G71,SchmidtTheory!BB71,"")</f>
        <v/>
      </c>
      <c r="BD71" s="93" t="str">
        <f>IF(SELECTION!$AJ$24&gt;(I71+0.3),SchmidtTheory!BC71,"")</f>
        <v/>
      </c>
      <c r="BE71" s="93" t="b">
        <f t="shared" ref="BE71:BE96" si="4">ISNUMBER(BD71)</f>
        <v>0</v>
      </c>
      <c r="BF71" s="92"/>
    </row>
    <row r="72" spans="2:58" x14ac:dyDescent="0.2">
      <c r="B72" s="104" t="s">
        <v>816</v>
      </c>
      <c r="F72" s="589"/>
      <c r="G72" s="598"/>
      <c r="H72" s="102">
        <v>1.2</v>
      </c>
      <c r="I72" s="101">
        <v>2.6</v>
      </c>
      <c r="J72" s="100"/>
      <c r="K72" s="99"/>
      <c r="L72" s="98"/>
      <c r="M72" s="97"/>
      <c r="N72" s="85" t="e">
        <f>IF(SchmidtTheory!N170&gt;ActuatorSIZING!$G$44,SchmidtTheory!N170,"")</f>
        <v>#VALUE!</v>
      </c>
      <c r="O72" s="85" t="e">
        <f>IF(SchmidtTheory!O170&gt;ActuatorSIZING!$G$44,SchmidtTheory!O170,"")</f>
        <v>#VALUE!</v>
      </c>
      <c r="P72" s="85" t="e">
        <f>IF(SchmidtTheory!P170&gt;ActuatorSIZING!$G$44,SchmidtTheory!P170,"")</f>
        <v>#VALUE!</v>
      </c>
      <c r="Q72" s="85" t="e">
        <f>IF(SchmidtTheory!Q170&gt;ActuatorSIZING!$G$44,SchmidtTheory!Q170,"")</f>
        <v>#VALUE!</v>
      </c>
      <c r="R72" s="85" t="e">
        <f>IF(SchmidtTheory!R170&gt;ActuatorSIZING!$G$44,SchmidtTheory!R170,"")</f>
        <v>#VALUE!</v>
      </c>
      <c r="S72" s="85" t="e">
        <f>IF(SchmidtTheory!S170&gt;ActuatorSIZING!$G$44,SchmidtTheory!S170,"")</f>
        <v>#VALUE!</v>
      </c>
      <c r="T72" s="85" t="e">
        <f>IF(SchmidtTheory!T170&gt;ActuatorSIZING!$G$44,SchmidtTheory!T170,"")</f>
        <v>#VALUE!</v>
      </c>
      <c r="U72" s="85" t="e">
        <f>IF(SchmidtTheory!U170&gt;ActuatorSIZING!$G$44,SchmidtTheory!U170,"")</f>
        <v>#VALUE!</v>
      </c>
      <c r="V72" s="85" t="e">
        <f>IF(SchmidtTheory!V170&gt;ActuatorSIZING!$G$44,SchmidtTheory!V170,"")</f>
        <v>#VALUE!</v>
      </c>
      <c r="W72" s="85" t="e">
        <f>IF(SchmidtTheory!W170&gt;ActuatorSIZING!$G$44,SchmidtTheory!W170,"")</f>
        <v>#VALUE!</v>
      </c>
      <c r="X72" s="85" t="e">
        <f>IF(SchmidtTheory!X170&gt;ActuatorSIZING!$G$44,SchmidtTheory!X170,"")</f>
        <v>#VALUE!</v>
      </c>
      <c r="Y72" s="85" t="e">
        <f>IF(SchmidtTheory!Y170&gt;ActuatorSIZING!$G$44,SchmidtTheory!Y170,"")</f>
        <v>#VALUE!</v>
      </c>
      <c r="Z72" s="85" t="e">
        <f>IF(SchmidtTheory!Z170&gt;ActuatorSIZING!$G$44,SchmidtTheory!Z170,"")</f>
        <v>#VALUE!</v>
      </c>
      <c r="AA72" s="85" t="e">
        <f>IF(SchmidtTheory!AA170&gt;ActuatorSIZING!$G$44,SchmidtTheory!AA170,"")</f>
        <v>#VALUE!</v>
      </c>
      <c r="AB72" s="85" t="e">
        <f>IF(SchmidtTheory!AB170&gt;ActuatorSIZING!$G$44,SchmidtTheory!AB170,"")</f>
        <v>#VALUE!</v>
      </c>
      <c r="AC72" s="85" t="e">
        <f>IF(SchmidtTheory!AC170&gt;ActuatorSIZING!$G$44,SchmidtTheory!AC170,"")</f>
        <v>#VALUE!</v>
      </c>
      <c r="AD72" s="85" t="e">
        <f>IF(SchmidtTheory!AD170&gt;ActuatorSIZING!$G$44,SchmidtTheory!AD170,"")</f>
        <v>#VALUE!</v>
      </c>
      <c r="AE72" s="85" t="e">
        <f>IF(SchmidtTheory!AE170&gt;ActuatorSIZING!$G$44,SchmidtTheory!AE170,"")</f>
        <v>#VALUE!</v>
      </c>
      <c r="AF72" s="85" t="e">
        <f>IF(SchmidtTheory!AF170&gt;ActuatorSIZING!$G$44,SchmidtTheory!AF170,"")</f>
        <v>#VALUE!</v>
      </c>
      <c r="AG72" s="85" t="e">
        <f>IF(SchmidtTheory!AG170&gt;ActuatorSIZING!$G$44,SchmidtTheory!AG170,"")</f>
        <v>#VALUE!</v>
      </c>
      <c r="AH72" s="85" t="e">
        <f>IF(SchmidtTheory!AH170&gt;ActuatorSIZING!$G$44,SchmidtTheory!AH170,"")</f>
        <v>#VALUE!</v>
      </c>
      <c r="AI72" s="85" t="e">
        <f>IF(SchmidtTheory!AI170&gt;ActuatorSIZING!$G$44,SchmidtTheory!AI170,"")</f>
        <v>#VALUE!</v>
      </c>
      <c r="AJ72" s="85" t="e">
        <f>IF(SchmidtTheory!AJ170&gt;ActuatorSIZING!$G$44,SchmidtTheory!AJ170,"")</f>
        <v>#VALUE!</v>
      </c>
      <c r="AK72" s="85" t="e">
        <f>IF(SchmidtTheory!AK170&gt;ActuatorSIZING!$G$44,SchmidtTheory!AK170,"")</f>
        <v>#VALUE!</v>
      </c>
      <c r="AL72" s="85" t="e">
        <f>IF(SchmidtTheory!AL170&gt;ActuatorSIZING!$G$44,SchmidtTheory!AL170,"")</f>
        <v>#VALUE!</v>
      </c>
      <c r="AM72" s="85" t="e">
        <f>IF(SchmidtTheory!AM170&gt;ActuatorSIZING!$G$44,SchmidtTheory!AM170,"")</f>
        <v>#VALUE!</v>
      </c>
      <c r="AN72" s="85" t="e">
        <f>IF(SchmidtTheory!AN170&gt;ActuatorSIZING!$G$44,SchmidtTheory!AN170,"")</f>
        <v>#VALUE!</v>
      </c>
      <c r="AO72" s="85" t="e">
        <f>IF(SchmidtTheory!AO170&gt;ActuatorSIZING!$G$44,SchmidtTheory!AO170,"")</f>
        <v>#VALUE!</v>
      </c>
      <c r="AP72" s="85" t="e">
        <f>IF(SchmidtTheory!AP170&gt;ActuatorSIZING!$G$44,SchmidtTheory!AP170,"")</f>
        <v>#VALUE!</v>
      </c>
      <c r="AQ72" s="85" t="e">
        <f>IF(SchmidtTheory!AQ170&gt;ActuatorSIZING!$G$44,SchmidtTheory!AQ170,"")</f>
        <v>#VALUE!</v>
      </c>
      <c r="AR72" s="85" t="e">
        <f>IF(SchmidtTheory!AR170&gt;ActuatorSIZING!$G$44,SchmidtTheory!AR170,"")</f>
        <v>#VALUE!</v>
      </c>
      <c r="AS72" s="85" t="e">
        <f>IF(SchmidtTheory!AS170&gt;ActuatorSIZING!$G$44,SchmidtTheory!AS170,"")</f>
        <v>#VALUE!</v>
      </c>
      <c r="AT72" s="85" t="e">
        <f>IF(SchmidtTheory!AT170&gt;ActuatorSIZING!$G$44,SchmidtTheory!AT170,"")</f>
        <v>#VALUE!</v>
      </c>
      <c r="AU72" s="85" t="e">
        <f>IF(SchmidtTheory!AU170&gt;ActuatorSIZING!$G$44,SchmidtTheory!AU170,"")</f>
        <v>#VALUE!</v>
      </c>
      <c r="AV72" s="85" t="e">
        <f>IF(SchmidtTheory!AV170&gt;ActuatorSIZING!$G$44,SchmidtTheory!AV170,"")</f>
        <v>#VALUE!</v>
      </c>
      <c r="AW72" s="96"/>
      <c r="AX72" s="93" t="e">
        <f>IF(AW72&gt;ActuatorSIZING!$G$44,SchmidtTheory!AW72,"")</f>
        <v>#VALUE!</v>
      </c>
      <c r="AY72" s="95" t="str">
        <f>IF(SELECTION!$P$46=SchmidtTheory!G71,SchmidtTheory!AX72,"")</f>
        <v/>
      </c>
      <c r="AZ72" s="93" t="str">
        <f>IF(SELECTION!$AJ$24&gt;(I72+0.3),SchmidtTheory!AY72,"")</f>
        <v/>
      </c>
      <c r="BA72" s="92"/>
      <c r="BB72" s="94"/>
      <c r="BC72" s="93" t="str">
        <f>IF(SELECTION!$P$46=SchmidtTheory!G72,SchmidtTheory!BB72,"")</f>
        <v/>
      </c>
      <c r="BD72" s="93" t="str">
        <f>IF(SELECTION!$AJ$24&gt;(I72+0.3),SchmidtTheory!BC72,"")</f>
        <v/>
      </c>
      <c r="BE72" s="93" t="b">
        <f t="shared" si="4"/>
        <v>0</v>
      </c>
      <c r="BF72" s="92"/>
    </row>
    <row r="73" spans="2:58" x14ac:dyDescent="0.2">
      <c r="B73" s="105"/>
      <c r="F73" s="589"/>
      <c r="G73" s="598"/>
      <c r="H73" s="102">
        <v>1.8</v>
      </c>
      <c r="I73" s="101">
        <v>3.8</v>
      </c>
      <c r="J73" s="100"/>
      <c r="K73" s="99"/>
      <c r="L73" s="98"/>
      <c r="M73" s="97"/>
      <c r="N73" s="85" t="e">
        <f>IF(SchmidtTheory!N171&gt;ActuatorSIZING!$G$44,SchmidtTheory!N171,"")</f>
        <v>#VALUE!</v>
      </c>
      <c r="O73" s="85" t="e">
        <f>IF(SchmidtTheory!O171&gt;ActuatorSIZING!$G$44,SchmidtTheory!O171,"")</f>
        <v>#VALUE!</v>
      </c>
      <c r="P73" s="85" t="e">
        <f>IF(SchmidtTheory!P171&gt;ActuatorSIZING!$G$44,SchmidtTheory!P171,"")</f>
        <v>#VALUE!</v>
      </c>
      <c r="Q73" s="85" t="e">
        <f>IF(SchmidtTheory!Q171&gt;ActuatorSIZING!$G$44,SchmidtTheory!Q171,"")</f>
        <v>#VALUE!</v>
      </c>
      <c r="R73" s="85" t="e">
        <f>IF(SchmidtTheory!R171&gt;ActuatorSIZING!$G$44,SchmidtTheory!R171,"")</f>
        <v>#VALUE!</v>
      </c>
      <c r="S73" s="85" t="e">
        <f>IF(SchmidtTheory!S171&gt;ActuatorSIZING!$G$44,SchmidtTheory!S171,"")</f>
        <v>#VALUE!</v>
      </c>
      <c r="T73" s="85" t="e">
        <f>IF(SchmidtTheory!T171&gt;ActuatorSIZING!$G$44,SchmidtTheory!T171,"")</f>
        <v>#VALUE!</v>
      </c>
      <c r="U73" s="85" t="e">
        <f>IF(SchmidtTheory!U171&gt;ActuatorSIZING!$G$44,SchmidtTheory!U171,"")</f>
        <v>#VALUE!</v>
      </c>
      <c r="V73" s="85" t="e">
        <f>IF(SchmidtTheory!V171&gt;ActuatorSIZING!$G$44,SchmidtTheory!V171,"")</f>
        <v>#VALUE!</v>
      </c>
      <c r="W73" s="85" t="e">
        <f>IF(SchmidtTheory!W171&gt;ActuatorSIZING!$G$44,SchmidtTheory!W171,"")</f>
        <v>#VALUE!</v>
      </c>
      <c r="X73" s="85" t="e">
        <f>IF(SchmidtTheory!X171&gt;ActuatorSIZING!$G$44,SchmidtTheory!X171,"")</f>
        <v>#VALUE!</v>
      </c>
      <c r="Y73" s="85" t="e">
        <f>IF(SchmidtTheory!Y171&gt;ActuatorSIZING!$G$44,SchmidtTheory!Y171,"")</f>
        <v>#VALUE!</v>
      </c>
      <c r="Z73" s="85" t="e">
        <f>IF(SchmidtTheory!Z171&gt;ActuatorSIZING!$G$44,SchmidtTheory!Z171,"")</f>
        <v>#VALUE!</v>
      </c>
      <c r="AA73" s="85" t="e">
        <f>IF(SchmidtTheory!AA171&gt;ActuatorSIZING!$G$44,SchmidtTheory!AA171,"")</f>
        <v>#VALUE!</v>
      </c>
      <c r="AB73" s="85" t="e">
        <f>IF(SchmidtTheory!AB171&gt;ActuatorSIZING!$G$44,SchmidtTheory!AB171,"")</f>
        <v>#VALUE!</v>
      </c>
      <c r="AC73" s="85" t="e">
        <f>IF(SchmidtTheory!AC171&gt;ActuatorSIZING!$G$44,SchmidtTheory!AC171,"")</f>
        <v>#VALUE!</v>
      </c>
      <c r="AD73" s="85" t="e">
        <f>IF(SchmidtTheory!AD171&gt;ActuatorSIZING!$G$44,SchmidtTheory!AD171,"")</f>
        <v>#VALUE!</v>
      </c>
      <c r="AE73" s="85" t="e">
        <f>IF(SchmidtTheory!AE171&gt;ActuatorSIZING!$G$44,SchmidtTheory!AE171,"")</f>
        <v>#VALUE!</v>
      </c>
      <c r="AF73" s="85" t="e">
        <f>IF(SchmidtTheory!AF171&gt;ActuatorSIZING!$G$44,SchmidtTheory!AF171,"")</f>
        <v>#VALUE!</v>
      </c>
      <c r="AG73" s="85" t="e">
        <f>IF(SchmidtTheory!AG171&gt;ActuatorSIZING!$G$44,SchmidtTheory!AG171,"")</f>
        <v>#VALUE!</v>
      </c>
      <c r="AH73" s="85" t="e">
        <f>IF(SchmidtTheory!AH171&gt;ActuatorSIZING!$G$44,SchmidtTheory!AH171,"")</f>
        <v>#VALUE!</v>
      </c>
      <c r="AI73" s="85" t="e">
        <f>IF(SchmidtTheory!AI171&gt;ActuatorSIZING!$G$44,SchmidtTheory!AI171,"")</f>
        <v>#VALUE!</v>
      </c>
      <c r="AJ73" s="85" t="e">
        <f>IF(SchmidtTheory!AJ171&gt;ActuatorSIZING!$G$44,SchmidtTheory!AJ171,"")</f>
        <v>#VALUE!</v>
      </c>
      <c r="AK73" s="85" t="e">
        <f>IF(SchmidtTheory!AK171&gt;ActuatorSIZING!$G$44,SchmidtTheory!AK171,"")</f>
        <v>#VALUE!</v>
      </c>
      <c r="AL73" s="85" t="e">
        <f>IF(SchmidtTheory!AL171&gt;ActuatorSIZING!$G$44,SchmidtTheory!AL171,"")</f>
        <v>#VALUE!</v>
      </c>
      <c r="AM73" s="85" t="e">
        <f>IF(SchmidtTheory!AM171&gt;ActuatorSIZING!$G$44,SchmidtTheory!AM171,"")</f>
        <v>#VALUE!</v>
      </c>
      <c r="AN73" s="85" t="e">
        <f>IF(SchmidtTheory!AN171&gt;ActuatorSIZING!$G$44,SchmidtTheory!AN171,"")</f>
        <v>#VALUE!</v>
      </c>
      <c r="AO73" s="85" t="e">
        <f>IF(SchmidtTheory!AO171&gt;ActuatorSIZING!$G$44,SchmidtTheory!AO171,"")</f>
        <v>#VALUE!</v>
      </c>
      <c r="AP73" s="85" t="e">
        <f>IF(SchmidtTheory!AP171&gt;ActuatorSIZING!$G$44,SchmidtTheory!AP171,"")</f>
        <v>#VALUE!</v>
      </c>
      <c r="AQ73" s="85" t="e">
        <f>IF(SchmidtTheory!AQ171&gt;ActuatorSIZING!$G$44,SchmidtTheory!AQ171,"")</f>
        <v>#VALUE!</v>
      </c>
      <c r="AR73" s="85" t="e">
        <f>IF(SchmidtTheory!AR171&gt;ActuatorSIZING!$G$44,SchmidtTheory!AR171,"")</f>
        <v>#VALUE!</v>
      </c>
      <c r="AS73" s="85" t="e">
        <f>IF(SchmidtTheory!AS171&gt;ActuatorSIZING!$G$44,SchmidtTheory!AS171,"")</f>
        <v>#VALUE!</v>
      </c>
      <c r="AT73" s="85" t="e">
        <f>IF(SchmidtTheory!AT171&gt;ActuatorSIZING!$G$44,SchmidtTheory!AT171,"")</f>
        <v>#VALUE!</v>
      </c>
      <c r="AU73" s="85" t="e">
        <f>IF(SchmidtTheory!AU171&gt;ActuatorSIZING!$G$44,SchmidtTheory!AU171,"")</f>
        <v>#VALUE!</v>
      </c>
      <c r="AV73" s="85" t="e">
        <f>IF(SchmidtTheory!AV171&gt;ActuatorSIZING!$G$44,SchmidtTheory!AV171,"")</f>
        <v>#VALUE!</v>
      </c>
      <c r="AW73" s="96"/>
      <c r="AX73" s="93" t="e">
        <f>IF(AW73&gt;ActuatorSIZING!$G$44,SchmidtTheory!AW73,"")</f>
        <v>#VALUE!</v>
      </c>
      <c r="AY73" s="95" t="str">
        <f>IF(SELECTION!$P$46=SchmidtTheory!G71,SchmidtTheory!AX73,"")</f>
        <v/>
      </c>
      <c r="AZ73" s="93" t="str">
        <f>IF(SELECTION!$AJ$24&gt;(I73+0.3),SchmidtTheory!AY73,"")</f>
        <v/>
      </c>
      <c r="BA73" s="92"/>
      <c r="BB73" s="94"/>
      <c r="BC73" s="93" t="str">
        <f>IF(SELECTION!$P$46=SchmidtTheory!G73,SchmidtTheory!BB73,"")</f>
        <v/>
      </c>
      <c r="BD73" s="93" t="str">
        <f>IF(SELECTION!$AJ$24&gt;(I73+0.3),SchmidtTheory!BC73,"")</f>
        <v/>
      </c>
      <c r="BE73" s="93" t="b">
        <f t="shared" si="4"/>
        <v>0</v>
      </c>
      <c r="BF73" s="92"/>
    </row>
    <row r="74" spans="2:58" x14ac:dyDescent="0.2">
      <c r="B74" s="104" t="s">
        <v>122</v>
      </c>
      <c r="F74" s="589"/>
      <c r="G74" s="598"/>
      <c r="H74" s="102">
        <v>2</v>
      </c>
      <c r="I74" s="101">
        <v>4.3</v>
      </c>
      <c r="J74" s="100"/>
      <c r="K74" s="99"/>
      <c r="L74" s="98"/>
      <c r="M74" s="97"/>
      <c r="N74" s="85" t="e">
        <f>IF(SchmidtTheory!N172&gt;ActuatorSIZING!$G$44,SchmidtTheory!N172,"")</f>
        <v>#VALUE!</v>
      </c>
      <c r="O74" s="85" t="e">
        <f>IF(SchmidtTheory!O172&gt;ActuatorSIZING!$G$44,SchmidtTheory!O172,"")</f>
        <v>#VALUE!</v>
      </c>
      <c r="P74" s="85" t="e">
        <f>IF(SchmidtTheory!P172&gt;ActuatorSIZING!$G$44,SchmidtTheory!P172,"")</f>
        <v>#VALUE!</v>
      </c>
      <c r="Q74" s="85" t="e">
        <f>IF(SchmidtTheory!Q172&gt;ActuatorSIZING!$G$44,SchmidtTheory!Q172,"")</f>
        <v>#VALUE!</v>
      </c>
      <c r="R74" s="85" t="e">
        <f>IF(SchmidtTheory!R172&gt;ActuatorSIZING!$G$44,SchmidtTheory!R172,"")</f>
        <v>#VALUE!</v>
      </c>
      <c r="S74" s="85" t="e">
        <f>IF(SchmidtTheory!S172&gt;ActuatorSIZING!$G$44,SchmidtTheory!S172,"")</f>
        <v>#VALUE!</v>
      </c>
      <c r="T74" s="85" t="e">
        <f>IF(SchmidtTheory!T172&gt;ActuatorSIZING!$G$44,SchmidtTheory!T172,"")</f>
        <v>#VALUE!</v>
      </c>
      <c r="U74" s="85" t="e">
        <f>IF(SchmidtTheory!U172&gt;ActuatorSIZING!$G$44,SchmidtTheory!U172,"")</f>
        <v>#VALUE!</v>
      </c>
      <c r="V74" s="85" t="e">
        <f>IF(SchmidtTheory!V172&gt;ActuatorSIZING!$G$44,SchmidtTheory!V172,"")</f>
        <v>#VALUE!</v>
      </c>
      <c r="W74" s="85" t="e">
        <f>IF(SchmidtTheory!W172&gt;ActuatorSIZING!$G$44,SchmidtTheory!W172,"")</f>
        <v>#VALUE!</v>
      </c>
      <c r="X74" s="85" t="e">
        <f>IF(SchmidtTheory!X172&gt;ActuatorSIZING!$G$44,SchmidtTheory!X172,"")</f>
        <v>#VALUE!</v>
      </c>
      <c r="Y74" s="85" t="e">
        <f>IF(SchmidtTheory!Y172&gt;ActuatorSIZING!$G$44,SchmidtTheory!Y172,"")</f>
        <v>#VALUE!</v>
      </c>
      <c r="Z74" s="85" t="e">
        <f>IF(SchmidtTheory!Z172&gt;ActuatorSIZING!$G$44,SchmidtTheory!Z172,"")</f>
        <v>#VALUE!</v>
      </c>
      <c r="AA74" s="85" t="e">
        <f>IF(SchmidtTheory!AA172&gt;ActuatorSIZING!$G$44,SchmidtTheory!AA172,"")</f>
        <v>#VALUE!</v>
      </c>
      <c r="AB74" s="85" t="e">
        <f>IF(SchmidtTheory!AB172&gt;ActuatorSIZING!$G$44,SchmidtTheory!AB172,"")</f>
        <v>#VALUE!</v>
      </c>
      <c r="AC74" s="85" t="e">
        <f>IF(SchmidtTheory!AC172&gt;ActuatorSIZING!$G$44,SchmidtTheory!AC172,"")</f>
        <v>#VALUE!</v>
      </c>
      <c r="AD74" s="85" t="e">
        <f>IF(SchmidtTheory!AD172&gt;ActuatorSIZING!$G$44,SchmidtTheory!AD172,"")</f>
        <v>#VALUE!</v>
      </c>
      <c r="AE74" s="85" t="e">
        <f>IF(SchmidtTheory!AE172&gt;ActuatorSIZING!$G$44,SchmidtTheory!AE172,"")</f>
        <v>#VALUE!</v>
      </c>
      <c r="AF74" s="85" t="e">
        <f>IF(SchmidtTheory!AF172&gt;ActuatorSIZING!$G$44,SchmidtTheory!AF172,"")</f>
        <v>#VALUE!</v>
      </c>
      <c r="AG74" s="85" t="e">
        <f>IF(SchmidtTheory!AG172&gt;ActuatorSIZING!$G$44,SchmidtTheory!AG172,"")</f>
        <v>#VALUE!</v>
      </c>
      <c r="AH74" s="85" t="e">
        <f>IF(SchmidtTheory!AH172&gt;ActuatorSIZING!$G$44,SchmidtTheory!AH172,"")</f>
        <v>#VALUE!</v>
      </c>
      <c r="AI74" s="85" t="e">
        <f>IF(SchmidtTheory!AI172&gt;ActuatorSIZING!$G$44,SchmidtTheory!AI172,"")</f>
        <v>#VALUE!</v>
      </c>
      <c r="AJ74" s="85" t="e">
        <f>IF(SchmidtTheory!AJ172&gt;ActuatorSIZING!$G$44,SchmidtTheory!AJ172,"")</f>
        <v>#VALUE!</v>
      </c>
      <c r="AK74" s="85" t="e">
        <f>IF(SchmidtTheory!AK172&gt;ActuatorSIZING!$G$44,SchmidtTheory!AK172,"")</f>
        <v>#VALUE!</v>
      </c>
      <c r="AL74" s="85" t="e">
        <f>IF(SchmidtTheory!AL172&gt;ActuatorSIZING!$G$44,SchmidtTheory!AL172,"")</f>
        <v>#VALUE!</v>
      </c>
      <c r="AM74" s="85" t="e">
        <f>IF(SchmidtTheory!AM172&gt;ActuatorSIZING!$G$44,SchmidtTheory!AM172,"")</f>
        <v>#VALUE!</v>
      </c>
      <c r="AN74" s="85" t="e">
        <f>IF(SchmidtTheory!AN172&gt;ActuatorSIZING!$G$44,SchmidtTheory!AN172,"")</f>
        <v>#VALUE!</v>
      </c>
      <c r="AO74" s="85" t="e">
        <f>IF(SchmidtTheory!AO172&gt;ActuatorSIZING!$G$44,SchmidtTheory!AO172,"")</f>
        <v>#VALUE!</v>
      </c>
      <c r="AP74" s="85" t="e">
        <f>IF(SchmidtTheory!AP172&gt;ActuatorSIZING!$G$44,SchmidtTheory!AP172,"")</f>
        <v>#VALUE!</v>
      </c>
      <c r="AQ74" s="85" t="e">
        <f>IF(SchmidtTheory!AQ172&gt;ActuatorSIZING!$G$44,SchmidtTheory!AQ172,"")</f>
        <v>#VALUE!</v>
      </c>
      <c r="AR74" s="85" t="e">
        <f>IF(SchmidtTheory!AR172&gt;ActuatorSIZING!$G$44,SchmidtTheory!AR172,"")</f>
        <v>#VALUE!</v>
      </c>
      <c r="AS74" s="85" t="e">
        <f>IF(SchmidtTheory!AS172&gt;ActuatorSIZING!$G$44,SchmidtTheory!AS172,"")</f>
        <v>#VALUE!</v>
      </c>
      <c r="AT74" s="85" t="e">
        <f>IF(SchmidtTheory!AT172&gt;ActuatorSIZING!$G$44,SchmidtTheory!AT172,"")</f>
        <v>#VALUE!</v>
      </c>
      <c r="AU74" s="85" t="e">
        <f>IF(SchmidtTheory!AU172&gt;ActuatorSIZING!$G$44,SchmidtTheory!AU172,"")</f>
        <v>#VALUE!</v>
      </c>
      <c r="AV74" s="85" t="e">
        <f>IF(SchmidtTheory!AV172&gt;ActuatorSIZING!$G$44,SchmidtTheory!AV172,"")</f>
        <v>#VALUE!</v>
      </c>
      <c r="AW74" s="96"/>
      <c r="AX74" s="93" t="e">
        <f>IF(AW74&gt;ActuatorSIZING!$G$44,SchmidtTheory!AW74,"")</f>
        <v>#VALUE!</v>
      </c>
      <c r="AY74" s="95" t="str">
        <f>IF(SELECTION!$P$46=SchmidtTheory!G71,SchmidtTheory!AX74,"")</f>
        <v/>
      </c>
      <c r="AZ74" s="93" t="str">
        <f>IF(SELECTION!$AJ$24&gt;(I74+0.3),SchmidtTheory!AY74,"")</f>
        <v/>
      </c>
      <c r="BA74" s="92"/>
      <c r="BB74" s="94"/>
      <c r="BC74" s="93" t="str">
        <f>IF(SELECTION!$P$46=SchmidtTheory!G74,SchmidtTheory!BB74,"")</f>
        <v/>
      </c>
      <c r="BD74" s="93" t="str">
        <f>IF(SELECTION!$AJ$24&gt;(I74+0.3),SchmidtTheory!BC74,"")</f>
        <v/>
      </c>
      <c r="BE74" s="93" t="b">
        <f t="shared" si="4"/>
        <v>0</v>
      </c>
      <c r="BF74" s="92"/>
    </row>
    <row r="75" spans="2:58" x14ac:dyDescent="0.2">
      <c r="B75" s="104" t="s">
        <v>115</v>
      </c>
      <c r="F75" s="589">
        <v>3002</v>
      </c>
      <c r="G75" s="598">
        <v>40</v>
      </c>
      <c r="H75" s="102">
        <v>0.2</v>
      </c>
      <c r="I75" s="101">
        <v>1</v>
      </c>
      <c r="J75" s="100">
        <v>2.4</v>
      </c>
      <c r="K75" s="99">
        <v>12000</v>
      </c>
      <c r="L75" s="98">
        <v>3</v>
      </c>
      <c r="M75" s="97">
        <v>60000</v>
      </c>
      <c r="N75" s="85" t="e">
        <f>IF(SchmidtTheory!N173&gt;ActuatorSIZING!$G$44,SchmidtTheory!N173,"")</f>
        <v>#VALUE!</v>
      </c>
      <c r="O75" s="85" t="e">
        <f>IF(SchmidtTheory!O173&gt;ActuatorSIZING!$G$44,SchmidtTheory!O173,"")</f>
        <v>#VALUE!</v>
      </c>
      <c r="P75" s="85" t="e">
        <f>IF(SchmidtTheory!P173&gt;ActuatorSIZING!$G$44,SchmidtTheory!P173,"")</f>
        <v>#VALUE!</v>
      </c>
      <c r="Q75" s="85" t="e">
        <f>IF(SchmidtTheory!Q173&gt;ActuatorSIZING!$G$44,SchmidtTheory!Q173,"")</f>
        <v>#VALUE!</v>
      </c>
      <c r="R75" s="85" t="e">
        <f>IF(SchmidtTheory!R173&gt;ActuatorSIZING!$G$44,SchmidtTheory!R173,"")</f>
        <v>#VALUE!</v>
      </c>
      <c r="S75" s="85" t="e">
        <f>IF(SchmidtTheory!S173&gt;ActuatorSIZING!$G$44,SchmidtTheory!S173,"")</f>
        <v>#VALUE!</v>
      </c>
      <c r="T75" s="85" t="e">
        <f>IF(SchmidtTheory!T173&gt;ActuatorSIZING!$G$44,SchmidtTheory!T173,"")</f>
        <v>#VALUE!</v>
      </c>
      <c r="U75" s="85" t="e">
        <f>IF(SchmidtTheory!U173&gt;ActuatorSIZING!$G$44,SchmidtTheory!U173,"")</f>
        <v>#VALUE!</v>
      </c>
      <c r="V75" s="85" t="e">
        <f>IF(SchmidtTheory!V173&gt;ActuatorSIZING!$G$44,SchmidtTheory!V173,"")</f>
        <v>#VALUE!</v>
      </c>
      <c r="W75" s="85" t="e">
        <f>IF(SchmidtTheory!W173&gt;ActuatorSIZING!$G$44,SchmidtTheory!W173,"")</f>
        <v>#VALUE!</v>
      </c>
      <c r="X75" s="85" t="e">
        <f>IF(SchmidtTheory!X173&gt;ActuatorSIZING!$G$44,SchmidtTheory!X173,"")</f>
        <v>#VALUE!</v>
      </c>
      <c r="Y75" s="85" t="e">
        <f>IF(SchmidtTheory!Y173&gt;ActuatorSIZING!$G$44,SchmidtTheory!Y173,"")</f>
        <v>#VALUE!</v>
      </c>
      <c r="Z75" s="85" t="e">
        <f>IF(SchmidtTheory!Z173&gt;ActuatorSIZING!$G$44,SchmidtTheory!Z173,"")</f>
        <v>#VALUE!</v>
      </c>
      <c r="AA75" s="85" t="e">
        <f>IF(SchmidtTheory!AA173&gt;ActuatorSIZING!$G$44,SchmidtTheory!AA173,"")</f>
        <v>#VALUE!</v>
      </c>
      <c r="AB75" s="85" t="e">
        <f>IF(SchmidtTheory!AB173&gt;ActuatorSIZING!$G$44,SchmidtTheory!AB173,"")</f>
        <v>#VALUE!</v>
      </c>
      <c r="AC75" s="85" t="e">
        <f>IF(SchmidtTheory!AC173&gt;ActuatorSIZING!$G$44,SchmidtTheory!AC173,"")</f>
        <v>#VALUE!</v>
      </c>
      <c r="AD75" s="85" t="e">
        <f>IF(SchmidtTheory!AD173&gt;ActuatorSIZING!$G$44,SchmidtTheory!AD173,"")</f>
        <v>#VALUE!</v>
      </c>
      <c r="AE75" s="85" t="e">
        <f>IF(SchmidtTheory!AE173&gt;ActuatorSIZING!$G$44,SchmidtTheory!AE173,"")</f>
        <v>#VALUE!</v>
      </c>
      <c r="AF75" s="85" t="e">
        <f>IF(SchmidtTheory!AF173&gt;ActuatorSIZING!$G$44,SchmidtTheory!AF173,"")</f>
        <v>#VALUE!</v>
      </c>
      <c r="AG75" s="85" t="e">
        <f>IF(SchmidtTheory!AG173&gt;ActuatorSIZING!$G$44,SchmidtTheory!AG173,"")</f>
        <v>#VALUE!</v>
      </c>
      <c r="AH75" s="85" t="e">
        <f>IF(SchmidtTheory!AH173&gt;ActuatorSIZING!$G$44,SchmidtTheory!AH173,"")</f>
        <v>#VALUE!</v>
      </c>
      <c r="AI75" s="85" t="e">
        <f>IF(SchmidtTheory!AI173&gt;ActuatorSIZING!$G$44,SchmidtTheory!AI173,"")</f>
        <v>#VALUE!</v>
      </c>
      <c r="AJ75" s="85" t="e">
        <f>IF(SchmidtTheory!AJ173&gt;ActuatorSIZING!$G$44,SchmidtTheory!AJ173,"")</f>
        <v>#VALUE!</v>
      </c>
      <c r="AK75" s="85" t="e">
        <f>IF(SchmidtTheory!AK173&gt;ActuatorSIZING!$G$44,SchmidtTheory!AK173,"")</f>
        <v>#VALUE!</v>
      </c>
      <c r="AL75" s="85" t="e">
        <f>IF(SchmidtTheory!AL173&gt;ActuatorSIZING!$G$44,SchmidtTheory!AL173,"")</f>
        <v>#VALUE!</v>
      </c>
      <c r="AM75" s="85" t="e">
        <f>IF(SchmidtTheory!AM173&gt;ActuatorSIZING!$G$44,SchmidtTheory!AM173,"")</f>
        <v>#VALUE!</v>
      </c>
      <c r="AN75" s="85" t="e">
        <f>IF(SchmidtTheory!AN173&gt;ActuatorSIZING!$G$44,SchmidtTheory!AN173,"")</f>
        <v>#VALUE!</v>
      </c>
      <c r="AO75" s="85" t="e">
        <f>IF(SchmidtTheory!AO173&gt;ActuatorSIZING!$G$44,SchmidtTheory!AO173,"")</f>
        <v>#VALUE!</v>
      </c>
      <c r="AP75" s="85" t="e">
        <f>IF(SchmidtTheory!AP173&gt;ActuatorSIZING!$G$44,SchmidtTheory!AP173,"")</f>
        <v>#VALUE!</v>
      </c>
      <c r="AQ75" s="85" t="e">
        <f>IF(SchmidtTheory!AQ173&gt;ActuatorSIZING!$G$44,SchmidtTheory!AQ173,"")</f>
        <v>#VALUE!</v>
      </c>
      <c r="AR75" s="85" t="e">
        <f>IF(SchmidtTheory!AR173&gt;ActuatorSIZING!$G$44,SchmidtTheory!AR173,"")</f>
        <v>#VALUE!</v>
      </c>
      <c r="AS75" s="85" t="e">
        <f>IF(SchmidtTheory!AS173&gt;ActuatorSIZING!$G$44,SchmidtTheory!AS173,"")</f>
        <v>#VALUE!</v>
      </c>
      <c r="AT75" s="85" t="e">
        <f>IF(SchmidtTheory!AT173&gt;ActuatorSIZING!$G$44,SchmidtTheory!AT173,"")</f>
        <v>#VALUE!</v>
      </c>
      <c r="AU75" s="85" t="e">
        <f>IF(SchmidtTheory!AU173&gt;ActuatorSIZING!$G$44,SchmidtTheory!AU173,"")</f>
        <v>#VALUE!</v>
      </c>
      <c r="AV75" s="85" t="e">
        <f>IF(SchmidtTheory!AV173&gt;ActuatorSIZING!$G$44,SchmidtTheory!AV173,"")</f>
        <v>#VALUE!</v>
      </c>
      <c r="AW75" s="96">
        <v>6000</v>
      </c>
      <c r="AX75" s="93" t="e">
        <f>IF(AW75&gt;ActuatorSIZING!$G$44,SchmidtTheory!AW75,"")</f>
        <v>#VALUE!</v>
      </c>
      <c r="AY75" s="95" t="str">
        <f>IF(SELECTION!$P$46=SchmidtTheory!G75,SchmidtTheory!AX75,"")</f>
        <v/>
      </c>
      <c r="AZ75" s="93" t="str">
        <f>IF(SELECTION!$AJ$24&gt;(I75+0.3),SchmidtTheory!AY75,"")</f>
        <v/>
      </c>
      <c r="BA75" s="103" t="s">
        <v>120</v>
      </c>
      <c r="BB75" s="93" t="e">
        <f t="shared" ref="BB75:BB92" si="5">SMALL(N75:AV75,1)</f>
        <v>#VALUE!</v>
      </c>
      <c r="BC75" s="93" t="str">
        <f>IF(SELECTION!$P$46=SchmidtTheory!G75,SchmidtTheory!BB75,"")</f>
        <v/>
      </c>
      <c r="BD75" s="93" t="str">
        <f>IF(SELECTION!$AJ$24&gt;(I75+0.3),SchmidtTheory!BC75,"")</f>
        <v/>
      </c>
      <c r="BE75" s="93" t="b">
        <f t="shared" si="4"/>
        <v>0</v>
      </c>
      <c r="BF75" s="103" t="s">
        <v>120</v>
      </c>
    </row>
    <row r="76" spans="2:58" x14ac:dyDescent="0.2">
      <c r="B76" s="105"/>
      <c r="F76" s="589"/>
      <c r="G76" s="598"/>
      <c r="H76" s="102">
        <v>0.4</v>
      </c>
      <c r="I76" s="101">
        <v>2</v>
      </c>
      <c r="J76" s="100">
        <v>2.2000000000000002</v>
      </c>
      <c r="K76" s="99">
        <v>22500</v>
      </c>
      <c r="L76" s="98">
        <v>4</v>
      </c>
      <c r="M76" s="97">
        <v>60000</v>
      </c>
      <c r="N76" s="85" t="e">
        <f>IF(SchmidtTheory!N174&gt;ActuatorSIZING!$G$44,SchmidtTheory!N174,"")</f>
        <v>#VALUE!</v>
      </c>
      <c r="O76" s="85" t="e">
        <f>IF(SchmidtTheory!O174&gt;ActuatorSIZING!$G$44,SchmidtTheory!O174,"")</f>
        <v>#VALUE!</v>
      </c>
      <c r="P76" s="85" t="e">
        <f>IF(SchmidtTheory!P174&gt;ActuatorSIZING!$G$44,SchmidtTheory!P174,"")</f>
        <v>#VALUE!</v>
      </c>
      <c r="Q76" s="85" t="e">
        <f>IF(SchmidtTheory!Q174&gt;ActuatorSIZING!$G$44,SchmidtTheory!Q174,"")</f>
        <v>#VALUE!</v>
      </c>
      <c r="R76" s="85" t="e">
        <f>IF(SchmidtTheory!R174&gt;ActuatorSIZING!$G$44,SchmidtTheory!R174,"")</f>
        <v>#VALUE!</v>
      </c>
      <c r="S76" s="85" t="e">
        <f>IF(SchmidtTheory!S174&gt;ActuatorSIZING!$G$44,SchmidtTheory!S174,"")</f>
        <v>#VALUE!</v>
      </c>
      <c r="T76" s="85" t="e">
        <f>IF(SchmidtTheory!T174&gt;ActuatorSIZING!$G$44,SchmidtTheory!T174,"")</f>
        <v>#VALUE!</v>
      </c>
      <c r="U76" s="85" t="e">
        <f>IF(SchmidtTheory!U174&gt;ActuatorSIZING!$G$44,SchmidtTheory!U174,"")</f>
        <v>#VALUE!</v>
      </c>
      <c r="V76" s="85" t="e">
        <f>IF(SchmidtTheory!V174&gt;ActuatorSIZING!$G$44,SchmidtTheory!V174,"")</f>
        <v>#VALUE!</v>
      </c>
      <c r="W76" s="85" t="e">
        <f>IF(SchmidtTheory!W174&gt;ActuatorSIZING!$G$44,SchmidtTheory!W174,"")</f>
        <v>#VALUE!</v>
      </c>
      <c r="X76" s="85" t="e">
        <f>IF(SchmidtTheory!X174&gt;ActuatorSIZING!$G$44,SchmidtTheory!X174,"")</f>
        <v>#VALUE!</v>
      </c>
      <c r="Y76" s="85" t="e">
        <f>IF(SchmidtTheory!Y174&gt;ActuatorSIZING!$G$44,SchmidtTheory!Y174,"")</f>
        <v>#VALUE!</v>
      </c>
      <c r="Z76" s="85" t="e">
        <f>IF(SchmidtTheory!Z174&gt;ActuatorSIZING!$G$44,SchmidtTheory!Z174,"")</f>
        <v>#VALUE!</v>
      </c>
      <c r="AA76" s="85" t="e">
        <f>IF(SchmidtTheory!AA174&gt;ActuatorSIZING!$G$44,SchmidtTheory!AA174,"")</f>
        <v>#VALUE!</v>
      </c>
      <c r="AB76" s="85" t="e">
        <f>IF(SchmidtTheory!AB174&gt;ActuatorSIZING!$G$44,SchmidtTheory!AB174,"")</f>
        <v>#VALUE!</v>
      </c>
      <c r="AC76" s="85" t="e">
        <f>IF(SchmidtTheory!AC174&gt;ActuatorSIZING!$G$44,SchmidtTheory!AC174,"")</f>
        <v>#VALUE!</v>
      </c>
      <c r="AD76" s="85" t="e">
        <f>IF(SchmidtTheory!AD174&gt;ActuatorSIZING!$G$44,SchmidtTheory!AD174,"")</f>
        <v>#VALUE!</v>
      </c>
      <c r="AE76" s="85" t="e">
        <f>IF(SchmidtTheory!AE174&gt;ActuatorSIZING!$G$44,SchmidtTheory!AE174,"")</f>
        <v>#VALUE!</v>
      </c>
      <c r="AF76" s="85" t="e">
        <f>IF(SchmidtTheory!AF174&gt;ActuatorSIZING!$G$44,SchmidtTheory!AF174,"")</f>
        <v>#VALUE!</v>
      </c>
      <c r="AG76" s="85" t="e">
        <f>IF(SchmidtTheory!AG174&gt;ActuatorSIZING!$G$44,SchmidtTheory!AG174,"")</f>
        <v>#VALUE!</v>
      </c>
      <c r="AH76" s="85" t="e">
        <f>IF(SchmidtTheory!AH174&gt;ActuatorSIZING!$G$44,SchmidtTheory!AH174,"")</f>
        <v>#VALUE!</v>
      </c>
      <c r="AI76" s="85" t="e">
        <f>IF(SchmidtTheory!AI174&gt;ActuatorSIZING!$G$44,SchmidtTheory!AI174,"")</f>
        <v>#VALUE!</v>
      </c>
      <c r="AJ76" s="85" t="e">
        <f>IF(SchmidtTheory!AJ174&gt;ActuatorSIZING!$G$44,SchmidtTheory!AJ174,"")</f>
        <v>#VALUE!</v>
      </c>
      <c r="AK76" s="85" t="e">
        <f>IF(SchmidtTheory!AK174&gt;ActuatorSIZING!$G$44,SchmidtTheory!AK174,"")</f>
        <v>#VALUE!</v>
      </c>
      <c r="AL76" s="85" t="e">
        <f>IF(SchmidtTheory!AL174&gt;ActuatorSIZING!$G$44,SchmidtTheory!AL174,"")</f>
        <v>#VALUE!</v>
      </c>
      <c r="AM76" s="85" t="e">
        <f>IF(SchmidtTheory!AM174&gt;ActuatorSIZING!$G$44,SchmidtTheory!AM174,"")</f>
        <v>#VALUE!</v>
      </c>
      <c r="AN76" s="85" t="e">
        <f>IF(SchmidtTheory!AN174&gt;ActuatorSIZING!$G$44,SchmidtTheory!AN174,"")</f>
        <v>#VALUE!</v>
      </c>
      <c r="AO76" s="85" t="e">
        <f>IF(SchmidtTheory!AO174&gt;ActuatorSIZING!$G$44,SchmidtTheory!AO174,"")</f>
        <v>#VALUE!</v>
      </c>
      <c r="AP76" s="85" t="e">
        <f>IF(SchmidtTheory!AP174&gt;ActuatorSIZING!$G$44,SchmidtTheory!AP174,"")</f>
        <v>#VALUE!</v>
      </c>
      <c r="AQ76" s="85" t="e">
        <f>IF(SchmidtTheory!AQ174&gt;ActuatorSIZING!$G$44,SchmidtTheory!AQ174,"")</f>
        <v>#VALUE!</v>
      </c>
      <c r="AR76" s="85" t="e">
        <f>IF(SchmidtTheory!AR174&gt;ActuatorSIZING!$G$44,SchmidtTheory!AR174,"")</f>
        <v>#VALUE!</v>
      </c>
      <c r="AS76" s="85" t="e">
        <f>IF(SchmidtTheory!AS174&gt;ActuatorSIZING!$G$44,SchmidtTheory!AS174,"")</f>
        <v>#VALUE!</v>
      </c>
      <c r="AT76" s="85" t="e">
        <f>IF(SchmidtTheory!AT174&gt;ActuatorSIZING!$G$44,SchmidtTheory!AT174,"")</f>
        <v>#VALUE!</v>
      </c>
      <c r="AU76" s="85" t="e">
        <f>IF(SchmidtTheory!AU174&gt;ActuatorSIZING!$G$44,SchmidtTheory!AU174,"")</f>
        <v>#VALUE!</v>
      </c>
      <c r="AV76" s="85" t="e">
        <f>IF(SchmidtTheory!AV174&gt;ActuatorSIZING!$G$44,SchmidtTheory!AV174,"")</f>
        <v>#VALUE!</v>
      </c>
      <c r="AW76" s="96">
        <v>12000</v>
      </c>
      <c r="AX76" s="93" t="e">
        <f>IF(AW76&gt;ActuatorSIZING!$G$44,SchmidtTheory!AW76,"")</f>
        <v>#VALUE!</v>
      </c>
      <c r="AY76" s="95" t="str">
        <f>IF(SELECTION!$P$46=SchmidtTheory!G75,SchmidtTheory!AX76,"")</f>
        <v/>
      </c>
      <c r="AZ76" s="93" t="str">
        <f>IF(SELECTION!$AJ$24&gt;(I76+0.3),SchmidtTheory!AY76,"")</f>
        <v/>
      </c>
      <c r="BA76" s="103" t="s">
        <v>119</v>
      </c>
      <c r="BB76" s="93" t="e">
        <f t="shared" si="5"/>
        <v>#VALUE!</v>
      </c>
      <c r="BC76" s="93" t="str">
        <f>IF(SELECTION!$P$46=SchmidtTheory!G75,SchmidtTheory!BB76,"")</f>
        <v/>
      </c>
      <c r="BD76" s="93" t="str">
        <f>IF(SELECTION!$AJ$24&gt;(I76+0.3),SchmidtTheory!BC76,"")</f>
        <v/>
      </c>
      <c r="BE76" s="93" t="b">
        <f t="shared" si="4"/>
        <v>0</v>
      </c>
      <c r="BF76" s="103" t="s">
        <v>119</v>
      </c>
    </row>
    <row r="77" spans="2:58" x14ac:dyDescent="0.2">
      <c r="B77" s="104" t="s">
        <v>121</v>
      </c>
      <c r="F77" s="589"/>
      <c r="G77" s="598"/>
      <c r="H77" s="102">
        <v>0.75</v>
      </c>
      <c r="I77" s="101">
        <v>1.4</v>
      </c>
      <c r="J77" s="100">
        <v>3.4</v>
      </c>
      <c r="K77" s="99">
        <v>30000</v>
      </c>
      <c r="L77" s="98">
        <v>3.4</v>
      </c>
      <c r="M77" s="97">
        <v>60000</v>
      </c>
      <c r="N77" s="85" t="e">
        <f>IF(SchmidtTheory!N175&gt;ActuatorSIZING!$G$44,SchmidtTheory!N175,"")</f>
        <v>#VALUE!</v>
      </c>
      <c r="O77" s="85" t="e">
        <f>IF(SchmidtTheory!O175&gt;ActuatorSIZING!$G$44,SchmidtTheory!O175,"")</f>
        <v>#VALUE!</v>
      </c>
      <c r="P77" s="85" t="e">
        <f>IF(SchmidtTheory!P175&gt;ActuatorSIZING!$G$44,SchmidtTheory!P175,"")</f>
        <v>#VALUE!</v>
      </c>
      <c r="Q77" s="85" t="e">
        <f>IF(SchmidtTheory!Q175&gt;ActuatorSIZING!$G$44,SchmidtTheory!Q175,"")</f>
        <v>#VALUE!</v>
      </c>
      <c r="R77" s="85" t="e">
        <f>IF(SchmidtTheory!R175&gt;ActuatorSIZING!$G$44,SchmidtTheory!R175,"")</f>
        <v>#VALUE!</v>
      </c>
      <c r="S77" s="85" t="e">
        <f>IF(SchmidtTheory!S175&gt;ActuatorSIZING!$G$44,SchmidtTheory!S175,"")</f>
        <v>#VALUE!</v>
      </c>
      <c r="T77" s="85" t="e">
        <f>IF(SchmidtTheory!T175&gt;ActuatorSIZING!$G$44,SchmidtTheory!T175,"")</f>
        <v>#VALUE!</v>
      </c>
      <c r="U77" s="85" t="e">
        <f>IF(SchmidtTheory!U175&gt;ActuatorSIZING!$G$44,SchmidtTheory!U175,"")</f>
        <v>#VALUE!</v>
      </c>
      <c r="V77" s="85" t="e">
        <f>IF(SchmidtTheory!V175&gt;ActuatorSIZING!$G$44,SchmidtTheory!V175,"")</f>
        <v>#VALUE!</v>
      </c>
      <c r="W77" s="85" t="e">
        <f>IF(SchmidtTheory!W175&gt;ActuatorSIZING!$G$44,SchmidtTheory!W175,"")</f>
        <v>#VALUE!</v>
      </c>
      <c r="X77" s="85" t="e">
        <f>IF(SchmidtTheory!X175&gt;ActuatorSIZING!$G$44,SchmidtTheory!X175,"")</f>
        <v>#VALUE!</v>
      </c>
      <c r="Y77" s="85" t="e">
        <f>IF(SchmidtTheory!Y175&gt;ActuatorSIZING!$G$44,SchmidtTheory!Y175,"")</f>
        <v>#VALUE!</v>
      </c>
      <c r="Z77" s="85" t="e">
        <f>IF(SchmidtTheory!Z175&gt;ActuatorSIZING!$G$44,SchmidtTheory!Z175,"")</f>
        <v>#VALUE!</v>
      </c>
      <c r="AA77" s="85" t="e">
        <f>IF(SchmidtTheory!AA175&gt;ActuatorSIZING!$G$44,SchmidtTheory!AA175,"")</f>
        <v>#VALUE!</v>
      </c>
      <c r="AB77" s="85" t="e">
        <f>IF(SchmidtTheory!AB175&gt;ActuatorSIZING!$G$44,SchmidtTheory!AB175,"")</f>
        <v>#VALUE!</v>
      </c>
      <c r="AC77" s="85" t="e">
        <f>IF(SchmidtTheory!AC175&gt;ActuatorSIZING!$G$44,SchmidtTheory!AC175,"")</f>
        <v>#VALUE!</v>
      </c>
      <c r="AD77" s="85" t="e">
        <f>IF(SchmidtTheory!AD175&gt;ActuatorSIZING!$G$44,SchmidtTheory!AD175,"")</f>
        <v>#VALUE!</v>
      </c>
      <c r="AE77" s="85" t="e">
        <f>IF(SchmidtTheory!AE175&gt;ActuatorSIZING!$G$44,SchmidtTheory!AE175,"")</f>
        <v>#VALUE!</v>
      </c>
      <c r="AF77" s="85" t="e">
        <f>IF(SchmidtTheory!AF175&gt;ActuatorSIZING!$G$44,SchmidtTheory!AF175,"")</f>
        <v>#VALUE!</v>
      </c>
      <c r="AG77" s="85" t="e">
        <f>IF(SchmidtTheory!AG175&gt;ActuatorSIZING!$G$44,SchmidtTheory!AG175,"")</f>
        <v>#VALUE!</v>
      </c>
      <c r="AH77" s="85" t="e">
        <f>IF(SchmidtTheory!AH175&gt;ActuatorSIZING!$G$44,SchmidtTheory!AH175,"")</f>
        <v>#VALUE!</v>
      </c>
      <c r="AI77" s="85" t="e">
        <f>IF(SchmidtTheory!AI175&gt;ActuatorSIZING!$G$44,SchmidtTheory!AI175,"")</f>
        <v>#VALUE!</v>
      </c>
      <c r="AJ77" s="85" t="e">
        <f>IF(SchmidtTheory!AJ175&gt;ActuatorSIZING!$G$44,SchmidtTheory!AJ175,"")</f>
        <v>#VALUE!</v>
      </c>
      <c r="AK77" s="85" t="e">
        <f>IF(SchmidtTheory!AK175&gt;ActuatorSIZING!$G$44,SchmidtTheory!AK175,"")</f>
        <v>#VALUE!</v>
      </c>
      <c r="AL77" s="85" t="e">
        <f>IF(SchmidtTheory!AL175&gt;ActuatorSIZING!$G$44,SchmidtTheory!AL175,"")</f>
        <v>#VALUE!</v>
      </c>
      <c r="AM77" s="85" t="e">
        <f>IF(SchmidtTheory!AM175&gt;ActuatorSIZING!$G$44,SchmidtTheory!AM175,"")</f>
        <v>#VALUE!</v>
      </c>
      <c r="AN77" s="85" t="e">
        <f>IF(SchmidtTheory!AN175&gt;ActuatorSIZING!$G$44,SchmidtTheory!AN175,"")</f>
        <v>#VALUE!</v>
      </c>
      <c r="AO77" s="85" t="e">
        <f>IF(SchmidtTheory!AO175&gt;ActuatorSIZING!$G$44,SchmidtTheory!AO175,"")</f>
        <v>#VALUE!</v>
      </c>
      <c r="AP77" s="85" t="e">
        <f>IF(SchmidtTheory!AP175&gt;ActuatorSIZING!$G$44,SchmidtTheory!AP175,"")</f>
        <v>#VALUE!</v>
      </c>
      <c r="AQ77" s="85" t="e">
        <f>IF(SchmidtTheory!AQ175&gt;ActuatorSIZING!$G$44,SchmidtTheory!AQ175,"")</f>
        <v>#VALUE!</v>
      </c>
      <c r="AR77" s="85" t="e">
        <f>IF(SchmidtTheory!AR175&gt;ActuatorSIZING!$G$44,SchmidtTheory!AR175,"")</f>
        <v>#VALUE!</v>
      </c>
      <c r="AS77" s="85" t="e">
        <f>IF(SchmidtTheory!AS175&gt;ActuatorSIZING!$G$44,SchmidtTheory!AS175,"")</f>
        <v>#VALUE!</v>
      </c>
      <c r="AT77" s="85" t="e">
        <f>IF(SchmidtTheory!AT175&gt;ActuatorSIZING!$G$44,SchmidtTheory!AT175,"")</f>
        <v>#VALUE!</v>
      </c>
      <c r="AU77" s="85" t="e">
        <f>IF(SchmidtTheory!AU175&gt;ActuatorSIZING!$G$44,SchmidtTheory!AU175,"")</f>
        <v>#VALUE!</v>
      </c>
      <c r="AV77" s="85" t="e">
        <f>IF(SchmidtTheory!AV175&gt;ActuatorSIZING!$G$44,SchmidtTheory!AV175,"")</f>
        <v>#VALUE!</v>
      </c>
      <c r="AW77" s="96">
        <v>22500</v>
      </c>
      <c r="AX77" s="93" t="e">
        <f>IF(AW77&gt;ActuatorSIZING!$G$44,SchmidtTheory!AW77,"")</f>
        <v>#VALUE!</v>
      </c>
      <c r="AY77" s="95" t="str">
        <f>IF(SELECTION!$P$46=SchmidtTheory!G75,SchmidtTheory!AX77,"")</f>
        <v/>
      </c>
      <c r="AZ77" s="93" t="str">
        <f>IF(SELECTION!$AJ$24&gt;(I77+0.3),SchmidtTheory!AY77,"")</f>
        <v/>
      </c>
      <c r="BA77" s="103" t="s">
        <v>118</v>
      </c>
      <c r="BB77" s="93" t="e">
        <f t="shared" si="5"/>
        <v>#VALUE!</v>
      </c>
      <c r="BC77" s="93" t="str">
        <f>IF(SELECTION!$P$46=SchmidtTheory!G75,SchmidtTheory!BB77,"")</f>
        <v/>
      </c>
      <c r="BD77" s="93" t="str">
        <f>IF(SELECTION!$AJ$24&gt;(I77+0.3),SchmidtTheory!BC77,"")</f>
        <v/>
      </c>
      <c r="BE77" s="93" t="b">
        <f t="shared" si="4"/>
        <v>0</v>
      </c>
      <c r="BF77" s="103" t="s">
        <v>118</v>
      </c>
    </row>
    <row r="78" spans="2:58" x14ac:dyDescent="0.2">
      <c r="B78" s="104" t="s">
        <v>815</v>
      </c>
      <c r="F78" s="589"/>
      <c r="G78" s="598"/>
      <c r="H78" s="102">
        <v>1</v>
      </c>
      <c r="I78" s="101">
        <v>2.4</v>
      </c>
      <c r="J78" s="100">
        <v>3.4</v>
      </c>
      <c r="K78" s="99">
        <v>39000</v>
      </c>
      <c r="L78" s="98">
        <v>4.4000000000000004</v>
      </c>
      <c r="M78" s="97">
        <v>60000</v>
      </c>
      <c r="N78" s="85" t="e">
        <f>IF(SchmidtTheory!N176&gt;ActuatorSIZING!$G$44,SchmidtTheory!N176,"")</f>
        <v>#VALUE!</v>
      </c>
      <c r="O78" s="85" t="e">
        <f>IF(SchmidtTheory!O176&gt;ActuatorSIZING!$G$44,SchmidtTheory!O176,"")</f>
        <v>#VALUE!</v>
      </c>
      <c r="P78" s="85" t="e">
        <f>IF(SchmidtTheory!P176&gt;ActuatorSIZING!$G$44,SchmidtTheory!P176,"")</f>
        <v>#VALUE!</v>
      </c>
      <c r="Q78" s="85" t="e">
        <f>IF(SchmidtTheory!Q176&gt;ActuatorSIZING!$G$44,SchmidtTheory!Q176,"")</f>
        <v>#VALUE!</v>
      </c>
      <c r="R78" s="85" t="e">
        <f>IF(SchmidtTheory!R176&gt;ActuatorSIZING!$G$44,SchmidtTheory!R176,"")</f>
        <v>#VALUE!</v>
      </c>
      <c r="S78" s="85" t="e">
        <f>IF(SchmidtTheory!S176&gt;ActuatorSIZING!$G$44,SchmidtTheory!S176,"")</f>
        <v>#VALUE!</v>
      </c>
      <c r="T78" s="85" t="e">
        <f>IF(SchmidtTheory!T176&gt;ActuatorSIZING!$G$44,SchmidtTheory!T176,"")</f>
        <v>#VALUE!</v>
      </c>
      <c r="U78" s="85" t="e">
        <f>IF(SchmidtTheory!U176&gt;ActuatorSIZING!$G$44,SchmidtTheory!U176,"")</f>
        <v>#VALUE!</v>
      </c>
      <c r="V78" s="85" t="e">
        <f>IF(SchmidtTheory!V176&gt;ActuatorSIZING!$G$44,SchmidtTheory!V176,"")</f>
        <v>#VALUE!</v>
      </c>
      <c r="W78" s="85" t="e">
        <f>IF(SchmidtTheory!W176&gt;ActuatorSIZING!$G$44,SchmidtTheory!W176,"")</f>
        <v>#VALUE!</v>
      </c>
      <c r="X78" s="85" t="e">
        <f>IF(SchmidtTheory!X176&gt;ActuatorSIZING!$G$44,SchmidtTheory!X176,"")</f>
        <v>#VALUE!</v>
      </c>
      <c r="Y78" s="85" t="e">
        <f>IF(SchmidtTheory!Y176&gt;ActuatorSIZING!$G$44,SchmidtTheory!Y176,"")</f>
        <v>#VALUE!</v>
      </c>
      <c r="Z78" s="85" t="e">
        <f>IF(SchmidtTheory!Z176&gt;ActuatorSIZING!$G$44,SchmidtTheory!Z176,"")</f>
        <v>#VALUE!</v>
      </c>
      <c r="AA78" s="85" t="e">
        <f>IF(SchmidtTheory!AA176&gt;ActuatorSIZING!$G$44,SchmidtTheory!AA176,"")</f>
        <v>#VALUE!</v>
      </c>
      <c r="AB78" s="85" t="e">
        <f>IF(SchmidtTheory!AB176&gt;ActuatorSIZING!$G$44,SchmidtTheory!AB176,"")</f>
        <v>#VALUE!</v>
      </c>
      <c r="AC78" s="85" t="e">
        <f>IF(SchmidtTheory!AC176&gt;ActuatorSIZING!$G$44,SchmidtTheory!AC176,"")</f>
        <v>#VALUE!</v>
      </c>
      <c r="AD78" s="85" t="e">
        <f>IF(SchmidtTheory!AD176&gt;ActuatorSIZING!$G$44,SchmidtTheory!AD176,"")</f>
        <v>#VALUE!</v>
      </c>
      <c r="AE78" s="85" t="e">
        <f>IF(SchmidtTheory!AE176&gt;ActuatorSIZING!$G$44,SchmidtTheory!AE176,"")</f>
        <v>#VALUE!</v>
      </c>
      <c r="AF78" s="85" t="e">
        <f>IF(SchmidtTheory!AF176&gt;ActuatorSIZING!$G$44,SchmidtTheory!AF176,"")</f>
        <v>#VALUE!</v>
      </c>
      <c r="AG78" s="85" t="e">
        <f>IF(SchmidtTheory!AG176&gt;ActuatorSIZING!$G$44,SchmidtTheory!AG176,"")</f>
        <v>#VALUE!</v>
      </c>
      <c r="AH78" s="85" t="e">
        <f>IF(SchmidtTheory!AH176&gt;ActuatorSIZING!$G$44,SchmidtTheory!AH176,"")</f>
        <v>#VALUE!</v>
      </c>
      <c r="AI78" s="85" t="e">
        <f>IF(SchmidtTheory!AI176&gt;ActuatorSIZING!$G$44,SchmidtTheory!AI176,"")</f>
        <v>#VALUE!</v>
      </c>
      <c r="AJ78" s="85" t="e">
        <f>IF(SchmidtTheory!AJ176&gt;ActuatorSIZING!$G$44,SchmidtTheory!AJ176,"")</f>
        <v>#VALUE!</v>
      </c>
      <c r="AK78" s="85" t="e">
        <f>IF(SchmidtTheory!AK176&gt;ActuatorSIZING!$G$44,SchmidtTheory!AK176,"")</f>
        <v>#VALUE!</v>
      </c>
      <c r="AL78" s="85" t="e">
        <f>IF(SchmidtTheory!AL176&gt;ActuatorSIZING!$G$44,SchmidtTheory!AL176,"")</f>
        <v>#VALUE!</v>
      </c>
      <c r="AM78" s="85" t="e">
        <f>IF(SchmidtTheory!AM176&gt;ActuatorSIZING!$G$44,SchmidtTheory!AM176,"")</f>
        <v>#VALUE!</v>
      </c>
      <c r="AN78" s="85" t="e">
        <f>IF(SchmidtTheory!AN176&gt;ActuatorSIZING!$G$44,SchmidtTheory!AN176,"")</f>
        <v>#VALUE!</v>
      </c>
      <c r="AO78" s="85" t="e">
        <f>IF(SchmidtTheory!AO176&gt;ActuatorSIZING!$G$44,SchmidtTheory!AO176,"")</f>
        <v>#VALUE!</v>
      </c>
      <c r="AP78" s="85" t="e">
        <f>IF(SchmidtTheory!AP176&gt;ActuatorSIZING!$G$44,SchmidtTheory!AP176,"")</f>
        <v>#VALUE!</v>
      </c>
      <c r="AQ78" s="85" t="e">
        <f>IF(SchmidtTheory!AQ176&gt;ActuatorSIZING!$G$44,SchmidtTheory!AQ176,"")</f>
        <v>#VALUE!</v>
      </c>
      <c r="AR78" s="85" t="e">
        <f>IF(SchmidtTheory!AR176&gt;ActuatorSIZING!$G$44,SchmidtTheory!AR176,"")</f>
        <v>#VALUE!</v>
      </c>
      <c r="AS78" s="85" t="e">
        <f>IF(SchmidtTheory!AS176&gt;ActuatorSIZING!$G$44,SchmidtTheory!AS176,"")</f>
        <v>#VALUE!</v>
      </c>
      <c r="AT78" s="85" t="e">
        <f>IF(SchmidtTheory!AT176&gt;ActuatorSIZING!$G$44,SchmidtTheory!AT176,"")</f>
        <v>#VALUE!</v>
      </c>
      <c r="AU78" s="85" t="e">
        <f>IF(SchmidtTheory!AU176&gt;ActuatorSIZING!$G$44,SchmidtTheory!AU176,"")</f>
        <v>#VALUE!</v>
      </c>
      <c r="AV78" s="85" t="e">
        <f>IF(SchmidtTheory!AV176&gt;ActuatorSIZING!$G$44,SchmidtTheory!AV176,"")</f>
        <v>#VALUE!</v>
      </c>
      <c r="AW78" s="96">
        <v>30000</v>
      </c>
      <c r="AX78" s="93" t="e">
        <f>IF(AW78&gt;ActuatorSIZING!$G$44,SchmidtTheory!AW78,"")</f>
        <v>#VALUE!</v>
      </c>
      <c r="AY78" s="95" t="str">
        <f>IF(SELECTION!$P$46=SchmidtTheory!G75,SchmidtTheory!AX78,"")</f>
        <v/>
      </c>
      <c r="AZ78" s="93" t="str">
        <f>IF(SELECTION!$AJ$24&gt;(I78+0.3),SchmidtTheory!AY78,"")</f>
        <v/>
      </c>
      <c r="BA78" s="103" t="s">
        <v>116</v>
      </c>
      <c r="BB78" s="93" t="e">
        <f t="shared" si="5"/>
        <v>#VALUE!</v>
      </c>
      <c r="BC78" s="93" t="str">
        <f>IF(SELECTION!$P$46=SchmidtTheory!G75,SchmidtTheory!BB78,"")</f>
        <v/>
      </c>
      <c r="BD78" s="93" t="str">
        <f>IF(SELECTION!$AJ$24&gt;(I78+0.3),SchmidtTheory!BC78,"")</f>
        <v/>
      </c>
      <c r="BE78" s="93" t="b">
        <f t="shared" si="4"/>
        <v>0</v>
      </c>
      <c r="BF78" s="103" t="s">
        <v>116</v>
      </c>
    </row>
    <row r="79" spans="2:58" x14ac:dyDescent="0.2">
      <c r="F79" s="589"/>
      <c r="G79" s="598"/>
      <c r="H79" s="102">
        <v>1.3</v>
      </c>
      <c r="I79" s="101">
        <v>2.1</v>
      </c>
      <c r="J79" s="100">
        <v>5.5</v>
      </c>
      <c r="K79" s="99">
        <v>60000</v>
      </c>
      <c r="L79" s="98">
        <v>4.0999999999999996</v>
      </c>
      <c r="M79" s="97">
        <v>60000</v>
      </c>
      <c r="N79" s="85" t="e">
        <f>IF(SchmidtTheory!N177&gt;ActuatorSIZING!$G$44,SchmidtTheory!N177,"")</f>
        <v>#VALUE!</v>
      </c>
      <c r="O79" s="85" t="e">
        <f>IF(SchmidtTheory!O177&gt;ActuatorSIZING!$G$44,SchmidtTheory!O177,"")</f>
        <v>#VALUE!</v>
      </c>
      <c r="P79" s="85" t="e">
        <f>IF(SchmidtTheory!P177&gt;ActuatorSIZING!$G$44,SchmidtTheory!P177,"")</f>
        <v>#VALUE!</v>
      </c>
      <c r="Q79" s="85" t="e">
        <f>IF(SchmidtTheory!Q177&gt;ActuatorSIZING!$G$44,SchmidtTheory!Q177,"")</f>
        <v>#VALUE!</v>
      </c>
      <c r="R79" s="85" t="e">
        <f>IF(SchmidtTheory!R177&gt;ActuatorSIZING!$G$44,SchmidtTheory!R177,"")</f>
        <v>#VALUE!</v>
      </c>
      <c r="S79" s="85" t="e">
        <f>IF(SchmidtTheory!S177&gt;ActuatorSIZING!$G$44,SchmidtTheory!S177,"")</f>
        <v>#VALUE!</v>
      </c>
      <c r="T79" s="85" t="e">
        <f>IF(SchmidtTheory!T177&gt;ActuatorSIZING!$G$44,SchmidtTheory!T177,"")</f>
        <v>#VALUE!</v>
      </c>
      <c r="U79" s="85" t="e">
        <f>IF(SchmidtTheory!U177&gt;ActuatorSIZING!$G$44,SchmidtTheory!U177,"")</f>
        <v>#VALUE!</v>
      </c>
      <c r="V79" s="85" t="e">
        <f>IF(SchmidtTheory!V177&gt;ActuatorSIZING!$G$44,SchmidtTheory!V177,"")</f>
        <v>#VALUE!</v>
      </c>
      <c r="W79" s="85" t="e">
        <f>IF(SchmidtTheory!W177&gt;ActuatorSIZING!$G$44,SchmidtTheory!W177,"")</f>
        <v>#VALUE!</v>
      </c>
      <c r="X79" s="85" t="e">
        <f>IF(SchmidtTheory!X177&gt;ActuatorSIZING!$G$44,SchmidtTheory!X177,"")</f>
        <v>#VALUE!</v>
      </c>
      <c r="Y79" s="85" t="e">
        <f>IF(SchmidtTheory!Y177&gt;ActuatorSIZING!$G$44,SchmidtTheory!Y177,"")</f>
        <v>#VALUE!</v>
      </c>
      <c r="Z79" s="85" t="e">
        <f>IF(SchmidtTheory!Z177&gt;ActuatorSIZING!$G$44,SchmidtTheory!Z177,"")</f>
        <v>#VALUE!</v>
      </c>
      <c r="AA79" s="85" t="e">
        <f>IF(SchmidtTheory!AA177&gt;ActuatorSIZING!$G$44,SchmidtTheory!AA177,"")</f>
        <v>#VALUE!</v>
      </c>
      <c r="AB79" s="85" t="e">
        <f>IF(SchmidtTheory!AB177&gt;ActuatorSIZING!$G$44,SchmidtTheory!AB177,"")</f>
        <v>#VALUE!</v>
      </c>
      <c r="AC79" s="85" t="e">
        <f>IF(SchmidtTheory!AC177&gt;ActuatorSIZING!$G$44,SchmidtTheory!AC177,"")</f>
        <v>#VALUE!</v>
      </c>
      <c r="AD79" s="85" t="e">
        <f>IF(SchmidtTheory!AD177&gt;ActuatorSIZING!$G$44,SchmidtTheory!AD177,"")</f>
        <v>#VALUE!</v>
      </c>
      <c r="AE79" s="85" t="e">
        <f>IF(SchmidtTheory!AE177&gt;ActuatorSIZING!$G$44,SchmidtTheory!AE177,"")</f>
        <v>#VALUE!</v>
      </c>
      <c r="AF79" s="85" t="e">
        <f>IF(SchmidtTheory!AF177&gt;ActuatorSIZING!$G$44,SchmidtTheory!AF177,"")</f>
        <v>#VALUE!</v>
      </c>
      <c r="AG79" s="85" t="e">
        <f>IF(SchmidtTheory!AG177&gt;ActuatorSIZING!$G$44,SchmidtTheory!AG177,"")</f>
        <v>#VALUE!</v>
      </c>
      <c r="AH79" s="85" t="e">
        <f>IF(SchmidtTheory!AH177&gt;ActuatorSIZING!$G$44,SchmidtTheory!AH177,"")</f>
        <v>#VALUE!</v>
      </c>
      <c r="AI79" s="85" t="e">
        <f>IF(SchmidtTheory!AI177&gt;ActuatorSIZING!$G$44,SchmidtTheory!AI177,"")</f>
        <v>#VALUE!</v>
      </c>
      <c r="AJ79" s="85" t="e">
        <f>IF(SchmidtTheory!AJ177&gt;ActuatorSIZING!$G$44,SchmidtTheory!AJ177,"")</f>
        <v>#VALUE!</v>
      </c>
      <c r="AK79" s="85" t="e">
        <f>IF(SchmidtTheory!AK177&gt;ActuatorSIZING!$G$44,SchmidtTheory!AK177,"")</f>
        <v>#VALUE!</v>
      </c>
      <c r="AL79" s="85" t="e">
        <f>IF(SchmidtTheory!AL177&gt;ActuatorSIZING!$G$44,SchmidtTheory!AL177,"")</f>
        <v>#VALUE!</v>
      </c>
      <c r="AM79" s="85" t="e">
        <f>IF(SchmidtTheory!AM177&gt;ActuatorSIZING!$G$44,SchmidtTheory!AM177,"")</f>
        <v>#VALUE!</v>
      </c>
      <c r="AN79" s="85" t="e">
        <f>IF(SchmidtTheory!AN177&gt;ActuatorSIZING!$G$44,SchmidtTheory!AN177,"")</f>
        <v>#VALUE!</v>
      </c>
      <c r="AO79" s="85" t="e">
        <f>IF(SchmidtTheory!AO177&gt;ActuatorSIZING!$G$44,SchmidtTheory!AO177,"")</f>
        <v>#VALUE!</v>
      </c>
      <c r="AP79" s="85" t="e">
        <f>IF(SchmidtTheory!AP177&gt;ActuatorSIZING!$G$44,SchmidtTheory!AP177,"")</f>
        <v>#VALUE!</v>
      </c>
      <c r="AQ79" s="85" t="e">
        <f>IF(SchmidtTheory!AQ177&gt;ActuatorSIZING!$G$44,SchmidtTheory!AQ177,"")</f>
        <v>#VALUE!</v>
      </c>
      <c r="AR79" s="85" t="e">
        <f>IF(SchmidtTheory!AR177&gt;ActuatorSIZING!$G$44,SchmidtTheory!AR177,"")</f>
        <v>#VALUE!</v>
      </c>
      <c r="AS79" s="85" t="e">
        <f>IF(SchmidtTheory!AS177&gt;ActuatorSIZING!$G$44,SchmidtTheory!AS177,"")</f>
        <v>#VALUE!</v>
      </c>
      <c r="AT79" s="85" t="e">
        <f>IF(SchmidtTheory!AT177&gt;ActuatorSIZING!$G$44,SchmidtTheory!AT177,"")</f>
        <v>#VALUE!</v>
      </c>
      <c r="AU79" s="85" t="e">
        <f>IF(SchmidtTheory!AU177&gt;ActuatorSIZING!$G$44,SchmidtTheory!AU177,"")</f>
        <v>#VALUE!</v>
      </c>
      <c r="AV79" s="85" t="e">
        <f>IF(SchmidtTheory!AV177&gt;ActuatorSIZING!$G$44,SchmidtTheory!AV177,"")</f>
        <v>#VALUE!</v>
      </c>
      <c r="AW79" s="96">
        <v>39000</v>
      </c>
      <c r="AX79" s="93" t="e">
        <f>IF(AW79&gt;ActuatorSIZING!$G$44,SchmidtTheory!AW79,"")</f>
        <v>#VALUE!</v>
      </c>
      <c r="AY79" s="95" t="str">
        <f>IF(SELECTION!$P$46=SchmidtTheory!G75,SchmidtTheory!AX79,"")</f>
        <v/>
      </c>
      <c r="AZ79" s="93" t="str">
        <f>IF(SELECTION!$AJ$24&gt;(I79+0.3),SchmidtTheory!AY79,"")</f>
        <v/>
      </c>
      <c r="BA79" s="103" t="s">
        <v>114</v>
      </c>
      <c r="BB79" s="93" t="e">
        <f t="shared" si="5"/>
        <v>#VALUE!</v>
      </c>
      <c r="BC79" s="93" t="str">
        <f>IF(SELECTION!$P$46=SchmidtTheory!G75,SchmidtTheory!BB79,"")</f>
        <v/>
      </c>
      <c r="BD79" s="93" t="str">
        <f>IF(SELECTION!$AJ$24&gt;(I79+0.3),SchmidtTheory!BC79,"")</f>
        <v/>
      </c>
      <c r="BE79" s="93" t="b">
        <f t="shared" si="4"/>
        <v>0</v>
      </c>
      <c r="BF79" s="103" t="s">
        <v>114</v>
      </c>
    </row>
    <row r="80" spans="2:58" x14ac:dyDescent="0.2">
      <c r="B80" s="45" t="s">
        <v>117</v>
      </c>
      <c r="F80" s="589"/>
      <c r="G80" s="598"/>
      <c r="H80" s="102">
        <v>2</v>
      </c>
      <c r="I80" s="101">
        <v>3.5</v>
      </c>
      <c r="J80" s="100"/>
      <c r="K80" s="99"/>
      <c r="L80" s="98">
        <v>5.5</v>
      </c>
      <c r="M80" s="97">
        <v>60000</v>
      </c>
      <c r="N80" s="85" t="e">
        <f>IF(SchmidtTheory!N178&gt;ActuatorSIZING!$G$44,SchmidtTheory!N178,"")</f>
        <v>#VALUE!</v>
      </c>
      <c r="O80" s="85" t="e">
        <f>IF(SchmidtTheory!O178&gt;ActuatorSIZING!$G$44,SchmidtTheory!O178,"")</f>
        <v>#VALUE!</v>
      </c>
      <c r="P80" s="85" t="e">
        <f>IF(SchmidtTheory!P178&gt;ActuatorSIZING!$G$44,SchmidtTheory!P178,"")</f>
        <v>#VALUE!</v>
      </c>
      <c r="Q80" s="85" t="e">
        <f>IF(SchmidtTheory!Q178&gt;ActuatorSIZING!$G$44,SchmidtTheory!Q178,"")</f>
        <v>#VALUE!</v>
      </c>
      <c r="R80" s="85" t="e">
        <f>IF(SchmidtTheory!R178&gt;ActuatorSIZING!$G$44,SchmidtTheory!R178,"")</f>
        <v>#VALUE!</v>
      </c>
      <c r="S80" s="85" t="e">
        <f>IF(SchmidtTheory!S178&gt;ActuatorSIZING!$G$44,SchmidtTheory!S178,"")</f>
        <v>#VALUE!</v>
      </c>
      <c r="T80" s="85" t="e">
        <f>IF(SchmidtTheory!T178&gt;ActuatorSIZING!$G$44,SchmidtTheory!T178,"")</f>
        <v>#VALUE!</v>
      </c>
      <c r="U80" s="85" t="e">
        <f>IF(SchmidtTheory!U178&gt;ActuatorSIZING!$G$44,SchmidtTheory!U178,"")</f>
        <v>#VALUE!</v>
      </c>
      <c r="V80" s="85" t="e">
        <f>IF(SchmidtTheory!V178&gt;ActuatorSIZING!$G$44,SchmidtTheory!V178,"")</f>
        <v>#VALUE!</v>
      </c>
      <c r="W80" s="85" t="e">
        <f>IF(SchmidtTheory!W178&gt;ActuatorSIZING!$G$44,SchmidtTheory!W178,"")</f>
        <v>#VALUE!</v>
      </c>
      <c r="X80" s="85" t="e">
        <f>IF(SchmidtTheory!X178&gt;ActuatorSIZING!$G$44,SchmidtTheory!X178,"")</f>
        <v>#VALUE!</v>
      </c>
      <c r="Y80" s="85" t="e">
        <f>IF(SchmidtTheory!Y178&gt;ActuatorSIZING!$G$44,SchmidtTheory!Y178,"")</f>
        <v>#VALUE!</v>
      </c>
      <c r="Z80" s="85" t="e">
        <f>IF(SchmidtTheory!Z178&gt;ActuatorSIZING!$G$44,SchmidtTheory!Z178,"")</f>
        <v>#VALUE!</v>
      </c>
      <c r="AA80" s="85" t="e">
        <f>IF(SchmidtTheory!AA178&gt;ActuatorSIZING!$G$44,SchmidtTheory!AA178,"")</f>
        <v>#VALUE!</v>
      </c>
      <c r="AB80" s="85" t="e">
        <f>IF(SchmidtTheory!AB178&gt;ActuatorSIZING!$G$44,SchmidtTheory!AB178,"")</f>
        <v>#VALUE!</v>
      </c>
      <c r="AC80" s="85" t="e">
        <f>IF(SchmidtTheory!AC178&gt;ActuatorSIZING!$G$44,SchmidtTheory!AC178,"")</f>
        <v>#VALUE!</v>
      </c>
      <c r="AD80" s="85" t="e">
        <f>IF(SchmidtTheory!AD178&gt;ActuatorSIZING!$G$44,SchmidtTheory!AD178,"")</f>
        <v>#VALUE!</v>
      </c>
      <c r="AE80" s="85" t="e">
        <f>IF(SchmidtTheory!AE178&gt;ActuatorSIZING!$G$44,SchmidtTheory!AE178,"")</f>
        <v>#VALUE!</v>
      </c>
      <c r="AF80" s="85" t="e">
        <f>IF(SchmidtTheory!AF178&gt;ActuatorSIZING!$G$44,SchmidtTheory!AF178,"")</f>
        <v>#VALUE!</v>
      </c>
      <c r="AG80" s="85" t="e">
        <f>IF(SchmidtTheory!AG178&gt;ActuatorSIZING!$G$44,SchmidtTheory!AG178,"")</f>
        <v>#VALUE!</v>
      </c>
      <c r="AH80" s="85" t="e">
        <f>IF(SchmidtTheory!AH178&gt;ActuatorSIZING!$G$44,SchmidtTheory!AH178,"")</f>
        <v>#VALUE!</v>
      </c>
      <c r="AI80" s="85" t="e">
        <f>IF(SchmidtTheory!AI178&gt;ActuatorSIZING!$G$44,SchmidtTheory!AI178,"")</f>
        <v>#VALUE!</v>
      </c>
      <c r="AJ80" s="85" t="e">
        <f>IF(SchmidtTheory!AJ178&gt;ActuatorSIZING!$G$44,SchmidtTheory!AJ178,"")</f>
        <v>#VALUE!</v>
      </c>
      <c r="AK80" s="85" t="e">
        <f>IF(SchmidtTheory!AK178&gt;ActuatorSIZING!$G$44,SchmidtTheory!AK178,"")</f>
        <v>#VALUE!</v>
      </c>
      <c r="AL80" s="85" t="e">
        <f>IF(SchmidtTheory!AL178&gt;ActuatorSIZING!$G$44,SchmidtTheory!AL178,"")</f>
        <v>#VALUE!</v>
      </c>
      <c r="AM80" s="85" t="e">
        <f>IF(SchmidtTheory!AM178&gt;ActuatorSIZING!$G$44,SchmidtTheory!AM178,"")</f>
        <v>#VALUE!</v>
      </c>
      <c r="AN80" s="85" t="e">
        <f>IF(SchmidtTheory!AN178&gt;ActuatorSIZING!$G$44,SchmidtTheory!AN178,"")</f>
        <v>#VALUE!</v>
      </c>
      <c r="AO80" s="85" t="e">
        <f>IF(SchmidtTheory!AO178&gt;ActuatorSIZING!$G$44,SchmidtTheory!AO178,"")</f>
        <v>#VALUE!</v>
      </c>
      <c r="AP80" s="85" t="e">
        <f>IF(SchmidtTheory!AP178&gt;ActuatorSIZING!$G$44,SchmidtTheory!AP178,"")</f>
        <v>#VALUE!</v>
      </c>
      <c r="AQ80" s="85" t="e">
        <f>IF(SchmidtTheory!AQ178&gt;ActuatorSIZING!$G$44,SchmidtTheory!AQ178,"")</f>
        <v>#VALUE!</v>
      </c>
      <c r="AR80" s="85" t="e">
        <f>IF(SchmidtTheory!AR178&gt;ActuatorSIZING!$G$44,SchmidtTheory!AR178,"")</f>
        <v>#VALUE!</v>
      </c>
      <c r="AS80" s="85" t="e">
        <f>IF(SchmidtTheory!AS178&gt;ActuatorSIZING!$G$44,SchmidtTheory!AS178,"")</f>
        <v>#VALUE!</v>
      </c>
      <c r="AT80" s="85" t="e">
        <f>IF(SchmidtTheory!AT178&gt;ActuatorSIZING!$G$44,SchmidtTheory!AT178,"")</f>
        <v>#VALUE!</v>
      </c>
      <c r="AU80" s="85" t="e">
        <f>IF(SchmidtTheory!AU178&gt;ActuatorSIZING!$G$44,SchmidtTheory!AU178,"")</f>
        <v>#VALUE!</v>
      </c>
      <c r="AV80" s="85" t="e">
        <f>IF(SchmidtTheory!AV178&gt;ActuatorSIZING!$G$44,SchmidtTheory!AV178,"")</f>
        <v>#VALUE!</v>
      </c>
      <c r="AW80" s="96">
        <v>60000</v>
      </c>
      <c r="AX80" s="93" t="e">
        <f>IF(AW80&gt;ActuatorSIZING!$G$44,SchmidtTheory!AW80,"")</f>
        <v>#VALUE!</v>
      </c>
      <c r="AY80" s="95" t="str">
        <f>IF(SELECTION!$P$46=SchmidtTheory!G75,SchmidtTheory!AX80,"")</f>
        <v/>
      </c>
      <c r="AZ80" s="93" t="str">
        <f>IF(SELECTION!$AJ$24&gt;(I80+0.3),SchmidtTheory!AY80,"")</f>
        <v/>
      </c>
      <c r="BA80" s="103" t="s">
        <v>113</v>
      </c>
      <c r="BB80" s="93" t="e">
        <f t="shared" si="5"/>
        <v>#VALUE!</v>
      </c>
      <c r="BC80" s="93" t="str">
        <f>IF(SELECTION!$P$46=SchmidtTheory!G75,SchmidtTheory!BB80,"")</f>
        <v/>
      </c>
      <c r="BD80" s="93" t="str">
        <f>IF(SELECTION!$AJ$24&gt;(I80+0.3),SchmidtTheory!BC80,"")</f>
        <v/>
      </c>
      <c r="BE80" s="93" t="b">
        <f t="shared" si="4"/>
        <v>0</v>
      </c>
      <c r="BF80" s="103" t="s">
        <v>113</v>
      </c>
    </row>
    <row r="81" spans="2:58" x14ac:dyDescent="0.2">
      <c r="B81" s="42" t="s">
        <v>115</v>
      </c>
      <c r="F81" s="589"/>
      <c r="G81" s="598">
        <v>60</v>
      </c>
      <c r="H81" s="102">
        <v>0.2</v>
      </c>
      <c r="I81" s="101">
        <v>1</v>
      </c>
      <c r="J81" s="100">
        <v>2.4</v>
      </c>
      <c r="K81" s="99">
        <v>12000</v>
      </c>
      <c r="L81" s="98">
        <v>3</v>
      </c>
      <c r="M81" s="97">
        <v>60000</v>
      </c>
      <c r="N81" s="85" t="e">
        <f>IF(SchmidtTheory!N179&gt;ActuatorSIZING!$G$44,SchmidtTheory!N179,"")</f>
        <v>#VALUE!</v>
      </c>
      <c r="O81" s="85" t="e">
        <f>IF(SchmidtTheory!O179&gt;ActuatorSIZING!$G$44,SchmidtTheory!O179,"")</f>
        <v>#VALUE!</v>
      </c>
      <c r="P81" s="85" t="e">
        <f>IF(SchmidtTheory!P179&gt;ActuatorSIZING!$G$44,SchmidtTheory!P179,"")</f>
        <v>#VALUE!</v>
      </c>
      <c r="Q81" s="85" t="e">
        <f>IF(SchmidtTheory!Q179&gt;ActuatorSIZING!$G$44,SchmidtTheory!Q179,"")</f>
        <v>#VALUE!</v>
      </c>
      <c r="R81" s="85" t="e">
        <f>IF(SchmidtTheory!R179&gt;ActuatorSIZING!$G$44,SchmidtTheory!R179,"")</f>
        <v>#VALUE!</v>
      </c>
      <c r="S81" s="85" t="e">
        <f>IF(SchmidtTheory!S179&gt;ActuatorSIZING!$G$44,SchmidtTheory!S179,"")</f>
        <v>#VALUE!</v>
      </c>
      <c r="T81" s="85" t="e">
        <f>IF(SchmidtTheory!T179&gt;ActuatorSIZING!$G$44,SchmidtTheory!T179,"")</f>
        <v>#VALUE!</v>
      </c>
      <c r="U81" s="85" t="e">
        <f>IF(SchmidtTheory!U179&gt;ActuatorSIZING!$G$44,SchmidtTheory!U179,"")</f>
        <v>#VALUE!</v>
      </c>
      <c r="V81" s="85" t="e">
        <f>IF(SchmidtTheory!V179&gt;ActuatorSIZING!$G$44,SchmidtTheory!V179,"")</f>
        <v>#VALUE!</v>
      </c>
      <c r="W81" s="85" t="e">
        <f>IF(SchmidtTheory!W179&gt;ActuatorSIZING!$G$44,SchmidtTheory!W179,"")</f>
        <v>#VALUE!</v>
      </c>
      <c r="X81" s="85" t="e">
        <f>IF(SchmidtTheory!X179&gt;ActuatorSIZING!$G$44,SchmidtTheory!X179,"")</f>
        <v>#VALUE!</v>
      </c>
      <c r="Y81" s="85" t="e">
        <f>IF(SchmidtTheory!Y179&gt;ActuatorSIZING!$G$44,SchmidtTheory!Y179,"")</f>
        <v>#VALUE!</v>
      </c>
      <c r="Z81" s="85" t="e">
        <f>IF(SchmidtTheory!Z179&gt;ActuatorSIZING!$G$44,SchmidtTheory!Z179,"")</f>
        <v>#VALUE!</v>
      </c>
      <c r="AA81" s="85" t="e">
        <f>IF(SchmidtTheory!AA179&gt;ActuatorSIZING!$G$44,SchmidtTheory!AA179,"")</f>
        <v>#VALUE!</v>
      </c>
      <c r="AB81" s="85" t="e">
        <f>IF(SchmidtTheory!AB179&gt;ActuatorSIZING!$G$44,SchmidtTheory!AB179,"")</f>
        <v>#VALUE!</v>
      </c>
      <c r="AC81" s="85" t="e">
        <f>IF(SchmidtTheory!AC179&gt;ActuatorSIZING!$G$44,SchmidtTheory!AC179,"")</f>
        <v>#VALUE!</v>
      </c>
      <c r="AD81" s="85" t="e">
        <f>IF(SchmidtTheory!AD179&gt;ActuatorSIZING!$G$44,SchmidtTheory!AD179,"")</f>
        <v>#VALUE!</v>
      </c>
      <c r="AE81" s="85" t="e">
        <f>IF(SchmidtTheory!AE179&gt;ActuatorSIZING!$G$44,SchmidtTheory!AE179,"")</f>
        <v>#VALUE!</v>
      </c>
      <c r="AF81" s="85" t="e">
        <f>IF(SchmidtTheory!AF179&gt;ActuatorSIZING!$G$44,SchmidtTheory!AF179,"")</f>
        <v>#VALUE!</v>
      </c>
      <c r="AG81" s="85" t="e">
        <f>IF(SchmidtTheory!AG179&gt;ActuatorSIZING!$G$44,SchmidtTheory!AG179,"")</f>
        <v>#VALUE!</v>
      </c>
      <c r="AH81" s="85" t="e">
        <f>IF(SchmidtTheory!AH179&gt;ActuatorSIZING!$G$44,SchmidtTheory!AH179,"")</f>
        <v>#VALUE!</v>
      </c>
      <c r="AI81" s="85" t="e">
        <f>IF(SchmidtTheory!AI179&gt;ActuatorSIZING!$G$44,SchmidtTheory!AI179,"")</f>
        <v>#VALUE!</v>
      </c>
      <c r="AJ81" s="85" t="e">
        <f>IF(SchmidtTheory!AJ179&gt;ActuatorSIZING!$G$44,SchmidtTheory!AJ179,"")</f>
        <v>#VALUE!</v>
      </c>
      <c r="AK81" s="85" t="e">
        <f>IF(SchmidtTheory!AK179&gt;ActuatorSIZING!$G$44,SchmidtTheory!AK179,"")</f>
        <v>#VALUE!</v>
      </c>
      <c r="AL81" s="85" t="e">
        <f>IF(SchmidtTheory!AL179&gt;ActuatorSIZING!$G$44,SchmidtTheory!AL179,"")</f>
        <v>#VALUE!</v>
      </c>
      <c r="AM81" s="85" t="e">
        <f>IF(SchmidtTheory!AM179&gt;ActuatorSIZING!$G$44,SchmidtTheory!AM179,"")</f>
        <v>#VALUE!</v>
      </c>
      <c r="AN81" s="85" t="e">
        <f>IF(SchmidtTheory!AN179&gt;ActuatorSIZING!$G$44,SchmidtTheory!AN179,"")</f>
        <v>#VALUE!</v>
      </c>
      <c r="AO81" s="85" t="e">
        <f>IF(SchmidtTheory!AO179&gt;ActuatorSIZING!$G$44,SchmidtTheory!AO179,"")</f>
        <v>#VALUE!</v>
      </c>
      <c r="AP81" s="85" t="e">
        <f>IF(SchmidtTheory!AP179&gt;ActuatorSIZING!$G$44,SchmidtTheory!AP179,"")</f>
        <v>#VALUE!</v>
      </c>
      <c r="AQ81" s="85" t="e">
        <f>IF(SchmidtTheory!AQ179&gt;ActuatorSIZING!$G$44,SchmidtTheory!AQ179,"")</f>
        <v>#VALUE!</v>
      </c>
      <c r="AR81" s="85" t="e">
        <f>IF(SchmidtTheory!AR179&gt;ActuatorSIZING!$G$44,SchmidtTheory!AR179,"")</f>
        <v>#VALUE!</v>
      </c>
      <c r="AS81" s="85" t="e">
        <f>IF(SchmidtTheory!AS179&gt;ActuatorSIZING!$G$44,SchmidtTheory!AS179,"")</f>
        <v>#VALUE!</v>
      </c>
      <c r="AT81" s="85" t="e">
        <f>IF(SchmidtTheory!AT179&gt;ActuatorSIZING!$G$44,SchmidtTheory!AT179,"")</f>
        <v>#VALUE!</v>
      </c>
      <c r="AU81" s="85" t="e">
        <f>IF(SchmidtTheory!AU179&gt;ActuatorSIZING!$G$44,SchmidtTheory!AU179,"")</f>
        <v>#VALUE!</v>
      </c>
      <c r="AV81" s="85" t="e">
        <f>IF(SchmidtTheory!AV179&gt;ActuatorSIZING!$G$44,SchmidtTheory!AV179,"")</f>
        <v>#VALUE!</v>
      </c>
      <c r="AW81" s="96">
        <v>6000</v>
      </c>
      <c r="AX81" s="93" t="e">
        <f>IF(AW81&gt;ActuatorSIZING!$G$44,SchmidtTheory!AW81,"")</f>
        <v>#VALUE!</v>
      </c>
      <c r="AY81" s="95" t="str">
        <f>IF(SELECTION!$P$46=SchmidtTheory!G81,SchmidtTheory!AX81,"")</f>
        <v/>
      </c>
      <c r="AZ81" s="93" t="str">
        <f>IF(SELECTION!$AJ$24&gt;(I81+0.3),SchmidtTheory!AY81,"")</f>
        <v/>
      </c>
      <c r="BA81" s="103" t="s">
        <v>111</v>
      </c>
      <c r="BB81" s="93" t="e">
        <f t="shared" si="5"/>
        <v>#VALUE!</v>
      </c>
      <c r="BC81" s="93" t="str">
        <f>IF(SELECTION!$P$46=SchmidtTheory!G81,SchmidtTheory!BB81,"")</f>
        <v/>
      </c>
      <c r="BD81" s="93" t="str">
        <f>IF(SELECTION!$AJ$24&gt;(I81+0.3),SchmidtTheory!BC81,"")</f>
        <v/>
      </c>
      <c r="BE81" s="93" t="b">
        <f t="shared" si="4"/>
        <v>0</v>
      </c>
      <c r="BF81" s="103" t="s">
        <v>111</v>
      </c>
    </row>
    <row r="82" spans="2:58" x14ac:dyDescent="0.2">
      <c r="F82" s="589"/>
      <c r="G82" s="598"/>
      <c r="H82" s="102">
        <v>0.4</v>
      </c>
      <c r="I82" s="101">
        <v>2</v>
      </c>
      <c r="J82" s="100">
        <v>2.2000000000000002</v>
      </c>
      <c r="K82" s="99">
        <v>22500</v>
      </c>
      <c r="L82" s="98">
        <v>4</v>
      </c>
      <c r="M82" s="97">
        <v>60000</v>
      </c>
      <c r="N82" s="85" t="e">
        <f>IF(SchmidtTheory!N180&gt;ActuatorSIZING!$G$44,SchmidtTheory!N180,"")</f>
        <v>#VALUE!</v>
      </c>
      <c r="O82" s="85" t="e">
        <f>IF(SchmidtTheory!O180&gt;ActuatorSIZING!$G$44,SchmidtTheory!O180,"")</f>
        <v>#VALUE!</v>
      </c>
      <c r="P82" s="85" t="e">
        <f>IF(SchmidtTheory!P180&gt;ActuatorSIZING!$G$44,SchmidtTheory!P180,"")</f>
        <v>#VALUE!</v>
      </c>
      <c r="Q82" s="85" t="e">
        <f>IF(SchmidtTheory!Q180&gt;ActuatorSIZING!$G$44,SchmidtTheory!Q180,"")</f>
        <v>#VALUE!</v>
      </c>
      <c r="R82" s="85" t="e">
        <f>IF(SchmidtTheory!R180&gt;ActuatorSIZING!$G$44,SchmidtTheory!R180,"")</f>
        <v>#VALUE!</v>
      </c>
      <c r="S82" s="85" t="e">
        <f>IF(SchmidtTheory!S180&gt;ActuatorSIZING!$G$44,SchmidtTheory!S180,"")</f>
        <v>#VALUE!</v>
      </c>
      <c r="T82" s="85" t="e">
        <f>IF(SchmidtTheory!T180&gt;ActuatorSIZING!$G$44,SchmidtTheory!T180,"")</f>
        <v>#VALUE!</v>
      </c>
      <c r="U82" s="85" t="e">
        <f>IF(SchmidtTheory!U180&gt;ActuatorSIZING!$G$44,SchmidtTheory!U180,"")</f>
        <v>#VALUE!</v>
      </c>
      <c r="V82" s="85" t="e">
        <f>IF(SchmidtTheory!V180&gt;ActuatorSIZING!$G$44,SchmidtTheory!V180,"")</f>
        <v>#VALUE!</v>
      </c>
      <c r="W82" s="85" t="e">
        <f>IF(SchmidtTheory!W180&gt;ActuatorSIZING!$G$44,SchmidtTheory!W180,"")</f>
        <v>#VALUE!</v>
      </c>
      <c r="X82" s="85" t="e">
        <f>IF(SchmidtTheory!X180&gt;ActuatorSIZING!$G$44,SchmidtTheory!X180,"")</f>
        <v>#VALUE!</v>
      </c>
      <c r="Y82" s="85" t="e">
        <f>IF(SchmidtTheory!Y180&gt;ActuatorSIZING!$G$44,SchmidtTheory!Y180,"")</f>
        <v>#VALUE!</v>
      </c>
      <c r="Z82" s="85" t="e">
        <f>IF(SchmidtTheory!Z180&gt;ActuatorSIZING!$G$44,SchmidtTheory!Z180,"")</f>
        <v>#VALUE!</v>
      </c>
      <c r="AA82" s="85" t="e">
        <f>IF(SchmidtTheory!AA180&gt;ActuatorSIZING!$G$44,SchmidtTheory!AA180,"")</f>
        <v>#VALUE!</v>
      </c>
      <c r="AB82" s="85" t="e">
        <f>IF(SchmidtTheory!AB180&gt;ActuatorSIZING!$G$44,SchmidtTheory!AB180,"")</f>
        <v>#VALUE!</v>
      </c>
      <c r="AC82" s="85" t="e">
        <f>IF(SchmidtTheory!AC180&gt;ActuatorSIZING!$G$44,SchmidtTheory!AC180,"")</f>
        <v>#VALUE!</v>
      </c>
      <c r="AD82" s="85" t="e">
        <f>IF(SchmidtTheory!AD180&gt;ActuatorSIZING!$G$44,SchmidtTheory!AD180,"")</f>
        <v>#VALUE!</v>
      </c>
      <c r="AE82" s="85" t="e">
        <f>IF(SchmidtTheory!AE180&gt;ActuatorSIZING!$G$44,SchmidtTheory!AE180,"")</f>
        <v>#VALUE!</v>
      </c>
      <c r="AF82" s="85" t="e">
        <f>IF(SchmidtTheory!AF180&gt;ActuatorSIZING!$G$44,SchmidtTheory!AF180,"")</f>
        <v>#VALUE!</v>
      </c>
      <c r="AG82" s="85" t="e">
        <f>IF(SchmidtTheory!AG180&gt;ActuatorSIZING!$G$44,SchmidtTheory!AG180,"")</f>
        <v>#VALUE!</v>
      </c>
      <c r="AH82" s="85" t="e">
        <f>IF(SchmidtTheory!AH180&gt;ActuatorSIZING!$G$44,SchmidtTheory!AH180,"")</f>
        <v>#VALUE!</v>
      </c>
      <c r="AI82" s="85" t="e">
        <f>IF(SchmidtTheory!AI180&gt;ActuatorSIZING!$G$44,SchmidtTheory!AI180,"")</f>
        <v>#VALUE!</v>
      </c>
      <c r="AJ82" s="85" t="e">
        <f>IF(SchmidtTheory!AJ180&gt;ActuatorSIZING!$G$44,SchmidtTheory!AJ180,"")</f>
        <v>#VALUE!</v>
      </c>
      <c r="AK82" s="85" t="e">
        <f>IF(SchmidtTheory!AK180&gt;ActuatorSIZING!$G$44,SchmidtTheory!AK180,"")</f>
        <v>#VALUE!</v>
      </c>
      <c r="AL82" s="85" t="e">
        <f>IF(SchmidtTheory!AL180&gt;ActuatorSIZING!$G$44,SchmidtTheory!AL180,"")</f>
        <v>#VALUE!</v>
      </c>
      <c r="AM82" s="85" t="e">
        <f>IF(SchmidtTheory!AM180&gt;ActuatorSIZING!$G$44,SchmidtTheory!AM180,"")</f>
        <v>#VALUE!</v>
      </c>
      <c r="AN82" s="85" t="e">
        <f>IF(SchmidtTheory!AN180&gt;ActuatorSIZING!$G$44,SchmidtTheory!AN180,"")</f>
        <v>#VALUE!</v>
      </c>
      <c r="AO82" s="85" t="e">
        <f>IF(SchmidtTheory!AO180&gt;ActuatorSIZING!$G$44,SchmidtTheory!AO180,"")</f>
        <v>#VALUE!</v>
      </c>
      <c r="AP82" s="85" t="e">
        <f>IF(SchmidtTheory!AP180&gt;ActuatorSIZING!$G$44,SchmidtTheory!AP180,"")</f>
        <v>#VALUE!</v>
      </c>
      <c r="AQ82" s="85" t="e">
        <f>IF(SchmidtTheory!AQ180&gt;ActuatorSIZING!$G$44,SchmidtTheory!AQ180,"")</f>
        <v>#VALUE!</v>
      </c>
      <c r="AR82" s="85" t="e">
        <f>IF(SchmidtTheory!AR180&gt;ActuatorSIZING!$G$44,SchmidtTheory!AR180,"")</f>
        <v>#VALUE!</v>
      </c>
      <c r="AS82" s="85" t="e">
        <f>IF(SchmidtTheory!AS180&gt;ActuatorSIZING!$G$44,SchmidtTheory!AS180,"")</f>
        <v>#VALUE!</v>
      </c>
      <c r="AT82" s="85" t="e">
        <f>IF(SchmidtTheory!AT180&gt;ActuatorSIZING!$G$44,SchmidtTheory!AT180,"")</f>
        <v>#VALUE!</v>
      </c>
      <c r="AU82" s="85" t="e">
        <f>IF(SchmidtTheory!AU180&gt;ActuatorSIZING!$G$44,SchmidtTheory!AU180,"")</f>
        <v>#VALUE!</v>
      </c>
      <c r="AV82" s="85" t="e">
        <f>IF(SchmidtTheory!AV180&gt;ActuatorSIZING!$G$44,SchmidtTheory!AV180,"")</f>
        <v>#VALUE!</v>
      </c>
      <c r="AW82" s="96">
        <v>12000</v>
      </c>
      <c r="AX82" s="93" t="e">
        <f>IF(AW82&gt;ActuatorSIZING!$G$44,SchmidtTheory!AW82,"")</f>
        <v>#VALUE!</v>
      </c>
      <c r="AY82" s="95" t="str">
        <f>IF(SELECTION!$P$46=SchmidtTheory!G81,SchmidtTheory!AX82,"")</f>
        <v/>
      </c>
      <c r="AZ82" s="93" t="str">
        <f>IF(SELECTION!$AJ$24&gt;(I82+0.3),SchmidtTheory!AY82,"")</f>
        <v/>
      </c>
      <c r="BA82" s="103" t="s">
        <v>110</v>
      </c>
      <c r="BB82" s="93" t="e">
        <f t="shared" si="5"/>
        <v>#VALUE!</v>
      </c>
      <c r="BC82" s="93" t="str">
        <f>IF(SELECTION!$P$46=SchmidtTheory!G81,SchmidtTheory!BB82,"")</f>
        <v/>
      </c>
      <c r="BD82" s="93" t="str">
        <f>IF(SELECTION!$AJ$24&gt;(I82+0.3),SchmidtTheory!BC82,"")</f>
        <v/>
      </c>
      <c r="BE82" s="93" t="b">
        <f t="shared" si="4"/>
        <v>0</v>
      </c>
      <c r="BF82" s="103" t="s">
        <v>110</v>
      </c>
    </row>
    <row r="83" spans="2:58" x14ac:dyDescent="0.2">
      <c r="B83" s="46" t="s">
        <v>112</v>
      </c>
      <c r="F83" s="589"/>
      <c r="G83" s="598"/>
      <c r="H83" s="102">
        <v>0.75</v>
      </c>
      <c r="I83" s="101">
        <v>1.4</v>
      </c>
      <c r="J83" s="100">
        <v>3.4</v>
      </c>
      <c r="K83" s="99">
        <v>30000</v>
      </c>
      <c r="L83" s="98">
        <v>3.4</v>
      </c>
      <c r="M83" s="97">
        <v>60000</v>
      </c>
      <c r="N83" s="85" t="e">
        <f>IF(SchmidtTheory!N181&gt;ActuatorSIZING!$G$44,SchmidtTheory!N181,"")</f>
        <v>#VALUE!</v>
      </c>
      <c r="O83" s="85" t="e">
        <f>IF(SchmidtTheory!O181&gt;ActuatorSIZING!$G$44,SchmidtTheory!O181,"")</f>
        <v>#VALUE!</v>
      </c>
      <c r="P83" s="85" t="e">
        <f>IF(SchmidtTheory!P181&gt;ActuatorSIZING!$G$44,SchmidtTheory!P181,"")</f>
        <v>#VALUE!</v>
      </c>
      <c r="Q83" s="85" t="e">
        <f>IF(SchmidtTheory!Q181&gt;ActuatorSIZING!$G$44,SchmidtTheory!Q181,"")</f>
        <v>#VALUE!</v>
      </c>
      <c r="R83" s="85" t="e">
        <f>IF(SchmidtTheory!R181&gt;ActuatorSIZING!$G$44,SchmidtTheory!R181,"")</f>
        <v>#VALUE!</v>
      </c>
      <c r="S83" s="85" t="e">
        <f>IF(SchmidtTheory!S181&gt;ActuatorSIZING!$G$44,SchmidtTheory!S181,"")</f>
        <v>#VALUE!</v>
      </c>
      <c r="T83" s="85" t="e">
        <f>IF(SchmidtTheory!T181&gt;ActuatorSIZING!$G$44,SchmidtTheory!T181,"")</f>
        <v>#VALUE!</v>
      </c>
      <c r="U83" s="85" t="e">
        <f>IF(SchmidtTheory!U181&gt;ActuatorSIZING!$G$44,SchmidtTheory!U181,"")</f>
        <v>#VALUE!</v>
      </c>
      <c r="V83" s="85" t="e">
        <f>IF(SchmidtTheory!V181&gt;ActuatorSIZING!$G$44,SchmidtTheory!V181,"")</f>
        <v>#VALUE!</v>
      </c>
      <c r="W83" s="85" t="e">
        <f>IF(SchmidtTheory!W181&gt;ActuatorSIZING!$G$44,SchmidtTheory!W181,"")</f>
        <v>#VALUE!</v>
      </c>
      <c r="X83" s="85" t="e">
        <f>IF(SchmidtTheory!X181&gt;ActuatorSIZING!$G$44,SchmidtTheory!X181,"")</f>
        <v>#VALUE!</v>
      </c>
      <c r="Y83" s="85" t="e">
        <f>IF(SchmidtTheory!Y181&gt;ActuatorSIZING!$G$44,SchmidtTheory!Y181,"")</f>
        <v>#VALUE!</v>
      </c>
      <c r="Z83" s="85" t="e">
        <f>IF(SchmidtTheory!Z181&gt;ActuatorSIZING!$G$44,SchmidtTheory!Z181,"")</f>
        <v>#VALUE!</v>
      </c>
      <c r="AA83" s="85" t="e">
        <f>IF(SchmidtTheory!AA181&gt;ActuatorSIZING!$G$44,SchmidtTheory!AA181,"")</f>
        <v>#VALUE!</v>
      </c>
      <c r="AB83" s="85" t="e">
        <f>IF(SchmidtTheory!AB181&gt;ActuatorSIZING!$G$44,SchmidtTheory!AB181,"")</f>
        <v>#VALUE!</v>
      </c>
      <c r="AC83" s="85" t="e">
        <f>IF(SchmidtTheory!AC181&gt;ActuatorSIZING!$G$44,SchmidtTheory!AC181,"")</f>
        <v>#VALUE!</v>
      </c>
      <c r="AD83" s="85" t="e">
        <f>IF(SchmidtTheory!AD181&gt;ActuatorSIZING!$G$44,SchmidtTheory!AD181,"")</f>
        <v>#VALUE!</v>
      </c>
      <c r="AE83" s="85" t="e">
        <f>IF(SchmidtTheory!AE181&gt;ActuatorSIZING!$G$44,SchmidtTheory!AE181,"")</f>
        <v>#VALUE!</v>
      </c>
      <c r="AF83" s="85" t="e">
        <f>IF(SchmidtTheory!AF181&gt;ActuatorSIZING!$G$44,SchmidtTheory!AF181,"")</f>
        <v>#VALUE!</v>
      </c>
      <c r="AG83" s="85" t="e">
        <f>IF(SchmidtTheory!AG181&gt;ActuatorSIZING!$G$44,SchmidtTheory!AG181,"")</f>
        <v>#VALUE!</v>
      </c>
      <c r="AH83" s="85" t="e">
        <f>IF(SchmidtTheory!AH181&gt;ActuatorSIZING!$G$44,SchmidtTheory!AH181,"")</f>
        <v>#VALUE!</v>
      </c>
      <c r="AI83" s="85" t="e">
        <f>IF(SchmidtTheory!AI181&gt;ActuatorSIZING!$G$44,SchmidtTheory!AI181,"")</f>
        <v>#VALUE!</v>
      </c>
      <c r="AJ83" s="85" t="e">
        <f>IF(SchmidtTheory!AJ181&gt;ActuatorSIZING!$G$44,SchmidtTheory!AJ181,"")</f>
        <v>#VALUE!</v>
      </c>
      <c r="AK83" s="85" t="e">
        <f>IF(SchmidtTheory!AK181&gt;ActuatorSIZING!$G$44,SchmidtTheory!AK181,"")</f>
        <v>#VALUE!</v>
      </c>
      <c r="AL83" s="85" t="e">
        <f>IF(SchmidtTheory!AL181&gt;ActuatorSIZING!$G$44,SchmidtTheory!AL181,"")</f>
        <v>#VALUE!</v>
      </c>
      <c r="AM83" s="85" t="e">
        <f>IF(SchmidtTheory!AM181&gt;ActuatorSIZING!$G$44,SchmidtTheory!AM181,"")</f>
        <v>#VALUE!</v>
      </c>
      <c r="AN83" s="85" t="e">
        <f>IF(SchmidtTheory!AN181&gt;ActuatorSIZING!$G$44,SchmidtTheory!AN181,"")</f>
        <v>#VALUE!</v>
      </c>
      <c r="AO83" s="85" t="e">
        <f>IF(SchmidtTheory!AO181&gt;ActuatorSIZING!$G$44,SchmidtTheory!AO181,"")</f>
        <v>#VALUE!</v>
      </c>
      <c r="AP83" s="85" t="e">
        <f>IF(SchmidtTheory!AP181&gt;ActuatorSIZING!$G$44,SchmidtTheory!AP181,"")</f>
        <v>#VALUE!</v>
      </c>
      <c r="AQ83" s="85" t="e">
        <f>IF(SchmidtTheory!AQ181&gt;ActuatorSIZING!$G$44,SchmidtTheory!AQ181,"")</f>
        <v>#VALUE!</v>
      </c>
      <c r="AR83" s="85" t="e">
        <f>IF(SchmidtTheory!AR181&gt;ActuatorSIZING!$G$44,SchmidtTheory!AR181,"")</f>
        <v>#VALUE!</v>
      </c>
      <c r="AS83" s="85" t="e">
        <f>IF(SchmidtTheory!AS181&gt;ActuatorSIZING!$G$44,SchmidtTheory!AS181,"")</f>
        <v>#VALUE!</v>
      </c>
      <c r="AT83" s="85" t="e">
        <f>IF(SchmidtTheory!AT181&gt;ActuatorSIZING!$G$44,SchmidtTheory!AT181,"")</f>
        <v>#VALUE!</v>
      </c>
      <c r="AU83" s="85" t="e">
        <f>IF(SchmidtTheory!AU181&gt;ActuatorSIZING!$G$44,SchmidtTheory!AU181,"")</f>
        <v>#VALUE!</v>
      </c>
      <c r="AV83" s="85" t="e">
        <f>IF(SchmidtTheory!AV181&gt;ActuatorSIZING!$G$44,SchmidtTheory!AV181,"")</f>
        <v>#VALUE!</v>
      </c>
      <c r="AW83" s="96">
        <v>22500</v>
      </c>
      <c r="AX83" s="93" t="e">
        <f>IF(AW83&gt;ActuatorSIZING!$G$44,SchmidtTheory!AW83,"")</f>
        <v>#VALUE!</v>
      </c>
      <c r="AY83" s="95" t="str">
        <f>IF(SELECTION!$P$46=SchmidtTheory!G81,SchmidtTheory!AX83,"")</f>
        <v/>
      </c>
      <c r="AZ83" s="93" t="str">
        <f>IF(SELECTION!$AJ$24&gt;(I83+0.3),SchmidtTheory!AY83,"")</f>
        <v/>
      </c>
      <c r="BA83" s="103" t="s">
        <v>109</v>
      </c>
      <c r="BB83" s="93" t="e">
        <f t="shared" si="5"/>
        <v>#VALUE!</v>
      </c>
      <c r="BC83" s="93" t="str">
        <f>IF(SELECTION!$P$46=SchmidtTheory!G81,SchmidtTheory!BB83,"")</f>
        <v/>
      </c>
      <c r="BD83" s="93" t="str">
        <f>IF(SELECTION!$AJ$24&gt;(I83+0.3),SchmidtTheory!BC83,"")</f>
        <v/>
      </c>
      <c r="BE83" s="93" t="b">
        <f t="shared" si="4"/>
        <v>0</v>
      </c>
      <c r="BF83" s="103" t="s">
        <v>109</v>
      </c>
    </row>
    <row r="84" spans="2:58" x14ac:dyDescent="0.2">
      <c r="B84" s="126" t="s">
        <v>817</v>
      </c>
      <c r="F84" s="589"/>
      <c r="G84" s="598"/>
      <c r="H84" s="102">
        <v>1</v>
      </c>
      <c r="I84" s="101">
        <v>2.4</v>
      </c>
      <c r="J84" s="100">
        <v>3.4</v>
      </c>
      <c r="K84" s="99">
        <v>39000</v>
      </c>
      <c r="L84" s="98">
        <v>4.4000000000000004</v>
      </c>
      <c r="M84" s="97">
        <v>60000</v>
      </c>
      <c r="N84" s="85" t="e">
        <f>IF(SchmidtTheory!N182&gt;ActuatorSIZING!$G$44,SchmidtTheory!N182,"")</f>
        <v>#VALUE!</v>
      </c>
      <c r="O84" s="85" t="e">
        <f>IF(SchmidtTheory!O182&gt;ActuatorSIZING!$G$44,SchmidtTheory!O182,"")</f>
        <v>#VALUE!</v>
      </c>
      <c r="P84" s="85" t="e">
        <f>IF(SchmidtTheory!P182&gt;ActuatorSIZING!$G$44,SchmidtTheory!P182,"")</f>
        <v>#VALUE!</v>
      </c>
      <c r="Q84" s="85" t="e">
        <f>IF(SchmidtTheory!Q182&gt;ActuatorSIZING!$G$44,SchmidtTheory!Q182,"")</f>
        <v>#VALUE!</v>
      </c>
      <c r="R84" s="85" t="e">
        <f>IF(SchmidtTheory!R182&gt;ActuatorSIZING!$G$44,SchmidtTheory!R182,"")</f>
        <v>#VALUE!</v>
      </c>
      <c r="S84" s="85" t="e">
        <f>IF(SchmidtTheory!S182&gt;ActuatorSIZING!$G$44,SchmidtTheory!S182,"")</f>
        <v>#VALUE!</v>
      </c>
      <c r="T84" s="85" t="e">
        <f>IF(SchmidtTheory!T182&gt;ActuatorSIZING!$G$44,SchmidtTheory!T182,"")</f>
        <v>#VALUE!</v>
      </c>
      <c r="U84" s="85" t="e">
        <f>IF(SchmidtTheory!U182&gt;ActuatorSIZING!$G$44,SchmidtTheory!U182,"")</f>
        <v>#VALUE!</v>
      </c>
      <c r="V84" s="85" t="e">
        <f>IF(SchmidtTheory!V182&gt;ActuatorSIZING!$G$44,SchmidtTheory!V182,"")</f>
        <v>#VALUE!</v>
      </c>
      <c r="W84" s="85" t="e">
        <f>IF(SchmidtTheory!W182&gt;ActuatorSIZING!$G$44,SchmidtTheory!W182,"")</f>
        <v>#VALUE!</v>
      </c>
      <c r="X84" s="85" t="e">
        <f>IF(SchmidtTheory!X182&gt;ActuatorSIZING!$G$44,SchmidtTheory!X182,"")</f>
        <v>#VALUE!</v>
      </c>
      <c r="Y84" s="85" t="e">
        <f>IF(SchmidtTheory!Y182&gt;ActuatorSIZING!$G$44,SchmidtTheory!Y182,"")</f>
        <v>#VALUE!</v>
      </c>
      <c r="Z84" s="85" t="e">
        <f>IF(SchmidtTheory!Z182&gt;ActuatorSIZING!$G$44,SchmidtTheory!Z182,"")</f>
        <v>#VALUE!</v>
      </c>
      <c r="AA84" s="85" t="e">
        <f>IF(SchmidtTheory!AA182&gt;ActuatorSIZING!$G$44,SchmidtTheory!AA182,"")</f>
        <v>#VALUE!</v>
      </c>
      <c r="AB84" s="85" t="e">
        <f>IF(SchmidtTheory!AB182&gt;ActuatorSIZING!$G$44,SchmidtTheory!AB182,"")</f>
        <v>#VALUE!</v>
      </c>
      <c r="AC84" s="85" t="e">
        <f>IF(SchmidtTheory!AC182&gt;ActuatorSIZING!$G$44,SchmidtTheory!AC182,"")</f>
        <v>#VALUE!</v>
      </c>
      <c r="AD84" s="85" t="e">
        <f>IF(SchmidtTheory!AD182&gt;ActuatorSIZING!$G$44,SchmidtTheory!AD182,"")</f>
        <v>#VALUE!</v>
      </c>
      <c r="AE84" s="85" t="e">
        <f>IF(SchmidtTheory!AE182&gt;ActuatorSIZING!$G$44,SchmidtTheory!AE182,"")</f>
        <v>#VALUE!</v>
      </c>
      <c r="AF84" s="85" t="e">
        <f>IF(SchmidtTheory!AF182&gt;ActuatorSIZING!$G$44,SchmidtTheory!AF182,"")</f>
        <v>#VALUE!</v>
      </c>
      <c r="AG84" s="85" t="e">
        <f>IF(SchmidtTheory!AG182&gt;ActuatorSIZING!$G$44,SchmidtTheory!AG182,"")</f>
        <v>#VALUE!</v>
      </c>
      <c r="AH84" s="85" t="e">
        <f>IF(SchmidtTheory!AH182&gt;ActuatorSIZING!$G$44,SchmidtTheory!AH182,"")</f>
        <v>#VALUE!</v>
      </c>
      <c r="AI84" s="85" t="e">
        <f>IF(SchmidtTheory!AI182&gt;ActuatorSIZING!$G$44,SchmidtTheory!AI182,"")</f>
        <v>#VALUE!</v>
      </c>
      <c r="AJ84" s="85" t="e">
        <f>IF(SchmidtTheory!AJ182&gt;ActuatorSIZING!$G$44,SchmidtTheory!AJ182,"")</f>
        <v>#VALUE!</v>
      </c>
      <c r="AK84" s="85" t="e">
        <f>IF(SchmidtTheory!AK182&gt;ActuatorSIZING!$G$44,SchmidtTheory!AK182,"")</f>
        <v>#VALUE!</v>
      </c>
      <c r="AL84" s="85" t="e">
        <f>IF(SchmidtTheory!AL182&gt;ActuatorSIZING!$G$44,SchmidtTheory!AL182,"")</f>
        <v>#VALUE!</v>
      </c>
      <c r="AM84" s="85" t="e">
        <f>IF(SchmidtTheory!AM182&gt;ActuatorSIZING!$G$44,SchmidtTheory!AM182,"")</f>
        <v>#VALUE!</v>
      </c>
      <c r="AN84" s="85" t="e">
        <f>IF(SchmidtTheory!AN182&gt;ActuatorSIZING!$G$44,SchmidtTheory!AN182,"")</f>
        <v>#VALUE!</v>
      </c>
      <c r="AO84" s="85" t="e">
        <f>IF(SchmidtTheory!AO182&gt;ActuatorSIZING!$G$44,SchmidtTheory!AO182,"")</f>
        <v>#VALUE!</v>
      </c>
      <c r="AP84" s="85" t="e">
        <f>IF(SchmidtTheory!AP182&gt;ActuatorSIZING!$G$44,SchmidtTheory!AP182,"")</f>
        <v>#VALUE!</v>
      </c>
      <c r="AQ84" s="85" t="e">
        <f>IF(SchmidtTheory!AQ182&gt;ActuatorSIZING!$G$44,SchmidtTheory!AQ182,"")</f>
        <v>#VALUE!</v>
      </c>
      <c r="AR84" s="85" t="e">
        <f>IF(SchmidtTheory!AR182&gt;ActuatorSIZING!$G$44,SchmidtTheory!AR182,"")</f>
        <v>#VALUE!</v>
      </c>
      <c r="AS84" s="85" t="e">
        <f>IF(SchmidtTheory!AS182&gt;ActuatorSIZING!$G$44,SchmidtTheory!AS182,"")</f>
        <v>#VALUE!</v>
      </c>
      <c r="AT84" s="85" t="e">
        <f>IF(SchmidtTheory!AT182&gt;ActuatorSIZING!$G$44,SchmidtTheory!AT182,"")</f>
        <v>#VALUE!</v>
      </c>
      <c r="AU84" s="85" t="e">
        <f>IF(SchmidtTheory!AU182&gt;ActuatorSIZING!$G$44,SchmidtTheory!AU182,"")</f>
        <v>#VALUE!</v>
      </c>
      <c r="AV84" s="85" t="e">
        <f>IF(SchmidtTheory!AV182&gt;ActuatorSIZING!$G$44,SchmidtTheory!AV182,"")</f>
        <v>#VALUE!</v>
      </c>
      <c r="AW84" s="96">
        <v>30000</v>
      </c>
      <c r="AX84" s="93" t="e">
        <f>IF(AW84&gt;ActuatorSIZING!$G$44,SchmidtTheory!AW84,"")</f>
        <v>#VALUE!</v>
      </c>
      <c r="AY84" s="95" t="str">
        <f>IF(SELECTION!$P$46=SchmidtTheory!G81,SchmidtTheory!AX84,"")</f>
        <v/>
      </c>
      <c r="AZ84" s="93" t="str">
        <f>IF(SELECTION!$AJ$24&gt;(I84+0.3),SchmidtTheory!AY84,"")</f>
        <v/>
      </c>
      <c r="BA84" s="103" t="s">
        <v>107</v>
      </c>
      <c r="BB84" s="93" t="e">
        <f t="shared" si="5"/>
        <v>#VALUE!</v>
      </c>
      <c r="BC84" s="93" t="str">
        <f>IF(SELECTION!$P$46=SchmidtTheory!G81,SchmidtTheory!BB84,"")</f>
        <v/>
      </c>
      <c r="BD84" s="93" t="str">
        <f>IF(SELECTION!$AJ$24&gt;(I84+0.3),SchmidtTheory!BC84,"")</f>
        <v/>
      </c>
      <c r="BE84" s="93" t="b">
        <f t="shared" si="4"/>
        <v>0</v>
      </c>
      <c r="BF84" s="103" t="s">
        <v>107</v>
      </c>
    </row>
    <row r="85" spans="2:58" x14ac:dyDescent="0.2">
      <c r="F85" s="589"/>
      <c r="G85" s="598"/>
      <c r="H85" s="102">
        <v>1.3</v>
      </c>
      <c r="I85" s="101">
        <v>2.1</v>
      </c>
      <c r="J85" s="100">
        <v>5.5</v>
      </c>
      <c r="K85" s="99">
        <v>60000</v>
      </c>
      <c r="L85" s="98">
        <v>4.0999999999999996</v>
      </c>
      <c r="M85" s="97">
        <v>60000</v>
      </c>
      <c r="N85" s="85" t="e">
        <f>IF(SchmidtTheory!N183&gt;ActuatorSIZING!$G$44,SchmidtTheory!N183,"")</f>
        <v>#VALUE!</v>
      </c>
      <c r="O85" s="85" t="e">
        <f>IF(SchmidtTheory!O183&gt;ActuatorSIZING!$G$44,SchmidtTheory!O183,"")</f>
        <v>#VALUE!</v>
      </c>
      <c r="P85" s="85" t="e">
        <f>IF(SchmidtTheory!P183&gt;ActuatorSIZING!$G$44,SchmidtTheory!P183,"")</f>
        <v>#VALUE!</v>
      </c>
      <c r="Q85" s="85" t="e">
        <f>IF(SchmidtTheory!Q183&gt;ActuatorSIZING!$G$44,SchmidtTheory!Q183,"")</f>
        <v>#VALUE!</v>
      </c>
      <c r="R85" s="85" t="e">
        <f>IF(SchmidtTheory!R183&gt;ActuatorSIZING!$G$44,SchmidtTheory!R183,"")</f>
        <v>#VALUE!</v>
      </c>
      <c r="S85" s="85" t="e">
        <f>IF(SchmidtTheory!S183&gt;ActuatorSIZING!$G$44,SchmidtTheory!S183,"")</f>
        <v>#VALUE!</v>
      </c>
      <c r="T85" s="85" t="e">
        <f>IF(SchmidtTheory!T183&gt;ActuatorSIZING!$G$44,SchmidtTheory!T183,"")</f>
        <v>#VALUE!</v>
      </c>
      <c r="U85" s="85" t="e">
        <f>IF(SchmidtTheory!U183&gt;ActuatorSIZING!$G$44,SchmidtTheory!U183,"")</f>
        <v>#VALUE!</v>
      </c>
      <c r="V85" s="85" t="e">
        <f>IF(SchmidtTheory!V183&gt;ActuatorSIZING!$G$44,SchmidtTheory!V183,"")</f>
        <v>#VALUE!</v>
      </c>
      <c r="W85" s="85" t="e">
        <f>IF(SchmidtTheory!W183&gt;ActuatorSIZING!$G$44,SchmidtTheory!W183,"")</f>
        <v>#VALUE!</v>
      </c>
      <c r="X85" s="85" t="e">
        <f>IF(SchmidtTheory!X183&gt;ActuatorSIZING!$G$44,SchmidtTheory!X183,"")</f>
        <v>#VALUE!</v>
      </c>
      <c r="Y85" s="85" t="e">
        <f>IF(SchmidtTheory!Y183&gt;ActuatorSIZING!$G$44,SchmidtTheory!Y183,"")</f>
        <v>#VALUE!</v>
      </c>
      <c r="Z85" s="85" t="e">
        <f>IF(SchmidtTheory!Z183&gt;ActuatorSIZING!$G$44,SchmidtTheory!Z183,"")</f>
        <v>#VALUE!</v>
      </c>
      <c r="AA85" s="85" t="e">
        <f>IF(SchmidtTheory!AA183&gt;ActuatorSIZING!$G$44,SchmidtTheory!AA183,"")</f>
        <v>#VALUE!</v>
      </c>
      <c r="AB85" s="85" t="e">
        <f>IF(SchmidtTheory!AB183&gt;ActuatorSIZING!$G$44,SchmidtTheory!AB183,"")</f>
        <v>#VALUE!</v>
      </c>
      <c r="AC85" s="85" t="e">
        <f>IF(SchmidtTheory!AC183&gt;ActuatorSIZING!$G$44,SchmidtTheory!AC183,"")</f>
        <v>#VALUE!</v>
      </c>
      <c r="AD85" s="85" t="e">
        <f>IF(SchmidtTheory!AD183&gt;ActuatorSIZING!$G$44,SchmidtTheory!AD183,"")</f>
        <v>#VALUE!</v>
      </c>
      <c r="AE85" s="85" t="e">
        <f>IF(SchmidtTheory!AE183&gt;ActuatorSIZING!$G$44,SchmidtTheory!AE183,"")</f>
        <v>#VALUE!</v>
      </c>
      <c r="AF85" s="85" t="e">
        <f>IF(SchmidtTheory!AF183&gt;ActuatorSIZING!$G$44,SchmidtTheory!AF183,"")</f>
        <v>#VALUE!</v>
      </c>
      <c r="AG85" s="85" t="e">
        <f>IF(SchmidtTheory!AG183&gt;ActuatorSIZING!$G$44,SchmidtTheory!AG183,"")</f>
        <v>#VALUE!</v>
      </c>
      <c r="AH85" s="85" t="e">
        <f>IF(SchmidtTheory!AH183&gt;ActuatorSIZING!$G$44,SchmidtTheory!AH183,"")</f>
        <v>#VALUE!</v>
      </c>
      <c r="AI85" s="85" t="e">
        <f>IF(SchmidtTheory!AI183&gt;ActuatorSIZING!$G$44,SchmidtTheory!AI183,"")</f>
        <v>#VALUE!</v>
      </c>
      <c r="AJ85" s="85" t="e">
        <f>IF(SchmidtTheory!AJ183&gt;ActuatorSIZING!$G$44,SchmidtTheory!AJ183,"")</f>
        <v>#VALUE!</v>
      </c>
      <c r="AK85" s="85" t="e">
        <f>IF(SchmidtTheory!AK183&gt;ActuatorSIZING!$G$44,SchmidtTheory!AK183,"")</f>
        <v>#VALUE!</v>
      </c>
      <c r="AL85" s="85" t="e">
        <f>IF(SchmidtTheory!AL183&gt;ActuatorSIZING!$G$44,SchmidtTheory!AL183,"")</f>
        <v>#VALUE!</v>
      </c>
      <c r="AM85" s="85" t="e">
        <f>IF(SchmidtTheory!AM183&gt;ActuatorSIZING!$G$44,SchmidtTheory!AM183,"")</f>
        <v>#VALUE!</v>
      </c>
      <c r="AN85" s="85" t="e">
        <f>IF(SchmidtTheory!AN183&gt;ActuatorSIZING!$G$44,SchmidtTheory!AN183,"")</f>
        <v>#VALUE!</v>
      </c>
      <c r="AO85" s="85" t="e">
        <f>IF(SchmidtTheory!AO183&gt;ActuatorSIZING!$G$44,SchmidtTheory!AO183,"")</f>
        <v>#VALUE!</v>
      </c>
      <c r="AP85" s="85" t="e">
        <f>IF(SchmidtTheory!AP183&gt;ActuatorSIZING!$G$44,SchmidtTheory!AP183,"")</f>
        <v>#VALUE!</v>
      </c>
      <c r="AQ85" s="85" t="e">
        <f>IF(SchmidtTheory!AQ183&gt;ActuatorSIZING!$G$44,SchmidtTheory!AQ183,"")</f>
        <v>#VALUE!</v>
      </c>
      <c r="AR85" s="85" t="e">
        <f>IF(SchmidtTheory!AR183&gt;ActuatorSIZING!$G$44,SchmidtTheory!AR183,"")</f>
        <v>#VALUE!</v>
      </c>
      <c r="AS85" s="85" t="e">
        <f>IF(SchmidtTheory!AS183&gt;ActuatorSIZING!$G$44,SchmidtTheory!AS183,"")</f>
        <v>#VALUE!</v>
      </c>
      <c r="AT85" s="85" t="e">
        <f>IF(SchmidtTheory!AT183&gt;ActuatorSIZING!$G$44,SchmidtTheory!AT183,"")</f>
        <v>#VALUE!</v>
      </c>
      <c r="AU85" s="85" t="e">
        <f>IF(SchmidtTheory!AU183&gt;ActuatorSIZING!$G$44,SchmidtTheory!AU183,"")</f>
        <v>#VALUE!</v>
      </c>
      <c r="AV85" s="85" t="e">
        <f>IF(SchmidtTheory!AV183&gt;ActuatorSIZING!$G$44,SchmidtTheory!AV183,"")</f>
        <v>#VALUE!</v>
      </c>
      <c r="AW85" s="96">
        <v>39000</v>
      </c>
      <c r="AX85" s="93" t="e">
        <f>IF(AW85&gt;ActuatorSIZING!$G$44,SchmidtTheory!AW85,"")</f>
        <v>#VALUE!</v>
      </c>
      <c r="AY85" s="95" t="str">
        <f>IF(SELECTION!$P$46=SchmidtTheory!G81,SchmidtTheory!AX85,"")</f>
        <v/>
      </c>
      <c r="AZ85" s="93" t="str">
        <f>IF(SELECTION!$AJ$24&gt;(I85+0.3),SchmidtTheory!AY85,"")</f>
        <v/>
      </c>
      <c r="BA85" s="103" t="s">
        <v>106</v>
      </c>
      <c r="BB85" s="93" t="e">
        <f t="shared" si="5"/>
        <v>#VALUE!</v>
      </c>
      <c r="BC85" s="93" t="str">
        <f>IF(SELECTION!$P$46=SchmidtTheory!G81,SchmidtTheory!BB85,"")</f>
        <v/>
      </c>
      <c r="BD85" s="93" t="str">
        <f>IF(SELECTION!$AJ$24&gt;(I85+0.3),SchmidtTheory!BC85,"")</f>
        <v/>
      </c>
      <c r="BE85" s="93" t="b">
        <f t="shared" si="4"/>
        <v>0</v>
      </c>
      <c r="BF85" s="103" t="s">
        <v>106</v>
      </c>
    </row>
    <row r="86" spans="2:58" x14ac:dyDescent="0.2">
      <c r="B86" s="46" t="s">
        <v>108</v>
      </c>
      <c r="F86" s="589"/>
      <c r="G86" s="598"/>
      <c r="H86" s="102">
        <v>2</v>
      </c>
      <c r="I86" s="101">
        <v>3.5</v>
      </c>
      <c r="J86" s="100"/>
      <c r="K86" s="99"/>
      <c r="L86" s="98">
        <v>5.5</v>
      </c>
      <c r="M86" s="97">
        <v>60000</v>
      </c>
      <c r="N86" s="85" t="e">
        <f>IF(SchmidtTheory!N184&gt;ActuatorSIZING!$G$44,SchmidtTheory!N184,"")</f>
        <v>#VALUE!</v>
      </c>
      <c r="O86" s="85" t="e">
        <f>IF(SchmidtTheory!O184&gt;ActuatorSIZING!$G$44,SchmidtTheory!O184,"")</f>
        <v>#VALUE!</v>
      </c>
      <c r="P86" s="85" t="e">
        <f>IF(SchmidtTheory!P184&gt;ActuatorSIZING!$G$44,SchmidtTheory!P184,"")</f>
        <v>#VALUE!</v>
      </c>
      <c r="Q86" s="85" t="e">
        <f>IF(SchmidtTheory!Q184&gt;ActuatorSIZING!$G$44,SchmidtTheory!Q184,"")</f>
        <v>#VALUE!</v>
      </c>
      <c r="R86" s="85" t="e">
        <f>IF(SchmidtTheory!R184&gt;ActuatorSIZING!$G$44,SchmidtTheory!R184,"")</f>
        <v>#VALUE!</v>
      </c>
      <c r="S86" s="85" t="e">
        <f>IF(SchmidtTheory!S184&gt;ActuatorSIZING!$G$44,SchmidtTheory!S184,"")</f>
        <v>#VALUE!</v>
      </c>
      <c r="T86" s="85" t="e">
        <f>IF(SchmidtTheory!T184&gt;ActuatorSIZING!$G$44,SchmidtTheory!T184,"")</f>
        <v>#VALUE!</v>
      </c>
      <c r="U86" s="85" t="e">
        <f>IF(SchmidtTheory!U184&gt;ActuatorSIZING!$G$44,SchmidtTheory!U184,"")</f>
        <v>#VALUE!</v>
      </c>
      <c r="V86" s="85" t="e">
        <f>IF(SchmidtTheory!V184&gt;ActuatorSIZING!$G$44,SchmidtTheory!V184,"")</f>
        <v>#VALUE!</v>
      </c>
      <c r="W86" s="85" t="e">
        <f>IF(SchmidtTheory!W184&gt;ActuatorSIZING!$G$44,SchmidtTheory!W184,"")</f>
        <v>#VALUE!</v>
      </c>
      <c r="X86" s="85" t="e">
        <f>IF(SchmidtTheory!X184&gt;ActuatorSIZING!$G$44,SchmidtTheory!X184,"")</f>
        <v>#VALUE!</v>
      </c>
      <c r="Y86" s="85" t="e">
        <f>IF(SchmidtTheory!Y184&gt;ActuatorSIZING!$G$44,SchmidtTheory!Y184,"")</f>
        <v>#VALUE!</v>
      </c>
      <c r="Z86" s="85" t="e">
        <f>IF(SchmidtTheory!Z184&gt;ActuatorSIZING!$G$44,SchmidtTheory!Z184,"")</f>
        <v>#VALUE!</v>
      </c>
      <c r="AA86" s="85" t="e">
        <f>IF(SchmidtTheory!AA184&gt;ActuatorSIZING!$G$44,SchmidtTheory!AA184,"")</f>
        <v>#VALUE!</v>
      </c>
      <c r="AB86" s="85" t="e">
        <f>IF(SchmidtTheory!AB184&gt;ActuatorSIZING!$G$44,SchmidtTheory!AB184,"")</f>
        <v>#VALUE!</v>
      </c>
      <c r="AC86" s="85" t="e">
        <f>IF(SchmidtTheory!AC184&gt;ActuatorSIZING!$G$44,SchmidtTheory!AC184,"")</f>
        <v>#VALUE!</v>
      </c>
      <c r="AD86" s="85" t="e">
        <f>IF(SchmidtTheory!AD184&gt;ActuatorSIZING!$G$44,SchmidtTheory!AD184,"")</f>
        <v>#VALUE!</v>
      </c>
      <c r="AE86" s="85" t="e">
        <f>IF(SchmidtTheory!AE184&gt;ActuatorSIZING!$G$44,SchmidtTheory!AE184,"")</f>
        <v>#VALUE!</v>
      </c>
      <c r="AF86" s="85" t="e">
        <f>IF(SchmidtTheory!AF184&gt;ActuatorSIZING!$G$44,SchmidtTheory!AF184,"")</f>
        <v>#VALUE!</v>
      </c>
      <c r="AG86" s="85" t="e">
        <f>IF(SchmidtTheory!AG184&gt;ActuatorSIZING!$G$44,SchmidtTheory!AG184,"")</f>
        <v>#VALUE!</v>
      </c>
      <c r="AH86" s="85" t="e">
        <f>IF(SchmidtTheory!AH184&gt;ActuatorSIZING!$G$44,SchmidtTheory!AH184,"")</f>
        <v>#VALUE!</v>
      </c>
      <c r="AI86" s="85" t="e">
        <f>IF(SchmidtTheory!AI184&gt;ActuatorSIZING!$G$44,SchmidtTheory!AI184,"")</f>
        <v>#VALUE!</v>
      </c>
      <c r="AJ86" s="85" t="e">
        <f>IF(SchmidtTheory!AJ184&gt;ActuatorSIZING!$G$44,SchmidtTheory!AJ184,"")</f>
        <v>#VALUE!</v>
      </c>
      <c r="AK86" s="85" t="e">
        <f>IF(SchmidtTheory!AK184&gt;ActuatorSIZING!$G$44,SchmidtTheory!AK184,"")</f>
        <v>#VALUE!</v>
      </c>
      <c r="AL86" s="85" t="e">
        <f>IF(SchmidtTheory!AL184&gt;ActuatorSIZING!$G$44,SchmidtTheory!AL184,"")</f>
        <v>#VALUE!</v>
      </c>
      <c r="AM86" s="85" t="e">
        <f>IF(SchmidtTheory!AM184&gt;ActuatorSIZING!$G$44,SchmidtTheory!AM184,"")</f>
        <v>#VALUE!</v>
      </c>
      <c r="AN86" s="85" t="e">
        <f>IF(SchmidtTheory!AN184&gt;ActuatorSIZING!$G$44,SchmidtTheory!AN184,"")</f>
        <v>#VALUE!</v>
      </c>
      <c r="AO86" s="85" t="e">
        <f>IF(SchmidtTheory!AO184&gt;ActuatorSIZING!$G$44,SchmidtTheory!AO184,"")</f>
        <v>#VALUE!</v>
      </c>
      <c r="AP86" s="85" t="e">
        <f>IF(SchmidtTheory!AP184&gt;ActuatorSIZING!$G$44,SchmidtTheory!AP184,"")</f>
        <v>#VALUE!</v>
      </c>
      <c r="AQ86" s="85" t="e">
        <f>IF(SchmidtTheory!AQ184&gt;ActuatorSIZING!$G$44,SchmidtTheory!AQ184,"")</f>
        <v>#VALUE!</v>
      </c>
      <c r="AR86" s="85" t="e">
        <f>IF(SchmidtTheory!AR184&gt;ActuatorSIZING!$G$44,SchmidtTheory!AR184,"")</f>
        <v>#VALUE!</v>
      </c>
      <c r="AS86" s="85" t="e">
        <f>IF(SchmidtTheory!AS184&gt;ActuatorSIZING!$G$44,SchmidtTheory!AS184,"")</f>
        <v>#VALUE!</v>
      </c>
      <c r="AT86" s="85" t="e">
        <f>IF(SchmidtTheory!AT184&gt;ActuatorSIZING!$G$44,SchmidtTheory!AT184,"")</f>
        <v>#VALUE!</v>
      </c>
      <c r="AU86" s="85" t="e">
        <f>IF(SchmidtTheory!AU184&gt;ActuatorSIZING!$G$44,SchmidtTheory!AU184,"")</f>
        <v>#VALUE!</v>
      </c>
      <c r="AV86" s="85" t="e">
        <f>IF(SchmidtTheory!AV184&gt;ActuatorSIZING!$G$44,SchmidtTheory!AV184,"")</f>
        <v>#VALUE!</v>
      </c>
      <c r="AW86" s="96">
        <v>60000</v>
      </c>
      <c r="AX86" s="93" t="e">
        <f>IF(AW86&gt;ActuatorSIZING!$G$44,SchmidtTheory!AW86,"")</f>
        <v>#VALUE!</v>
      </c>
      <c r="AY86" s="95" t="str">
        <f>IF(SELECTION!$P$46=SchmidtTheory!G81,SchmidtTheory!AX86,"")</f>
        <v/>
      </c>
      <c r="AZ86" s="93" t="str">
        <f>IF(SELECTION!$AJ$24&gt;(I86+0.3),SchmidtTheory!AY86,"")</f>
        <v/>
      </c>
      <c r="BA86" s="103" t="s">
        <v>104</v>
      </c>
      <c r="BB86" s="93" t="e">
        <f t="shared" si="5"/>
        <v>#VALUE!</v>
      </c>
      <c r="BC86" s="93" t="str">
        <f>IF(SELECTION!$P$46=SchmidtTheory!G81,SchmidtTheory!BB86,"")</f>
        <v/>
      </c>
      <c r="BD86" s="93" t="str">
        <f>IF(SELECTION!$AJ$24&gt;(I86+0.3),SchmidtTheory!BC86,"")</f>
        <v/>
      </c>
      <c r="BE86" s="93" t="b">
        <f t="shared" si="4"/>
        <v>0</v>
      </c>
      <c r="BF86" s="103" t="s">
        <v>104</v>
      </c>
    </row>
    <row r="87" spans="2:58" x14ac:dyDescent="0.2">
      <c r="B87" s="126" t="s">
        <v>818</v>
      </c>
      <c r="F87" s="589"/>
      <c r="G87" s="598">
        <v>80</v>
      </c>
      <c r="H87" s="102">
        <v>0.2</v>
      </c>
      <c r="I87" s="101">
        <v>1</v>
      </c>
      <c r="J87" s="100">
        <v>2.4</v>
      </c>
      <c r="K87" s="99">
        <v>12000</v>
      </c>
      <c r="L87" s="98">
        <v>3</v>
      </c>
      <c r="M87" s="97">
        <v>60000</v>
      </c>
      <c r="N87" s="85" t="e">
        <f>IF(SchmidtTheory!N185&gt;ActuatorSIZING!$G$44,SchmidtTheory!N185,"")</f>
        <v>#VALUE!</v>
      </c>
      <c r="O87" s="85" t="e">
        <f>IF(SchmidtTheory!O185&gt;ActuatorSIZING!$G$44,SchmidtTheory!O185,"")</f>
        <v>#VALUE!</v>
      </c>
      <c r="P87" s="85" t="e">
        <f>IF(SchmidtTheory!P185&gt;ActuatorSIZING!$G$44,SchmidtTheory!P185,"")</f>
        <v>#VALUE!</v>
      </c>
      <c r="Q87" s="85" t="e">
        <f>IF(SchmidtTheory!Q185&gt;ActuatorSIZING!$G$44,SchmidtTheory!Q185,"")</f>
        <v>#VALUE!</v>
      </c>
      <c r="R87" s="85" t="e">
        <f>IF(SchmidtTheory!R185&gt;ActuatorSIZING!$G$44,SchmidtTheory!R185,"")</f>
        <v>#VALUE!</v>
      </c>
      <c r="S87" s="85" t="e">
        <f>IF(SchmidtTheory!S185&gt;ActuatorSIZING!$G$44,SchmidtTheory!S185,"")</f>
        <v>#VALUE!</v>
      </c>
      <c r="T87" s="85" t="e">
        <f>IF(SchmidtTheory!T185&gt;ActuatorSIZING!$G$44,SchmidtTheory!T185,"")</f>
        <v>#VALUE!</v>
      </c>
      <c r="U87" s="85" t="e">
        <f>IF(SchmidtTheory!U185&gt;ActuatorSIZING!$G$44,SchmidtTheory!U185,"")</f>
        <v>#VALUE!</v>
      </c>
      <c r="V87" s="85" t="e">
        <f>IF(SchmidtTheory!V185&gt;ActuatorSIZING!$G$44,SchmidtTheory!V185,"")</f>
        <v>#VALUE!</v>
      </c>
      <c r="W87" s="85" t="e">
        <f>IF(SchmidtTheory!W185&gt;ActuatorSIZING!$G$44,SchmidtTheory!W185,"")</f>
        <v>#VALUE!</v>
      </c>
      <c r="X87" s="85" t="e">
        <f>IF(SchmidtTheory!X185&gt;ActuatorSIZING!$G$44,SchmidtTheory!X185,"")</f>
        <v>#VALUE!</v>
      </c>
      <c r="Y87" s="85" t="e">
        <f>IF(SchmidtTheory!Y185&gt;ActuatorSIZING!$G$44,SchmidtTheory!Y185,"")</f>
        <v>#VALUE!</v>
      </c>
      <c r="Z87" s="85" t="e">
        <f>IF(SchmidtTheory!Z185&gt;ActuatorSIZING!$G$44,SchmidtTheory!Z185,"")</f>
        <v>#VALUE!</v>
      </c>
      <c r="AA87" s="85" t="e">
        <f>IF(SchmidtTheory!AA185&gt;ActuatorSIZING!$G$44,SchmidtTheory!AA185,"")</f>
        <v>#VALUE!</v>
      </c>
      <c r="AB87" s="85" t="e">
        <f>IF(SchmidtTheory!AB185&gt;ActuatorSIZING!$G$44,SchmidtTheory!AB185,"")</f>
        <v>#VALUE!</v>
      </c>
      <c r="AC87" s="85" t="e">
        <f>IF(SchmidtTheory!AC185&gt;ActuatorSIZING!$G$44,SchmidtTheory!AC185,"")</f>
        <v>#VALUE!</v>
      </c>
      <c r="AD87" s="85" t="e">
        <f>IF(SchmidtTheory!AD185&gt;ActuatorSIZING!$G$44,SchmidtTheory!AD185,"")</f>
        <v>#VALUE!</v>
      </c>
      <c r="AE87" s="85" t="e">
        <f>IF(SchmidtTheory!AE185&gt;ActuatorSIZING!$G$44,SchmidtTheory!AE185,"")</f>
        <v>#VALUE!</v>
      </c>
      <c r="AF87" s="85" t="e">
        <f>IF(SchmidtTheory!AF185&gt;ActuatorSIZING!$G$44,SchmidtTheory!AF185,"")</f>
        <v>#VALUE!</v>
      </c>
      <c r="AG87" s="85" t="e">
        <f>IF(SchmidtTheory!AG185&gt;ActuatorSIZING!$G$44,SchmidtTheory!AG185,"")</f>
        <v>#VALUE!</v>
      </c>
      <c r="AH87" s="85" t="e">
        <f>IF(SchmidtTheory!AH185&gt;ActuatorSIZING!$G$44,SchmidtTheory!AH185,"")</f>
        <v>#VALUE!</v>
      </c>
      <c r="AI87" s="85" t="e">
        <f>IF(SchmidtTheory!AI185&gt;ActuatorSIZING!$G$44,SchmidtTheory!AI185,"")</f>
        <v>#VALUE!</v>
      </c>
      <c r="AJ87" s="85" t="e">
        <f>IF(SchmidtTheory!AJ185&gt;ActuatorSIZING!$G$44,SchmidtTheory!AJ185,"")</f>
        <v>#VALUE!</v>
      </c>
      <c r="AK87" s="85" t="e">
        <f>IF(SchmidtTheory!AK185&gt;ActuatorSIZING!$G$44,SchmidtTheory!AK185,"")</f>
        <v>#VALUE!</v>
      </c>
      <c r="AL87" s="85" t="e">
        <f>IF(SchmidtTheory!AL185&gt;ActuatorSIZING!$G$44,SchmidtTheory!AL185,"")</f>
        <v>#VALUE!</v>
      </c>
      <c r="AM87" s="85" t="e">
        <f>IF(SchmidtTheory!AM185&gt;ActuatorSIZING!$G$44,SchmidtTheory!AM185,"")</f>
        <v>#VALUE!</v>
      </c>
      <c r="AN87" s="85" t="e">
        <f>IF(SchmidtTheory!AN185&gt;ActuatorSIZING!$G$44,SchmidtTheory!AN185,"")</f>
        <v>#VALUE!</v>
      </c>
      <c r="AO87" s="85" t="e">
        <f>IF(SchmidtTheory!AO185&gt;ActuatorSIZING!$G$44,SchmidtTheory!AO185,"")</f>
        <v>#VALUE!</v>
      </c>
      <c r="AP87" s="85" t="e">
        <f>IF(SchmidtTheory!AP185&gt;ActuatorSIZING!$G$44,SchmidtTheory!AP185,"")</f>
        <v>#VALUE!</v>
      </c>
      <c r="AQ87" s="85" t="e">
        <f>IF(SchmidtTheory!AQ185&gt;ActuatorSIZING!$G$44,SchmidtTheory!AQ185,"")</f>
        <v>#VALUE!</v>
      </c>
      <c r="AR87" s="85" t="e">
        <f>IF(SchmidtTheory!AR185&gt;ActuatorSIZING!$G$44,SchmidtTheory!AR185,"")</f>
        <v>#VALUE!</v>
      </c>
      <c r="AS87" s="85" t="e">
        <f>IF(SchmidtTheory!AS185&gt;ActuatorSIZING!$G$44,SchmidtTheory!AS185,"")</f>
        <v>#VALUE!</v>
      </c>
      <c r="AT87" s="85" t="e">
        <f>IF(SchmidtTheory!AT185&gt;ActuatorSIZING!$G$44,SchmidtTheory!AT185,"")</f>
        <v>#VALUE!</v>
      </c>
      <c r="AU87" s="85" t="e">
        <f>IF(SchmidtTheory!AU185&gt;ActuatorSIZING!$G$44,SchmidtTheory!AU185,"")</f>
        <v>#VALUE!</v>
      </c>
      <c r="AV87" s="85" t="e">
        <f>IF(SchmidtTheory!AV185&gt;ActuatorSIZING!$G$44,SchmidtTheory!AV185,"")</f>
        <v>#VALUE!</v>
      </c>
      <c r="AW87" s="96">
        <v>6000</v>
      </c>
      <c r="AX87" s="93" t="e">
        <f>IF(AW87&gt;ActuatorSIZING!$G$44,SchmidtTheory!AW87,"")</f>
        <v>#VALUE!</v>
      </c>
      <c r="AY87" s="95" t="str">
        <f>IF(SELECTION!$P$46=SchmidtTheory!G87,SchmidtTheory!AX87,"")</f>
        <v/>
      </c>
      <c r="AZ87" s="93" t="str">
        <f>IF(SELECTION!$AJ$24&gt;(I87+0.3),SchmidtTheory!AY87,"")</f>
        <v/>
      </c>
      <c r="BA87" s="103" t="s">
        <v>103</v>
      </c>
      <c r="BB87" s="93" t="e">
        <f t="shared" si="5"/>
        <v>#VALUE!</v>
      </c>
      <c r="BC87" s="93" t="str">
        <f>IF(SELECTION!$P$46=SchmidtTheory!G87,SchmidtTheory!BB87,"")</f>
        <v/>
      </c>
      <c r="BD87" s="93" t="str">
        <f>IF(SELECTION!$AJ$24&gt;(I87+0.3),SchmidtTheory!BC87,"")</f>
        <v/>
      </c>
      <c r="BE87" s="93" t="b">
        <f t="shared" si="4"/>
        <v>0</v>
      </c>
      <c r="BF87" s="103" t="s">
        <v>103</v>
      </c>
    </row>
    <row r="88" spans="2:58" x14ac:dyDescent="0.2">
      <c r="B88" s="42" t="s">
        <v>105</v>
      </c>
      <c r="F88" s="589"/>
      <c r="G88" s="598"/>
      <c r="H88" s="102">
        <v>0.4</v>
      </c>
      <c r="I88" s="101">
        <v>2</v>
      </c>
      <c r="J88" s="100">
        <v>2.2000000000000002</v>
      </c>
      <c r="K88" s="99">
        <v>22500</v>
      </c>
      <c r="L88" s="98">
        <v>4</v>
      </c>
      <c r="M88" s="97">
        <v>60000</v>
      </c>
      <c r="N88" s="85" t="e">
        <f>IF(SchmidtTheory!N186&gt;ActuatorSIZING!$G$44,SchmidtTheory!N186,"")</f>
        <v>#VALUE!</v>
      </c>
      <c r="O88" s="85" t="e">
        <f>IF(SchmidtTheory!O186&gt;ActuatorSIZING!$G$44,SchmidtTheory!O186,"")</f>
        <v>#VALUE!</v>
      </c>
      <c r="P88" s="85" t="e">
        <f>IF(SchmidtTheory!P186&gt;ActuatorSIZING!$G$44,SchmidtTheory!P186,"")</f>
        <v>#VALUE!</v>
      </c>
      <c r="Q88" s="85" t="e">
        <f>IF(SchmidtTheory!Q186&gt;ActuatorSIZING!$G$44,SchmidtTheory!Q186,"")</f>
        <v>#VALUE!</v>
      </c>
      <c r="R88" s="85" t="e">
        <f>IF(SchmidtTheory!R186&gt;ActuatorSIZING!$G$44,SchmidtTheory!R186,"")</f>
        <v>#VALUE!</v>
      </c>
      <c r="S88" s="85" t="e">
        <f>IF(SchmidtTheory!S186&gt;ActuatorSIZING!$G$44,SchmidtTheory!S186,"")</f>
        <v>#VALUE!</v>
      </c>
      <c r="T88" s="85" t="e">
        <f>IF(SchmidtTheory!T186&gt;ActuatorSIZING!$G$44,SchmidtTheory!T186,"")</f>
        <v>#VALUE!</v>
      </c>
      <c r="U88" s="85" t="e">
        <f>IF(SchmidtTheory!U186&gt;ActuatorSIZING!$G$44,SchmidtTheory!U186,"")</f>
        <v>#VALUE!</v>
      </c>
      <c r="V88" s="85" t="e">
        <f>IF(SchmidtTheory!V186&gt;ActuatorSIZING!$G$44,SchmidtTheory!V186,"")</f>
        <v>#VALUE!</v>
      </c>
      <c r="W88" s="85" t="e">
        <f>IF(SchmidtTheory!W186&gt;ActuatorSIZING!$G$44,SchmidtTheory!W186,"")</f>
        <v>#VALUE!</v>
      </c>
      <c r="X88" s="85" t="e">
        <f>IF(SchmidtTheory!X186&gt;ActuatorSIZING!$G$44,SchmidtTheory!X186,"")</f>
        <v>#VALUE!</v>
      </c>
      <c r="Y88" s="85" t="e">
        <f>IF(SchmidtTheory!Y186&gt;ActuatorSIZING!$G$44,SchmidtTheory!Y186,"")</f>
        <v>#VALUE!</v>
      </c>
      <c r="Z88" s="85" t="e">
        <f>IF(SchmidtTheory!Z186&gt;ActuatorSIZING!$G$44,SchmidtTheory!Z186,"")</f>
        <v>#VALUE!</v>
      </c>
      <c r="AA88" s="85" t="e">
        <f>IF(SchmidtTheory!AA186&gt;ActuatorSIZING!$G$44,SchmidtTheory!AA186,"")</f>
        <v>#VALUE!</v>
      </c>
      <c r="AB88" s="85" t="e">
        <f>IF(SchmidtTheory!AB186&gt;ActuatorSIZING!$G$44,SchmidtTheory!AB186,"")</f>
        <v>#VALUE!</v>
      </c>
      <c r="AC88" s="85" t="e">
        <f>IF(SchmidtTheory!AC186&gt;ActuatorSIZING!$G$44,SchmidtTheory!AC186,"")</f>
        <v>#VALUE!</v>
      </c>
      <c r="AD88" s="85" t="e">
        <f>IF(SchmidtTheory!AD186&gt;ActuatorSIZING!$G$44,SchmidtTheory!AD186,"")</f>
        <v>#VALUE!</v>
      </c>
      <c r="AE88" s="85" t="e">
        <f>IF(SchmidtTheory!AE186&gt;ActuatorSIZING!$G$44,SchmidtTheory!AE186,"")</f>
        <v>#VALUE!</v>
      </c>
      <c r="AF88" s="85" t="e">
        <f>IF(SchmidtTheory!AF186&gt;ActuatorSIZING!$G$44,SchmidtTheory!AF186,"")</f>
        <v>#VALUE!</v>
      </c>
      <c r="AG88" s="85" t="e">
        <f>IF(SchmidtTheory!AG186&gt;ActuatorSIZING!$G$44,SchmidtTheory!AG186,"")</f>
        <v>#VALUE!</v>
      </c>
      <c r="AH88" s="85" t="e">
        <f>IF(SchmidtTheory!AH186&gt;ActuatorSIZING!$G$44,SchmidtTheory!AH186,"")</f>
        <v>#VALUE!</v>
      </c>
      <c r="AI88" s="85" t="e">
        <f>IF(SchmidtTheory!AI186&gt;ActuatorSIZING!$G$44,SchmidtTheory!AI186,"")</f>
        <v>#VALUE!</v>
      </c>
      <c r="AJ88" s="85" t="e">
        <f>IF(SchmidtTheory!AJ186&gt;ActuatorSIZING!$G$44,SchmidtTheory!AJ186,"")</f>
        <v>#VALUE!</v>
      </c>
      <c r="AK88" s="85" t="e">
        <f>IF(SchmidtTheory!AK186&gt;ActuatorSIZING!$G$44,SchmidtTheory!AK186,"")</f>
        <v>#VALUE!</v>
      </c>
      <c r="AL88" s="85" t="e">
        <f>IF(SchmidtTheory!AL186&gt;ActuatorSIZING!$G$44,SchmidtTheory!AL186,"")</f>
        <v>#VALUE!</v>
      </c>
      <c r="AM88" s="85" t="e">
        <f>IF(SchmidtTheory!AM186&gt;ActuatorSIZING!$G$44,SchmidtTheory!AM186,"")</f>
        <v>#VALUE!</v>
      </c>
      <c r="AN88" s="85" t="e">
        <f>IF(SchmidtTheory!AN186&gt;ActuatorSIZING!$G$44,SchmidtTheory!AN186,"")</f>
        <v>#VALUE!</v>
      </c>
      <c r="AO88" s="85" t="e">
        <f>IF(SchmidtTheory!AO186&gt;ActuatorSIZING!$G$44,SchmidtTheory!AO186,"")</f>
        <v>#VALUE!</v>
      </c>
      <c r="AP88" s="85" t="e">
        <f>IF(SchmidtTheory!AP186&gt;ActuatorSIZING!$G$44,SchmidtTheory!AP186,"")</f>
        <v>#VALUE!</v>
      </c>
      <c r="AQ88" s="85" t="e">
        <f>IF(SchmidtTheory!AQ186&gt;ActuatorSIZING!$G$44,SchmidtTheory!AQ186,"")</f>
        <v>#VALUE!</v>
      </c>
      <c r="AR88" s="85" t="e">
        <f>IF(SchmidtTheory!AR186&gt;ActuatorSIZING!$G$44,SchmidtTheory!AR186,"")</f>
        <v>#VALUE!</v>
      </c>
      <c r="AS88" s="85" t="e">
        <f>IF(SchmidtTheory!AS186&gt;ActuatorSIZING!$G$44,SchmidtTheory!AS186,"")</f>
        <v>#VALUE!</v>
      </c>
      <c r="AT88" s="85" t="e">
        <f>IF(SchmidtTheory!AT186&gt;ActuatorSIZING!$G$44,SchmidtTheory!AT186,"")</f>
        <v>#VALUE!</v>
      </c>
      <c r="AU88" s="85" t="e">
        <f>IF(SchmidtTheory!AU186&gt;ActuatorSIZING!$G$44,SchmidtTheory!AU186,"")</f>
        <v>#VALUE!</v>
      </c>
      <c r="AV88" s="85" t="e">
        <f>IF(SchmidtTheory!AV186&gt;ActuatorSIZING!$G$44,SchmidtTheory!AV186,"")</f>
        <v>#VALUE!</v>
      </c>
      <c r="AW88" s="96">
        <v>12000</v>
      </c>
      <c r="AX88" s="93" t="e">
        <f>IF(AW88&gt;ActuatorSIZING!$G$44,SchmidtTheory!AW88,"")</f>
        <v>#VALUE!</v>
      </c>
      <c r="AY88" s="95" t="str">
        <f>IF(SELECTION!$P$46=SchmidtTheory!G87,SchmidtTheory!AX88,"")</f>
        <v/>
      </c>
      <c r="AZ88" s="93" t="str">
        <f>IF(SELECTION!$AJ$24&gt;(I88+0.3),SchmidtTheory!AY88,"")</f>
        <v/>
      </c>
      <c r="BA88" s="103" t="s">
        <v>101</v>
      </c>
      <c r="BB88" s="93" t="e">
        <f t="shared" si="5"/>
        <v>#VALUE!</v>
      </c>
      <c r="BC88" s="93" t="str">
        <f>IF(SELECTION!$P$46=SchmidtTheory!G87,SchmidtTheory!BB88,"")</f>
        <v/>
      </c>
      <c r="BD88" s="93" t="str">
        <f>IF(SELECTION!$AJ$24&gt;(I88+0.3),SchmidtTheory!BC88,"")</f>
        <v/>
      </c>
      <c r="BE88" s="93" t="b">
        <f t="shared" si="4"/>
        <v>0</v>
      </c>
      <c r="BF88" s="103" t="s">
        <v>101</v>
      </c>
    </row>
    <row r="89" spans="2:58" x14ac:dyDescent="0.2">
      <c r="F89" s="589"/>
      <c r="G89" s="598"/>
      <c r="H89" s="102">
        <v>0.75</v>
      </c>
      <c r="I89" s="101">
        <v>1.4</v>
      </c>
      <c r="J89" s="100">
        <v>3.4</v>
      </c>
      <c r="K89" s="99">
        <v>30000</v>
      </c>
      <c r="L89" s="98">
        <v>3.4</v>
      </c>
      <c r="M89" s="97">
        <v>60000</v>
      </c>
      <c r="N89" s="85" t="e">
        <f>IF(SchmidtTheory!N187&gt;ActuatorSIZING!$G$44,SchmidtTheory!N187,"")</f>
        <v>#VALUE!</v>
      </c>
      <c r="O89" s="85" t="e">
        <f>IF(SchmidtTheory!O187&gt;ActuatorSIZING!$G$44,SchmidtTheory!O187,"")</f>
        <v>#VALUE!</v>
      </c>
      <c r="P89" s="85" t="e">
        <f>IF(SchmidtTheory!P187&gt;ActuatorSIZING!$G$44,SchmidtTheory!P187,"")</f>
        <v>#VALUE!</v>
      </c>
      <c r="Q89" s="85" t="e">
        <f>IF(SchmidtTheory!Q187&gt;ActuatorSIZING!$G$44,SchmidtTheory!Q187,"")</f>
        <v>#VALUE!</v>
      </c>
      <c r="R89" s="85" t="e">
        <f>IF(SchmidtTheory!R187&gt;ActuatorSIZING!$G$44,SchmidtTheory!R187,"")</f>
        <v>#VALUE!</v>
      </c>
      <c r="S89" s="85" t="e">
        <f>IF(SchmidtTheory!S187&gt;ActuatorSIZING!$G$44,SchmidtTheory!S187,"")</f>
        <v>#VALUE!</v>
      </c>
      <c r="T89" s="85" t="e">
        <f>IF(SchmidtTheory!T187&gt;ActuatorSIZING!$G$44,SchmidtTheory!T187,"")</f>
        <v>#VALUE!</v>
      </c>
      <c r="U89" s="85" t="e">
        <f>IF(SchmidtTheory!U187&gt;ActuatorSIZING!$G$44,SchmidtTheory!U187,"")</f>
        <v>#VALUE!</v>
      </c>
      <c r="V89" s="85" t="e">
        <f>IF(SchmidtTheory!V187&gt;ActuatorSIZING!$G$44,SchmidtTheory!V187,"")</f>
        <v>#VALUE!</v>
      </c>
      <c r="W89" s="85" t="e">
        <f>IF(SchmidtTheory!W187&gt;ActuatorSIZING!$G$44,SchmidtTheory!W187,"")</f>
        <v>#VALUE!</v>
      </c>
      <c r="X89" s="85" t="e">
        <f>IF(SchmidtTheory!X187&gt;ActuatorSIZING!$G$44,SchmidtTheory!X187,"")</f>
        <v>#VALUE!</v>
      </c>
      <c r="Y89" s="85" t="e">
        <f>IF(SchmidtTheory!Y187&gt;ActuatorSIZING!$G$44,SchmidtTheory!Y187,"")</f>
        <v>#VALUE!</v>
      </c>
      <c r="Z89" s="85" t="e">
        <f>IF(SchmidtTheory!Z187&gt;ActuatorSIZING!$G$44,SchmidtTheory!Z187,"")</f>
        <v>#VALUE!</v>
      </c>
      <c r="AA89" s="85" t="e">
        <f>IF(SchmidtTheory!AA187&gt;ActuatorSIZING!$G$44,SchmidtTheory!AA187,"")</f>
        <v>#VALUE!</v>
      </c>
      <c r="AB89" s="85" t="e">
        <f>IF(SchmidtTheory!AB187&gt;ActuatorSIZING!$G$44,SchmidtTheory!AB187,"")</f>
        <v>#VALUE!</v>
      </c>
      <c r="AC89" s="85" t="e">
        <f>IF(SchmidtTheory!AC187&gt;ActuatorSIZING!$G$44,SchmidtTheory!AC187,"")</f>
        <v>#VALUE!</v>
      </c>
      <c r="AD89" s="85" t="e">
        <f>IF(SchmidtTheory!AD187&gt;ActuatorSIZING!$G$44,SchmidtTheory!AD187,"")</f>
        <v>#VALUE!</v>
      </c>
      <c r="AE89" s="85" t="e">
        <f>IF(SchmidtTheory!AE187&gt;ActuatorSIZING!$G$44,SchmidtTheory!AE187,"")</f>
        <v>#VALUE!</v>
      </c>
      <c r="AF89" s="85" t="e">
        <f>IF(SchmidtTheory!AF187&gt;ActuatorSIZING!$G$44,SchmidtTheory!AF187,"")</f>
        <v>#VALUE!</v>
      </c>
      <c r="AG89" s="85" t="e">
        <f>IF(SchmidtTheory!AG187&gt;ActuatorSIZING!$G$44,SchmidtTheory!AG187,"")</f>
        <v>#VALUE!</v>
      </c>
      <c r="AH89" s="85" t="e">
        <f>IF(SchmidtTheory!AH187&gt;ActuatorSIZING!$G$44,SchmidtTheory!AH187,"")</f>
        <v>#VALUE!</v>
      </c>
      <c r="AI89" s="85" t="e">
        <f>IF(SchmidtTheory!AI187&gt;ActuatorSIZING!$G$44,SchmidtTheory!AI187,"")</f>
        <v>#VALUE!</v>
      </c>
      <c r="AJ89" s="85" t="e">
        <f>IF(SchmidtTheory!AJ187&gt;ActuatorSIZING!$G$44,SchmidtTheory!AJ187,"")</f>
        <v>#VALUE!</v>
      </c>
      <c r="AK89" s="85" t="e">
        <f>IF(SchmidtTheory!AK187&gt;ActuatorSIZING!$G$44,SchmidtTheory!AK187,"")</f>
        <v>#VALUE!</v>
      </c>
      <c r="AL89" s="85" t="e">
        <f>IF(SchmidtTheory!AL187&gt;ActuatorSIZING!$G$44,SchmidtTheory!AL187,"")</f>
        <v>#VALUE!</v>
      </c>
      <c r="AM89" s="85" t="e">
        <f>IF(SchmidtTheory!AM187&gt;ActuatorSIZING!$G$44,SchmidtTheory!AM187,"")</f>
        <v>#VALUE!</v>
      </c>
      <c r="AN89" s="85" t="e">
        <f>IF(SchmidtTheory!AN187&gt;ActuatorSIZING!$G$44,SchmidtTheory!AN187,"")</f>
        <v>#VALUE!</v>
      </c>
      <c r="AO89" s="85" t="e">
        <f>IF(SchmidtTheory!AO187&gt;ActuatorSIZING!$G$44,SchmidtTheory!AO187,"")</f>
        <v>#VALUE!</v>
      </c>
      <c r="AP89" s="85" t="e">
        <f>IF(SchmidtTheory!AP187&gt;ActuatorSIZING!$G$44,SchmidtTheory!AP187,"")</f>
        <v>#VALUE!</v>
      </c>
      <c r="AQ89" s="85" t="e">
        <f>IF(SchmidtTheory!AQ187&gt;ActuatorSIZING!$G$44,SchmidtTheory!AQ187,"")</f>
        <v>#VALUE!</v>
      </c>
      <c r="AR89" s="85" t="e">
        <f>IF(SchmidtTheory!AR187&gt;ActuatorSIZING!$G$44,SchmidtTheory!AR187,"")</f>
        <v>#VALUE!</v>
      </c>
      <c r="AS89" s="85" t="e">
        <f>IF(SchmidtTheory!AS187&gt;ActuatorSIZING!$G$44,SchmidtTheory!AS187,"")</f>
        <v>#VALUE!</v>
      </c>
      <c r="AT89" s="85" t="e">
        <f>IF(SchmidtTheory!AT187&gt;ActuatorSIZING!$G$44,SchmidtTheory!AT187,"")</f>
        <v>#VALUE!</v>
      </c>
      <c r="AU89" s="85" t="e">
        <f>IF(SchmidtTheory!AU187&gt;ActuatorSIZING!$G$44,SchmidtTheory!AU187,"")</f>
        <v>#VALUE!</v>
      </c>
      <c r="AV89" s="85" t="e">
        <f>IF(SchmidtTheory!AV187&gt;ActuatorSIZING!$G$44,SchmidtTheory!AV187,"")</f>
        <v>#VALUE!</v>
      </c>
      <c r="AW89" s="96">
        <v>22500</v>
      </c>
      <c r="AX89" s="93" t="e">
        <f>IF(AW89&gt;ActuatorSIZING!$G$44,SchmidtTheory!AW89,"")</f>
        <v>#VALUE!</v>
      </c>
      <c r="AY89" s="95" t="str">
        <f>IF(SELECTION!$P$46=SchmidtTheory!G87,SchmidtTheory!AX89,"")</f>
        <v/>
      </c>
      <c r="AZ89" s="93" t="str">
        <f>IF(SELECTION!$AJ$24&gt;(I89+0.3),SchmidtTheory!AY89,"")</f>
        <v/>
      </c>
      <c r="BA89" s="103" t="s">
        <v>99</v>
      </c>
      <c r="BB89" s="93" t="e">
        <f t="shared" si="5"/>
        <v>#VALUE!</v>
      </c>
      <c r="BC89" s="93" t="str">
        <f>IF(SELECTION!$P$46=SchmidtTheory!G87,SchmidtTheory!BB89,"")</f>
        <v/>
      </c>
      <c r="BD89" s="93" t="str">
        <f>IF(SELECTION!$AJ$24&gt;(I89+0.3),SchmidtTheory!BC89,"")</f>
        <v/>
      </c>
      <c r="BE89" s="93" t="b">
        <f t="shared" si="4"/>
        <v>0</v>
      </c>
      <c r="BF89" s="103" t="s">
        <v>99</v>
      </c>
    </row>
    <row r="90" spans="2:58" x14ac:dyDescent="0.2">
      <c r="B90" s="46" t="s">
        <v>102</v>
      </c>
      <c r="F90" s="589"/>
      <c r="G90" s="598"/>
      <c r="H90" s="102">
        <v>1</v>
      </c>
      <c r="I90" s="101">
        <v>2.4</v>
      </c>
      <c r="J90" s="100">
        <v>3.4</v>
      </c>
      <c r="K90" s="99">
        <v>39000</v>
      </c>
      <c r="L90" s="98">
        <v>4.4000000000000004</v>
      </c>
      <c r="M90" s="97">
        <v>60000</v>
      </c>
      <c r="N90" s="85" t="e">
        <f>IF(SchmidtTheory!N188&gt;ActuatorSIZING!$G$44,SchmidtTheory!N188,"")</f>
        <v>#VALUE!</v>
      </c>
      <c r="O90" s="85" t="e">
        <f>IF(SchmidtTheory!O188&gt;ActuatorSIZING!$G$44,SchmidtTheory!O188,"")</f>
        <v>#VALUE!</v>
      </c>
      <c r="P90" s="85" t="e">
        <f>IF(SchmidtTheory!P188&gt;ActuatorSIZING!$G$44,SchmidtTheory!P188,"")</f>
        <v>#VALUE!</v>
      </c>
      <c r="Q90" s="85" t="e">
        <f>IF(SchmidtTheory!Q188&gt;ActuatorSIZING!$G$44,SchmidtTheory!Q188,"")</f>
        <v>#VALUE!</v>
      </c>
      <c r="R90" s="85" t="e">
        <f>IF(SchmidtTheory!R188&gt;ActuatorSIZING!$G$44,SchmidtTheory!R188,"")</f>
        <v>#VALUE!</v>
      </c>
      <c r="S90" s="85" t="e">
        <f>IF(SchmidtTheory!S188&gt;ActuatorSIZING!$G$44,SchmidtTheory!S188,"")</f>
        <v>#VALUE!</v>
      </c>
      <c r="T90" s="85" t="e">
        <f>IF(SchmidtTheory!T188&gt;ActuatorSIZING!$G$44,SchmidtTheory!T188,"")</f>
        <v>#VALUE!</v>
      </c>
      <c r="U90" s="85" t="e">
        <f>IF(SchmidtTheory!U188&gt;ActuatorSIZING!$G$44,SchmidtTheory!U188,"")</f>
        <v>#VALUE!</v>
      </c>
      <c r="V90" s="85" t="e">
        <f>IF(SchmidtTheory!V188&gt;ActuatorSIZING!$G$44,SchmidtTheory!V188,"")</f>
        <v>#VALUE!</v>
      </c>
      <c r="W90" s="85" t="e">
        <f>IF(SchmidtTheory!W188&gt;ActuatorSIZING!$G$44,SchmidtTheory!W188,"")</f>
        <v>#VALUE!</v>
      </c>
      <c r="X90" s="85" t="e">
        <f>IF(SchmidtTheory!X188&gt;ActuatorSIZING!$G$44,SchmidtTheory!X188,"")</f>
        <v>#VALUE!</v>
      </c>
      <c r="Y90" s="85" t="e">
        <f>IF(SchmidtTheory!Y188&gt;ActuatorSIZING!$G$44,SchmidtTheory!Y188,"")</f>
        <v>#VALUE!</v>
      </c>
      <c r="Z90" s="85" t="e">
        <f>IF(SchmidtTheory!Z188&gt;ActuatorSIZING!$G$44,SchmidtTheory!Z188,"")</f>
        <v>#VALUE!</v>
      </c>
      <c r="AA90" s="85" t="e">
        <f>IF(SchmidtTheory!AA188&gt;ActuatorSIZING!$G$44,SchmidtTheory!AA188,"")</f>
        <v>#VALUE!</v>
      </c>
      <c r="AB90" s="85" t="e">
        <f>IF(SchmidtTheory!AB188&gt;ActuatorSIZING!$G$44,SchmidtTheory!AB188,"")</f>
        <v>#VALUE!</v>
      </c>
      <c r="AC90" s="85" t="e">
        <f>IF(SchmidtTheory!AC188&gt;ActuatorSIZING!$G$44,SchmidtTheory!AC188,"")</f>
        <v>#VALUE!</v>
      </c>
      <c r="AD90" s="85" t="e">
        <f>IF(SchmidtTheory!AD188&gt;ActuatorSIZING!$G$44,SchmidtTheory!AD188,"")</f>
        <v>#VALUE!</v>
      </c>
      <c r="AE90" s="85" t="e">
        <f>IF(SchmidtTheory!AE188&gt;ActuatorSIZING!$G$44,SchmidtTheory!AE188,"")</f>
        <v>#VALUE!</v>
      </c>
      <c r="AF90" s="85" t="e">
        <f>IF(SchmidtTheory!AF188&gt;ActuatorSIZING!$G$44,SchmidtTheory!AF188,"")</f>
        <v>#VALUE!</v>
      </c>
      <c r="AG90" s="85" t="e">
        <f>IF(SchmidtTheory!AG188&gt;ActuatorSIZING!$G$44,SchmidtTheory!AG188,"")</f>
        <v>#VALUE!</v>
      </c>
      <c r="AH90" s="85" t="e">
        <f>IF(SchmidtTheory!AH188&gt;ActuatorSIZING!$G$44,SchmidtTheory!AH188,"")</f>
        <v>#VALUE!</v>
      </c>
      <c r="AI90" s="85" t="e">
        <f>IF(SchmidtTheory!AI188&gt;ActuatorSIZING!$G$44,SchmidtTheory!AI188,"")</f>
        <v>#VALUE!</v>
      </c>
      <c r="AJ90" s="85" t="e">
        <f>IF(SchmidtTheory!AJ188&gt;ActuatorSIZING!$G$44,SchmidtTheory!AJ188,"")</f>
        <v>#VALUE!</v>
      </c>
      <c r="AK90" s="85" t="e">
        <f>IF(SchmidtTheory!AK188&gt;ActuatorSIZING!$G$44,SchmidtTheory!AK188,"")</f>
        <v>#VALUE!</v>
      </c>
      <c r="AL90" s="85" t="e">
        <f>IF(SchmidtTheory!AL188&gt;ActuatorSIZING!$G$44,SchmidtTheory!AL188,"")</f>
        <v>#VALUE!</v>
      </c>
      <c r="AM90" s="85" t="e">
        <f>IF(SchmidtTheory!AM188&gt;ActuatorSIZING!$G$44,SchmidtTheory!AM188,"")</f>
        <v>#VALUE!</v>
      </c>
      <c r="AN90" s="85" t="e">
        <f>IF(SchmidtTheory!AN188&gt;ActuatorSIZING!$G$44,SchmidtTheory!AN188,"")</f>
        <v>#VALUE!</v>
      </c>
      <c r="AO90" s="85" t="e">
        <f>IF(SchmidtTheory!AO188&gt;ActuatorSIZING!$G$44,SchmidtTheory!AO188,"")</f>
        <v>#VALUE!</v>
      </c>
      <c r="AP90" s="85" t="e">
        <f>IF(SchmidtTheory!AP188&gt;ActuatorSIZING!$G$44,SchmidtTheory!AP188,"")</f>
        <v>#VALUE!</v>
      </c>
      <c r="AQ90" s="85" t="e">
        <f>IF(SchmidtTheory!AQ188&gt;ActuatorSIZING!$G$44,SchmidtTheory!AQ188,"")</f>
        <v>#VALUE!</v>
      </c>
      <c r="AR90" s="85" t="e">
        <f>IF(SchmidtTheory!AR188&gt;ActuatorSIZING!$G$44,SchmidtTheory!AR188,"")</f>
        <v>#VALUE!</v>
      </c>
      <c r="AS90" s="85" t="e">
        <f>IF(SchmidtTheory!AS188&gt;ActuatorSIZING!$G$44,SchmidtTheory!AS188,"")</f>
        <v>#VALUE!</v>
      </c>
      <c r="AT90" s="85" t="e">
        <f>IF(SchmidtTheory!AT188&gt;ActuatorSIZING!$G$44,SchmidtTheory!AT188,"")</f>
        <v>#VALUE!</v>
      </c>
      <c r="AU90" s="85" t="e">
        <f>IF(SchmidtTheory!AU188&gt;ActuatorSIZING!$G$44,SchmidtTheory!AU188,"")</f>
        <v>#VALUE!</v>
      </c>
      <c r="AV90" s="85" t="e">
        <f>IF(SchmidtTheory!AV188&gt;ActuatorSIZING!$G$44,SchmidtTheory!AV188,"")</f>
        <v>#VALUE!</v>
      </c>
      <c r="AW90" s="96">
        <v>30000</v>
      </c>
      <c r="AX90" s="93" t="e">
        <f>IF(AW90&gt;ActuatorSIZING!$G$44,SchmidtTheory!AW90,"")</f>
        <v>#VALUE!</v>
      </c>
      <c r="AY90" s="95" t="str">
        <f>IF(SELECTION!$P$46=SchmidtTheory!G87,SchmidtTheory!AX90,"")</f>
        <v/>
      </c>
      <c r="AZ90" s="93" t="str">
        <f>IF(SELECTION!$AJ$24&gt;(I90+0.3),SchmidtTheory!AY90,"")</f>
        <v/>
      </c>
      <c r="BA90" s="103" t="s">
        <v>98</v>
      </c>
      <c r="BB90" s="93" t="e">
        <f t="shared" si="5"/>
        <v>#VALUE!</v>
      </c>
      <c r="BC90" s="93" t="str">
        <f>IF(SELECTION!$P$46=SchmidtTheory!G87,SchmidtTheory!BB90,"")</f>
        <v/>
      </c>
      <c r="BD90" s="93" t="str">
        <f>IF(SELECTION!$AJ$24&gt;(I90+0.3),SchmidtTheory!BC90,"")</f>
        <v/>
      </c>
      <c r="BE90" s="93" t="b">
        <f t="shared" si="4"/>
        <v>0</v>
      </c>
      <c r="BF90" s="103" t="s">
        <v>98</v>
      </c>
    </row>
    <row r="91" spans="2:58" x14ac:dyDescent="0.2">
      <c r="B91" s="42" t="s">
        <v>100</v>
      </c>
      <c r="F91" s="589"/>
      <c r="G91" s="598"/>
      <c r="H91" s="102">
        <v>1.3</v>
      </c>
      <c r="I91" s="101">
        <v>2.1</v>
      </c>
      <c r="J91" s="100">
        <v>5.5</v>
      </c>
      <c r="K91" s="99">
        <v>60000</v>
      </c>
      <c r="L91" s="98">
        <v>4.0999999999999996</v>
      </c>
      <c r="M91" s="97">
        <v>60000</v>
      </c>
      <c r="N91" s="85" t="e">
        <f>IF(SchmidtTheory!N189&gt;ActuatorSIZING!$G$44,SchmidtTheory!N189,"")</f>
        <v>#VALUE!</v>
      </c>
      <c r="O91" s="85" t="e">
        <f>IF(SchmidtTheory!O189&gt;ActuatorSIZING!$G$44,SchmidtTheory!O189,"")</f>
        <v>#VALUE!</v>
      </c>
      <c r="P91" s="85" t="e">
        <f>IF(SchmidtTheory!P189&gt;ActuatorSIZING!$G$44,SchmidtTheory!P189,"")</f>
        <v>#VALUE!</v>
      </c>
      <c r="Q91" s="85" t="e">
        <f>IF(SchmidtTheory!Q189&gt;ActuatorSIZING!$G$44,SchmidtTheory!Q189,"")</f>
        <v>#VALUE!</v>
      </c>
      <c r="R91" s="85" t="e">
        <f>IF(SchmidtTheory!R189&gt;ActuatorSIZING!$G$44,SchmidtTheory!R189,"")</f>
        <v>#VALUE!</v>
      </c>
      <c r="S91" s="85" t="e">
        <f>IF(SchmidtTheory!S189&gt;ActuatorSIZING!$G$44,SchmidtTheory!S189,"")</f>
        <v>#VALUE!</v>
      </c>
      <c r="T91" s="85" t="e">
        <f>IF(SchmidtTheory!T189&gt;ActuatorSIZING!$G$44,SchmidtTheory!T189,"")</f>
        <v>#VALUE!</v>
      </c>
      <c r="U91" s="85" t="e">
        <f>IF(SchmidtTheory!U189&gt;ActuatorSIZING!$G$44,SchmidtTheory!U189,"")</f>
        <v>#VALUE!</v>
      </c>
      <c r="V91" s="85" t="e">
        <f>IF(SchmidtTheory!V189&gt;ActuatorSIZING!$G$44,SchmidtTheory!V189,"")</f>
        <v>#VALUE!</v>
      </c>
      <c r="W91" s="85" t="e">
        <f>IF(SchmidtTheory!W189&gt;ActuatorSIZING!$G$44,SchmidtTheory!W189,"")</f>
        <v>#VALUE!</v>
      </c>
      <c r="X91" s="85" t="e">
        <f>IF(SchmidtTheory!X189&gt;ActuatorSIZING!$G$44,SchmidtTheory!X189,"")</f>
        <v>#VALUE!</v>
      </c>
      <c r="Y91" s="85" t="e">
        <f>IF(SchmidtTheory!Y189&gt;ActuatorSIZING!$G$44,SchmidtTheory!Y189,"")</f>
        <v>#VALUE!</v>
      </c>
      <c r="Z91" s="85" t="e">
        <f>IF(SchmidtTheory!Z189&gt;ActuatorSIZING!$G$44,SchmidtTheory!Z189,"")</f>
        <v>#VALUE!</v>
      </c>
      <c r="AA91" s="85" t="e">
        <f>IF(SchmidtTheory!AA189&gt;ActuatorSIZING!$G$44,SchmidtTheory!AA189,"")</f>
        <v>#VALUE!</v>
      </c>
      <c r="AB91" s="85" t="e">
        <f>IF(SchmidtTheory!AB189&gt;ActuatorSIZING!$G$44,SchmidtTheory!AB189,"")</f>
        <v>#VALUE!</v>
      </c>
      <c r="AC91" s="85" t="e">
        <f>IF(SchmidtTheory!AC189&gt;ActuatorSIZING!$G$44,SchmidtTheory!AC189,"")</f>
        <v>#VALUE!</v>
      </c>
      <c r="AD91" s="85" t="e">
        <f>IF(SchmidtTheory!AD189&gt;ActuatorSIZING!$G$44,SchmidtTheory!AD189,"")</f>
        <v>#VALUE!</v>
      </c>
      <c r="AE91" s="85" t="e">
        <f>IF(SchmidtTheory!AE189&gt;ActuatorSIZING!$G$44,SchmidtTheory!AE189,"")</f>
        <v>#VALUE!</v>
      </c>
      <c r="AF91" s="85" t="e">
        <f>IF(SchmidtTheory!AF189&gt;ActuatorSIZING!$G$44,SchmidtTheory!AF189,"")</f>
        <v>#VALUE!</v>
      </c>
      <c r="AG91" s="85" t="e">
        <f>IF(SchmidtTheory!AG189&gt;ActuatorSIZING!$G$44,SchmidtTheory!AG189,"")</f>
        <v>#VALUE!</v>
      </c>
      <c r="AH91" s="85" t="e">
        <f>IF(SchmidtTheory!AH189&gt;ActuatorSIZING!$G$44,SchmidtTheory!AH189,"")</f>
        <v>#VALUE!</v>
      </c>
      <c r="AI91" s="85" t="e">
        <f>IF(SchmidtTheory!AI189&gt;ActuatorSIZING!$G$44,SchmidtTheory!AI189,"")</f>
        <v>#VALUE!</v>
      </c>
      <c r="AJ91" s="85" t="e">
        <f>IF(SchmidtTheory!AJ189&gt;ActuatorSIZING!$G$44,SchmidtTheory!AJ189,"")</f>
        <v>#VALUE!</v>
      </c>
      <c r="AK91" s="85" t="e">
        <f>IF(SchmidtTheory!AK189&gt;ActuatorSIZING!$G$44,SchmidtTheory!AK189,"")</f>
        <v>#VALUE!</v>
      </c>
      <c r="AL91" s="85" t="e">
        <f>IF(SchmidtTheory!AL189&gt;ActuatorSIZING!$G$44,SchmidtTheory!AL189,"")</f>
        <v>#VALUE!</v>
      </c>
      <c r="AM91" s="85" t="e">
        <f>IF(SchmidtTheory!AM189&gt;ActuatorSIZING!$G$44,SchmidtTheory!AM189,"")</f>
        <v>#VALUE!</v>
      </c>
      <c r="AN91" s="85" t="e">
        <f>IF(SchmidtTheory!AN189&gt;ActuatorSIZING!$G$44,SchmidtTheory!AN189,"")</f>
        <v>#VALUE!</v>
      </c>
      <c r="AO91" s="85" t="e">
        <f>IF(SchmidtTheory!AO189&gt;ActuatorSIZING!$G$44,SchmidtTheory!AO189,"")</f>
        <v>#VALUE!</v>
      </c>
      <c r="AP91" s="85" t="e">
        <f>IF(SchmidtTheory!AP189&gt;ActuatorSIZING!$G$44,SchmidtTheory!AP189,"")</f>
        <v>#VALUE!</v>
      </c>
      <c r="AQ91" s="85" t="e">
        <f>IF(SchmidtTheory!AQ189&gt;ActuatorSIZING!$G$44,SchmidtTheory!AQ189,"")</f>
        <v>#VALUE!</v>
      </c>
      <c r="AR91" s="85" t="e">
        <f>IF(SchmidtTheory!AR189&gt;ActuatorSIZING!$G$44,SchmidtTheory!AR189,"")</f>
        <v>#VALUE!</v>
      </c>
      <c r="AS91" s="85" t="e">
        <f>IF(SchmidtTheory!AS189&gt;ActuatorSIZING!$G$44,SchmidtTheory!AS189,"")</f>
        <v>#VALUE!</v>
      </c>
      <c r="AT91" s="85" t="e">
        <f>IF(SchmidtTheory!AT189&gt;ActuatorSIZING!$G$44,SchmidtTheory!AT189,"")</f>
        <v>#VALUE!</v>
      </c>
      <c r="AU91" s="85" t="e">
        <f>IF(SchmidtTheory!AU189&gt;ActuatorSIZING!$G$44,SchmidtTheory!AU189,"")</f>
        <v>#VALUE!</v>
      </c>
      <c r="AV91" s="85" t="e">
        <f>IF(SchmidtTheory!AV189&gt;ActuatorSIZING!$G$44,SchmidtTheory!AV189,"")</f>
        <v>#VALUE!</v>
      </c>
      <c r="AW91" s="96">
        <v>39000</v>
      </c>
      <c r="AX91" s="93" t="e">
        <f>IF(AW91&gt;ActuatorSIZING!$G$44,SchmidtTheory!AW91,"")</f>
        <v>#VALUE!</v>
      </c>
      <c r="AY91" s="95" t="str">
        <f>IF(SELECTION!$P$46=SchmidtTheory!G87,SchmidtTheory!AX91,"")</f>
        <v/>
      </c>
      <c r="AZ91" s="93" t="str">
        <f>IF(SELECTION!$AJ$24&gt;(I91+0.3),SchmidtTheory!AY91,"")</f>
        <v/>
      </c>
      <c r="BA91" s="103" t="s">
        <v>96</v>
      </c>
      <c r="BB91" s="93" t="e">
        <f t="shared" si="5"/>
        <v>#VALUE!</v>
      </c>
      <c r="BC91" s="93" t="str">
        <f>IF(SELECTION!$P$46=SchmidtTheory!G87,SchmidtTheory!BB91,"")</f>
        <v/>
      </c>
      <c r="BD91" s="93" t="str">
        <f>IF(SELECTION!$AJ$24&gt;(I91+0.3),SchmidtTheory!BC91,"")</f>
        <v/>
      </c>
      <c r="BE91" s="93" t="b">
        <f t="shared" si="4"/>
        <v>0</v>
      </c>
      <c r="BF91" s="103" t="s">
        <v>96</v>
      </c>
    </row>
    <row r="92" spans="2:58" x14ac:dyDescent="0.2">
      <c r="B92" s="42" t="s">
        <v>90</v>
      </c>
      <c r="F92" s="589"/>
      <c r="G92" s="598"/>
      <c r="H92" s="102">
        <v>2</v>
      </c>
      <c r="I92" s="101">
        <v>3.5</v>
      </c>
      <c r="J92" s="100"/>
      <c r="K92" s="99"/>
      <c r="L92" s="98">
        <v>5.5</v>
      </c>
      <c r="M92" s="97">
        <v>60000</v>
      </c>
      <c r="N92" s="85" t="e">
        <f>IF(SchmidtTheory!N190&gt;ActuatorSIZING!$G$44,SchmidtTheory!N190,"")</f>
        <v>#VALUE!</v>
      </c>
      <c r="O92" s="85" t="e">
        <f>IF(SchmidtTheory!O190&gt;ActuatorSIZING!$G$44,SchmidtTheory!O190,"")</f>
        <v>#VALUE!</v>
      </c>
      <c r="P92" s="85" t="e">
        <f>IF(SchmidtTheory!P190&gt;ActuatorSIZING!$G$44,SchmidtTheory!P190,"")</f>
        <v>#VALUE!</v>
      </c>
      <c r="Q92" s="85" t="e">
        <f>IF(SchmidtTheory!Q190&gt;ActuatorSIZING!$G$44,SchmidtTheory!Q190,"")</f>
        <v>#VALUE!</v>
      </c>
      <c r="R92" s="85" t="e">
        <f>IF(SchmidtTheory!R190&gt;ActuatorSIZING!$G$44,SchmidtTheory!R190,"")</f>
        <v>#VALUE!</v>
      </c>
      <c r="S92" s="85" t="e">
        <f>IF(SchmidtTheory!S190&gt;ActuatorSIZING!$G$44,SchmidtTheory!S190,"")</f>
        <v>#VALUE!</v>
      </c>
      <c r="T92" s="85" t="e">
        <f>IF(SchmidtTheory!T190&gt;ActuatorSIZING!$G$44,SchmidtTheory!T190,"")</f>
        <v>#VALUE!</v>
      </c>
      <c r="U92" s="85" t="e">
        <f>IF(SchmidtTheory!U190&gt;ActuatorSIZING!$G$44,SchmidtTheory!U190,"")</f>
        <v>#VALUE!</v>
      </c>
      <c r="V92" s="85" t="e">
        <f>IF(SchmidtTheory!V190&gt;ActuatorSIZING!$G$44,SchmidtTheory!V190,"")</f>
        <v>#VALUE!</v>
      </c>
      <c r="W92" s="85" t="e">
        <f>IF(SchmidtTheory!W190&gt;ActuatorSIZING!$G$44,SchmidtTheory!W190,"")</f>
        <v>#VALUE!</v>
      </c>
      <c r="X92" s="85" t="e">
        <f>IF(SchmidtTheory!X190&gt;ActuatorSIZING!$G$44,SchmidtTheory!X190,"")</f>
        <v>#VALUE!</v>
      </c>
      <c r="Y92" s="85" t="e">
        <f>IF(SchmidtTheory!Y190&gt;ActuatorSIZING!$G$44,SchmidtTheory!Y190,"")</f>
        <v>#VALUE!</v>
      </c>
      <c r="Z92" s="85" t="e">
        <f>IF(SchmidtTheory!Z190&gt;ActuatorSIZING!$G$44,SchmidtTheory!Z190,"")</f>
        <v>#VALUE!</v>
      </c>
      <c r="AA92" s="85" t="e">
        <f>IF(SchmidtTheory!AA190&gt;ActuatorSIZING!$G$44,SchmidtTheory!AA190,"")</f>
        <v>#VALUE!</v>
      </c>
      <c r="AB92" s="85" t="e">
        <f>IF(SchmidtTheory!AB190&gt;ActuatorSIZING!$G$44,SchmidtTheory!AB190,"")</f>
        <v>#VALUE!</v>
      </c>
      <c r="AC92" s="85" t="e">
        <f>IF(SchmidtTheory!AC190&gt;ActuatorSIZING!$G$44,SchmidtTheory!AC190,"")</f>
        <v>#VALUE!</v>
      </c>
      <c r="AD92" s="85" t="e">
        <f>IF(SchmidtTheory!AD190&gt;ActuatorSIZING!$G$44,SchmidtTheory!AD190,"")</f>
        <v>#VALUE!</v>
      </c>
      <c r="AE92" s="85" t="e">
        <f>IF(SchmidtTheory!AE190&gt;ActuatorSIZING!$G$44,SchmidtTheory!AE190,"")</f>
        <v>#VALUE!</v>
      </c>
      <c r="AF92" s="85" t="e">
        <f>IF(SchmidtTheory!AF190&gt;ActuatorSIZING!$G$44,SchmidtTheory!AF190,"")</f>
        <v>#VALUE!</v>
      </c>
      <c r="AG92" s="85" t="e">
        <f>IF(SchmidtTheory!AG190&gt;ActuatorSIZING!$G$44,SchmidtTheory!AG190,"")</f>
        <v>#VALUE!</v>
      </c>
      <c r="AH92" s="85" t="e">
        <f>IF(SchmidtTheory!AH190&gt;ActuatorSIZING!$G$44,SchmidtTheory!AH190,"")</f>
        <v>#VALUE!</v>
      </c>
      <c r="AI92" s="85" t="e">
        <f>IF(SchmidtTheory!AI190&gt;ActuatorSIZING!$G$44,SchmidtTheory!AI190,"")</f>
        <v>#VALUE!</v>
      </c>
      <c r="AJ92" s="85" t="e">
        <f>IF(SchmidtTheory!AJ190&gt;ActuatorSIZING!$G$44,SchmidtTheory!AJ190,"")</f>
        <v>#VALUE!</v>
      </c>
      <c r="AK92" s="85" t="e">
        <f>IF(SchmidtTheory!AK190&gt;ActuatorSIZING!$G$44,SchmidtTheory!AK190,"")</f>
        <v>#VALUE!</v>
      </c>
      <c r="AL92" s="85" t="e">
        <f>IF(SchmidtTheory!AL190&gt;ActuatorSIZING!$G$44,SchmidtTheory!AL190,"")</f>
        <v>#VALUE!</v>
      </c>
      <c r="AM92" s="85" t="e">
        <f>IF(SchmidtTheory!AM190&gt;ActuatorSIZING!$G$44,SchmidtTheory!AM190,"")</f>
        <v>#VALUE!</v>
      </c>
      <c r="AN92" s="85" t="e">
        <f>IF(SchmidtTheory!AN190&gt;ActuatorSIZING!$G$44,SchmidtTheory!AN190,"")</f>
        <v>#VALUE!</v>
      </c>
      <c r="AO92" s="85" t="e">
        <f>IF(SchmidtTheory!AO190&gt;ActuatorSIZING!$G$44,SchmidtTheory!AO190,"")</f>
        <v>#VALUE!</v>
      </c>
      <c r="AP92" s="85" t="e">
        <f>IF(SchmidtTheory!AP190&gt;ActuatorSIZING!$G$44,SchmidtTheory!AP190,"")</f>
        <v>#VALUE!</v>
      </c>
      <c r="AQ92" s="85" t="e">
        <f>IF(SchmidtTheory!AQ190&gt;ActuatorSIZING!$G$44,SchmidtTheory!AQ190,"")</f>
        <v>#VALUE!</v>
      </c>
      <c r="AR92" s="85" t="e">
        <f>IF(SchmidtTheory!AR190&gt;ActuatorSIZING!$G$44,SchmidtTheory!AR190,"")</f>
        <v>#VALUE!</v>
      </c>
      <c r="AS92" s="85" t="e">
        <f>IF(SchmidtTheory!AS190&gt;ActuatorSIZING!$G$44,SchmidtTheory!AS190,"")</f>
        <v>#VALUE!</v>
      </c>
      <c r="AT92" s="85" t="e">
        <f>IF(SchmidtTheory!AT190&gt;ActuatorSIZING!$G$44,SchmidtTheory!AT190,"")</f>
        <v>#VALUE!</v>
      </c>
      <c r="AU92" s="85" t="e">
        <f>IF(SchmidtTheory!AU190&gt;ActuatorSIZING!$G$44,SchmidtTheory!AU190,"")</f>
        <v>#VALUE!</v>
      </c>
      <c r="AV92" s="85" t="e">
        <f>IF(SchmidtTheory!AV190&gt;ActuatorSIZING!$G$44,SchmidtTheory!AV190,"")</f>
        <v>#VALUE!</v>
      </c>
      <c r="AW92" s="96">
        <v>60000</v>
      </c>
      <c r="AX92" s="93" t="e">
        <f>IF(AW92&gt;ActuatorSIZING!$G$44,SchmidtTheory!AW92,"")</f>
        <v>#VALUE!</v>
      </c>
      <c r="AY92" s="95" t="str">
        <f>IF(SELECTION!$P$46=SchmidtTheory!G87,SchmidtTheory!AX92,"")</f>
        <v/>
      </c>
      <c r="AZ92" s="93" t="str">
        <f>IF(SELECTION!$AJ$24&gt;(I92+0.3),SchmidtTheory!AY92,"")</f>
        <v/>
      </c>
      <c r="BA92" s="103" t="s">
        <v>94</v>
      </c>
      <c r="BB92" s="93" t="e">
        <f t="shared" si="5"/>
        <v>#VALUE!</v>
      </c>
      <c r="BC92" s="93" t="str">
        <f>IF(SELECTION!$P$46=SchmidtTheory!G87,SchmidtTheory!BB92,"")</f>
        <v/>
      </c>
      <c r="BD92" s="93" t="str">
        <f>IF(SELECTION!$AJ$24&gt;(I92+0.3),SchmidtTheory!BC92,"")</f>
        <v/>
      </c>
      <c r="BE92" s="93" t="b">
        <f t="shared" si="4"/>
        <v>0</v>
      </c>
      <c r="BF92" s="103" t="s">
        <v>94</v>
      </c>
    </row>
    <row r="93" spans="2:58" x14ac:dyDescent="0.2">
      <c r="B93" s="42" t="s">
        <v>97</v>
      </c>
      <c r="F93" s="589"/>
      <c r="G93" s="598">
        <v>100</v>
      </c>
      <c r="H93" s="102">
        <v>0.9</v>
      </c>
      <c r="I93" s="101">
        <v>1.9</v>
      </c>
      <c r="J93" s="100"/>
      <c r="K93" s="99"/>
      <c r="L93" s="98"/>
      <c r="M93" s="97"/>
      <c r="N93" s="85" t="e">
        <f>IF(SchmidtTheory!N191&gt;ActuatorSIZING!$G$44,SchmidtTheory!N191,"")</f>
        <v>#VALUE!</v>
      </c>
      <c r="O93" s="85" t="e">
        <f>IF(SchmidtTheory!O191&gt;ActuatorSIZING!$G$44,SchmidtTheory!O191,"")</f>
        <v>#VALUE!</v>
      </c>
      <c r="P93" s="85" t="e">
        <f>IF(SchmidtTheory!P191&gt;ActuatorSIZING!$G$44,SchmidtTheory!P191,"")</f>
        <v>#VALUE!</v>
      </c>
      <c r="Q93" s="85" t="e">
        <f>IF(SchmidtTheory!Q191&gt;ActuatorSIZING!$G$44,SchmidtTheory!Q191,"")</f>
        <v>#VALUE!</v>
      </c>
      <c r="R93" s="85" t="e">
        <f>IF(SchmidtTheory!R191&gt;ActuatorSIZING!$G$44,SchmidtTheory!R191,"")</f>
        <v>#VALUE!</v>
      </c>
      <c r="S93" s="85" t="e">
        <f>IF(SchmidtTheory!S191&gt;ActuatorSIZING!$G$44,SchmidtTheory!S191,"")</f>
        <v>#VALUE!</v>
      </c>
      <c r="T93" s="85" t="e">
        <f>IF(SchmidtTheory!T191&gt;ActuatorSIZING!$G$44,SchmidtTheory!T191,"")</f>
        <v>#VALUE!</v>
      </c>
      <c r="U93" s="85" t="e">
        <f>IF(SchmidtTheory!U191&gt;ActuatorSIZING!$G$44,SchmidtTheory!U191,"")</f>
        <v>#VALUE!</v>
      </c>
      <c r="V93" s="85" t="e">
        <f>IF(SchmidtTheory!V191&gt;ActuatorSIZING!$G$44,SchmidtTheory!V191,"")</f>
        <v>#VALUE!</v>
      </c>
      <c r="W93" s="85" t="e">
        <f>IF(SchmidtTheory!W191&gt;ActuatorSIZING!$G$44,SchmidtTheory!W191,"")</f>
        <v>#VALUE!</v>
      </c>
      <c r="X93" s="85" t="e">
        <f>IF(SchmidtTheory!X191&gt;ActuatorSIZING!$G$44,SchmidtTheory!X191,"")</f>
        <v>#VALUE!</v>
      </c>
      <c r="Y93" s="85" t="e">
        <f>IF(SchmidtTheory!Y191&gt;ActuatorSIZING!$G$44,SchmidtTheory!Y191,"")</f>
        <v>#VALUE!</v>
      </c>
      <c r="Z93" s="85" t="e">
        <f>IF(SchmidtTheory!Z191&gt;ActuatorSIZING!$G$44,SchmidtTheory!Z191,"")</f>
        <v>#VALUE!</v>
      </c>
      <c r="AA93" s="85" t="e">
        <f>IF(SchmidtTheory!AA191&gt;ActuatorSIZING!$G$44,SchmidtTheory!AA191,"")</f>
        <v>#VALUE!</v>
      </c>
      <c r="AB93" s="85" t="e">
        <f>IF(SchmidtTheory!AB191&gt;ActuatorSIZING!$G$44,SchmidtTheory!AB191,"")</f>
        <v>#VALUE!</v>
      </c>
      <c r="AC93" s="85" t="e">
        <f>IF(SchmidtTheory!AC191&gt;ActuatorSIZING!$G$44,SchmidtTheory!AC191,"")</f>
        <v>#VALUE!</v>
      </c>
      <c r="AD93" s="85" t="e">
        <f>IF(SchmidtTheory!AD191&gt;ActuatorSIZING!$G$44,SchmidtTheory!AD191,"")</f>
        <v>#VALUE!</v>
      </c>
      <c r="AE93" s="85" t="e">
        <f>IF(SchmidtTheory!AE191&gt;ActuatorSIZING!$G$44,SchmidtTheory!AE191,"")</f>
        <v>#VALUE!</v>
      </c>
      <c r="AF93" s="85" t="e">
        <f>IF(SchmidtTheory!AF191&gt;ActuatorSIZING!$G$44,SchmidtTheory!AF191,"")</f>
        <v>#VALUE!</v>
      </c>
      <c r="AG93" s="85" t="e">
        <f>IF(SchmidtTheory!AG191&gt;ActuatorSIZING!$G$44,SchmidtTheory!AG191,"")</f>
        <v>#VALUE!</v>
      </c>
      <c r="AH93" s="85" t="e">
        <f>IF(SchmidtTheory!AH191&gt;ActuatorSIZING!$G$44,SchmidtTheory!AH191,"")</f>
        <v>#VALUE!</v>
      </c>
      <c r="AI93" s="85" t="e">
        <f>IF(SchmidtTheory!AI191&gt;ActuatorSIZING!$G$44,SchmidtTheory!AI191,"")</f>
        <v>#VALUE!</v>
      </c>
      <c r="AJ93" s="85" t="e">
        <f>IF(SchmidtTheory!AJ191&gt;ActuatorSIZING!$G$44,SchmidtTheory!AJ191,"")</f>
        <v>#VALUE!</v>
      </c>
      <c r="AK93" s="85" t="e">
        <f>IF(SchmidtTheory!AK191&gt;ActuatorSIZING!$G$44,SchmidtTheory!AK191,"")</f>
        <v>#VALUE!</v>
      </c>
      <c r="AL93" s="85" t="e">
        <f>IF(SchmidtTheory!AL191&gt;ActuatorSIZING!$G$44,SchmidtTheory!AL191,"")</f>
        <v>#VALUE!</v>
      </c>
      <c r="AM93" s="85" t="e">
        <f>IF(SchmidtTheory!AM191&gt;ActuatorSIZING!$G$44,SchmidtTheory!AM191,"")</f>
        <v>#VALUE!</v>
      </c>
      <c r="AN93" s="85" t="e">
        <f>IF(SchmidtTheory!AN191&gt;ActuatorSIZING!$G$44,SchmidtTheory!AN191,"")</f>
        <v>#VALUE!</v>
      </c>
      <c r="AO93" s="85" t="e">
        <f>IF(SchmidtTheory!AO191&gt;ActuatorSIZING!$G$44,SchmidtTheory!AO191,"")</f>
        <v>#VALUE!</v>
      </c>
      <c r="AP93" s="85" t="e">
        <f>IF(SchmidtTheory!AP191&gt;ActuatorSIZING!$G$44,SchmidtTheory!AP191,"")</f>
        <v>#VALUE!</v>
      </c>
      <c r="AQ93" s="85" t="e">
        <f>IF(SchmidtTheory!AQ191&gt;ActuatorSIZING!$G$44,SchmidtTheory!AQ191,"")</f>
        <v>#VALUE!</v>
      </c>
      <c r="AR93" s="85" t="e">
        <f>IF(SchmidtTheory!AR191&gt;ActuatorSIZING!$G$44,SchmidtTheory!AR191,"")</f>
        <v>#VALUE!</v>
      </c>
      <c r="AS93" s="85" t="e">
        <f>IF(SchmidtTheory!AS191&gt;ActuatorSIZING!$G$44,SchmidtTheory!AS191,"")</f>
        <v>#VALUE!</v>
      </c>
      <c r="AT93" s="85" t="e">
        <f>IF(SchmidtTheory!AT191&gt;ActuatorSIZING!$G$44,SchmidtTheory!AT191,"")</f>
        <v>#VALUE!</v>
      </c>
      <c r="AU93" s="85" t="e">
        <f>IF(SchmidtTheory!AU191&gt;ActuatorSIZING!$G$44,SchmidtTheory!AU191,"")</f>
        <v>#VALUE!</v>
      </c>
      <c r="AV93" s="85" t="e">
        <f>IF(SchmidtTheory!AV191&gt;ActuatorSIZING!$G$44,SchmidtTheory!AV191,"")</f>
        <v>#VALUE!</v>
      </c>
      <c r="AW93" s="96"/>
      <c r="AX93" s="93" t="e">
        <f>IF(AW93&gt;ActuatorSIZING!$G$44,SchmidtTheory!AW93,"")</f>
        <v>#VALUE!</v>
      </c>
      <c r="AY93" s="95" t="str">
        <f>IF(SELECTION!$P$46=SchmidtTheory!G93,SchmidtTheory!AX93,"")</f>
        <v/>
      </c>
      <c r="AZ93" s="93" t="str">
        <f>IF(SELECTION!$AJ$24&gt;(I93+0.3),SchmidtTheory!AY93,"")</f>
        <v/>
      </c>
      <c r="BA93" s="92"/>
      <c r="BB93" s="94"/>
      <c r="BC93" s="93" t="str">
        <f>IF(SELECTION!$P$46=SchmidtTheory!G93,SchmidtTheory!BB93,"")</f>
        <v/>
      </c>
      <c r="BD93" s="93" t="str">
        <f>IF(SELECTION!$AJ$24&gt;(I93+0.3),SchmidtTheory!BC93,"")</f>
        <v/>
      </c>
      <c r="BE93" s="93" t="b">
        <f t="shared" si="4"/>
        <v>0</v>
      </c>
      <c r="BF93" s="92"/>
    </row>
    <row r="94" spans="2:58" x14ac:dyDescent="0.2">
      <c r="B94" s="42" t="s">
        <v>95</v>
      </c>
      <c r="F94" s="589"/>
      <c r="G94" s="598"/>
      <c r="H94" s="102">
        <v>1.2</v>
      </c>
      <c r="I94" s="101">
        <v>2.6</v>
      </c>
      <c r="J94" s="100"/>
      <c r="K94" s="99"/>
      <c r="L94" s="98"/>
      <c r="M94" s="97"/>
      <c r="N94" s="85" t="e">
        <f>IF(SchmidtTheory!N192&gt;ActuatorSIZING!$G$44,SchmidtTheory!N192,"")</f>
        <v>#VALUE!</v>
      </c>
      <c r="O94" s="85" t="e">
        <f>IF(SchmidtTheory!O192&gt;ActuatorSIZING!$G$44,SchmidtTheory!O192,"")</f>
        <v>#VALUE!</v>
      </c>
      <c r="P94" s="85" t="e">
        <f>IF(SchmidtTheory!P192&gt;ActuatorSIZING!$G$44,SchmidtTheory!P192,"")</f>
        <v>#VALUE!</v>
      </c>
      <c r="Q94" s="85" t="e">
        <f>IF(SchmidtTheory!Q192&gt;ActuatorSIZING!$G$44,SchmidtTheory!Q192,"")</f>
        <v>#VALUE!</v>
      </c>
      <c r="R94" s="85" t="e">
        <f>IF(SchmidtTheory!R192&gt;ActuatorSIZING!$G$44,SchmidtTheory!R192,"")</f>
        <v>#VALUE!</v>
      </c>
      <c r="S94" s="85" t="e">
        <f>IF(SchmidtTheory!S192&gt;ActuatorSIZING!$G$44,SchmidtTheory!S192,"")</f>
        <v>#VALUE!</v>
      </c>
      <c r="T94" s="85" t="e">
        <f>IF(SchmidtTheory!T192&gt;ActuatorSIZING!$G$44,SchmidtTheory!T192,"")</f>
        <v>#VALUE!</v>
      </c>
      <c r="U94" s="85" t="e">
        <f>IF(SchmidtTheory!U192&gt;ActuatorSIZING!$G$44,SchmidtTheory!U192,"")</f>
        <v>#VALUE!</v>
      </c>
      <c r="V94" s="85" t="e">
        <f>IF(SchmidtTheory!V192&gt;ActuatorSIZING!$G$44,SchmidtTheory!V192,"")</f>
        <v>#VALUE!</v>
      </c>
      <c r="W94" s="85" t="e">
        <f>IF(SchmidtTheory!W192&gt;ActuatorSIZING!$G$44,SchmidtTheory!W192,"")</f>
        <v>#VALUE!</v>
      </c>
      <c r="X94" s="85" t="e">
        <f>IF(SchmidtTheory!X192&gt;ActuatorSIZING!$G$44,SchmidtTheory!X192,"")</f>
        <v>#VALUE!</v>
      </c>
      <c r="Y94" s="85" t="e">
        <f>IF(SchmidtTheory!Y192&gt;ActuatorSIZING!$G$44,SchmidtTheory!Y192,"")</f>
        <v>#VALUE!</v>
      </c>
      <c r="Z94" s="85" t="e">
        <f>IF(SchmidtTheory!Z192&gt;ActuatorSIZING!$G$44,SchmidtTheory!Z192,"")</f>
        <v>#VALUE!</v>
      </c>
      <c r="AA94" s="85" t="e">
        <f>IF(SchmidtTheory!AA192&gt;ActuatorSIZING!$G$44,SchmidtTheory!AA192,"")</f>
        <v>#VALUE!</v>
      </c>
      <c r="AB94" s="85" t="e">
        <f>IF(SchmidtTheory!AB192&gt;ActuatorSIZING!$G$44,SchmidtTheory!AB192,"")</f>
        <v>#VALUE!</v>
      </c>
      <c r="AC94" s="85" t="e">
        <f>IF(SchmidtTheory!AC192&gt;ActuatorSIZING!$G$44,SchmidtTheory!AC192,"")</f>
        <v>#VALUE!</v>
      </c>
      <c r="AD94" s="85" t="e">
        <f>IF(SchmidtTheory!AD192&gt;ActuatorSIZING!$G$44,SchmidtTheory!AD192,"")</f>
        <v>#VALUE!</v>
      </c>
      <c r="AE94" s="85" t="e">
        <f>IF(SchmidtTheory!AE192&gt;ActuatorSIZING!$G$44,SchmidtTheory!AE192,"")</f>
        <v>#VALUE!</v>
      </c>
      <c r="AF94" s="85" t="e">
        <f>IF(SchmidtTheory!AF192&gt;ActuatorSIZING!$G$44,SchmidtTheory!AF192,"")</f>
        <v>#VALUE!</v>
      </c>
      <c r="AG94" s="85" t="e">
        <f>IF(SchmidtTheory!AG192&gt;ActuatorSIZING!$G$44,SchmidtTheory!AG192,"")</f>
        <v>#VALUE!</v>
      </c>
      <c r="AH94" s="85" t="e">
        <f>IF(SchmidtTheory!AH192&gt;ActuatorSIZING!$G$44,SchmidtTheory!AH192,"")</f>
        <v>#VALUE!</v>
      </c>
      <c r="AI94" s="85" t="e">
        <f>IF(SchmidtTheory!AI192&gt;ActuatorSIZING!$G$44,SchmidtTheory!AI192,"")</f>
        <v>#VALUE!</v>
      </c>
      <c r="AJ94" s="85" t="e">
        <f>IF(SchmidtTheory!AJ192&gt;ActuatorSIZING!$G$44,SchmidtTheory!AJ192,"")</f>
        <v>#VALUE!</v>
      </c>
      <c r="AK94" s="85" t="e">
        <f>IF(SchmidtTheory!AK192&gt;ActuatorSIZING!$G$44,SchmidtTheory!AK192,"")</f>
        <v>#VALUE!</v>
      </c>
      <c r="AL94" s="85" t="e">
        <f>IF(SchmidtTheory!AL192&gt;ActuatorSIZING!$G$44,SchmidtTheory!AL192,"")</f>
        <v>#VALUE!</v>
      </c>
      <c r="AM94" s="85" t="e">
        <f>IF(SchmidtTheory!AM192&gt;ActuatorSIZING!$G$44,SchmidtTheory!AM192,"")</f>
        <v>#VALUE!</v>
      </c>
      <c r="AN94" s="85" t="e">
        <f>IF(SchmidtTheory!AN192&gt;ActuatorSIZING!$G$44,SchmidtTheory!AN192,"")</f>
        <v>#VALUE!</v>
      </c>
      <c r="AO94" s="85" t="e">
        <f>IF(SchmidtTheory!AO192&gt;ActuatorSIZING!$G$44,SchmidtTheory!AO192,"")</f>
        <v>#VALUE!</v>
      </c>
      <c r="AP94" s="85" t="e">
        <f>IF(SchmidtTheory!AP192&gt;ActuatorSIZING!$G$44,SchmidtTheory!AP192,"")</f>
        <v>#VALUE!</v>
      </c>
      <c r="AQ94" s="85" t="e">
        <f>IF(SchmidtTheory!AQ192&gt;ActuatorSIZING!$G$44,SchmidtTheory!AQ192,"")</f>
        <v>#VALUE!</v>
      </c>
      <c r="AR94" s="85" t="e">
        <f>IF(SchmidtTheory!AR192&gt;ActuatorSIZING!$G$44,SchmidtTheory!AR192,"")</f>
        <v>#VALUE!</v>
      </c>
      <c r="AS94" s="85" t="e">
        <f>IF(SchmidtTheory!AS192&gt;ActuatorSIZING!$G$44,SchmidtTheory!AS192,"")</f>
        <v>#VALUE!</v>
      </c>
      <c r="AT94" s="85" t="e">
        <f>IF(SchmidtTheory!AT192&gt;ActuatorSIZING!$G$44,SchmidtTheory!AT192,"")</f>
        <v>#VALUE!</v>
      </c>
      <c r="AU94" s="85" t="e">
        <f>IF(SchmidtTheory!AU192&gt;ActuatorSIZING!$G$44,SchmidtTheory!AU192,"")</f>
        <v>#VALUE!</v>
      </c>
      <c r="AV94" s="85" t="e">
        <f>IF(SchmidtTheory!AV192&gt;ActuatorSIZING!$G$44,SchmidtTheory!AV192,"")</f>
        <v>#VALUE!</v>
      </c>
      <c r="AW94" s="96"/>
      <c r="AX94" s="93" t="e">
        <f>IF(AW94&gt;ActuatorSIZING!$G$44,SchmidtTheory!AW94,"")</f>
        <v>#VALUE!</v>
      </c>
      <c r="AY94" s="95" t="str">
        <f>IF(SELECTION!$P$46=SchmidtTheory!G93,SchmidtTheory!AX94,"")</f>
        <v/>
      </c>
      <c r="AZ94" s="93" t="str">
        <f>IF(SELECTION!$AJ$24&gt;(I94+0.3),SchmidtTheory!AY94,"")</f>
        <v/>
      </c>
      <c r="BA94" s="92"/>
      <c r="BB94" s="94"/>
      <c r="BC94" s="93" t="str">
        <f>IF(SELECTION!$P$46=SchmidtTheory!G94,SchmidtTheory!BB94,"")</f>
        <v/>
      </c>
      <c r="BD94" s="93" t="str">
        <f>IF(SELECTION!$AJ$24&gt;(I94+0.3),SchmidtTheory!BC94,"")</f>
        <v/>
      </c>
      <c r="BE94" s="93" t="b">
        <f t="shared" si="4"/>
        <v>0</v>
      </c>
      <c r="BF94" s="92"/>
    </row>
    <row r="95" spans="2:58" x14ac:dyDescent="0.2">
      <c r="B95" s="42" t="s">
        <v>93</v>
      </c>
      <c r="F95" s="589"/>
      <c r="G95" s="598"/>
      <c r="H95" s="102">
        <v>1.8</v>
      </c>
      <c r="I95" s="101">
        <v>3.8</v>
      </c>
      <c r="J95" s="100"/>
      <c r="K95" s="99"/>
      <c r="L95" s="98"/>
      <c r="M95" s="97"/>
      <c r="N95" s="85" t="e">
        <f>IF(SchmidtTheory!N193&gt;ActuatorSIZING!$G$44,SchmidtTheory!N193,"")</f>
        <v>#VALUE!</v>
      </c>
      <c r="O95" s="85" t="e">
        <f>IF(SchmidtTheory!O193&gt;ActuatorSIZING!$G$44,SchmidtTheory!O193,"")</f>
        <v>#VALUE!</v>
      </c>
      <c r="P95" s="85" t="e">
        <f>IF(SchmidtTheory!P193&gt;ActuatorSIZING!$G$44,SchmidtTheory!P193,"")</f>
        <v>#VALUE!</v>
      </c>
      <c r="Q95" s="85" t="e">
        <f>IF(SchmidtTheory!Q193&gt;ActuatorSIZING!$G$44,SchmidtTheory!Q193,"")</f>
        <v>#VALUE!</v>
      </c>
      <c r="R95" s="85" t="e">
        <f>IF(SchmidtTheory!R193&gt;ActuatorSIZING!$G$44,SchmidtTheory!R193,"")</f>
        <v>#VALUE!</v>
      </c>
      <c r="S95" s="85" t="e">
        <f>IF(SchmidtTheory!S193&gt;ActuatorSIZING!$G$44,SchmidtTheory!S193,"")</f>
        <v>#VALUE!</v>
      </c>
      <c r="T95" s="85" t="e">
        <f>IF(SchmidtTheory!T193&gt;ActuatorSIZING!$G$44,SchmidtTheory!T193,"")</f>
        <v>#VALUE!</v>
      </c>
      <c r="U95" s="85" t="e">
        <f>IF(SchmidtTheory!U193&gt;ActuatorSIZING!$G$44,SchmidtTheory!U193,"")</f>
        <v>#VALUE!</v>
      </c>
      <c r="V95" s="85" t="e">
        <f>IF(SchmidtTheory!V193&gt;ActuatorSIZING!$G$44,SchmidtTheory!V193,"")</f>
        <v>#VALUE!</v>
      </c>
      <c r="W95" s="85" t="e">
        <f>IF(SchmidtTheory!W193&gt;ActuatorSIZING!$G$44,SchmidtTheory!W193,"")</f>
        <v>#VALUE!</v>
      </c>
      <c r="X95" s="85" t="e">
        <f>IF(SchmidtTheory!X193&gt;ActuatorSIZING!$G$44,SchmidtTheory!X193,"")</f>
        <v>#VALUE!</v>
      </c>
      <c r="Y95" s="85" t="e">
        <f>IF(SchmidtTheory!Y193&gt;ActuatorSIZING!$G$44,SchmidtTheory!Y193,"")</f>
        <v>#VALUE!</v>
      </c>
      <c r="Z95" s="85" t="e">
        <f>IF(SchmidtTheory!Z193&gt;ActuatorSIZING!$G$44,SchmidtTheory!Z193,"")</f>
        <v>#VALUE!</v>
      </c>
      <c r="AA95" s="85" t="e">
        <f>IF(SchmidtTheory!AA193&gt;ActuatorSIZING!$G$44,SchmidtTheory!AA193,"")</f>
        <v>#VALUE!</v>
      </c>
      <c r="AB95" s="85" t="e">
        <f>IF(SchmidtTheory!AB193&gt;ActuatorSIZING!$G$44,SchmidtTheory!AB193,"")</f>
        <v>#VALUE!</v>
      </c>
      <c r="AC95" s="85" t="e">
        <f>IF(SchmidtTheory!AC193&gt;ActuatorSIZING!$G$44,SchmidtTheory!AC193,"")</f>
        <v>#VALUE!</v>
      </c>
      <c r="AD95" s="85" t="e">
        <f>IF(SchmidtTheory!AD193&gt;ActuatorSIZING!$G$44,SchmidtTheory!AD193,"")</f>
        <v>#VALUE!</v>
      </c>
      <c r="AE95" s="85" t="e">
        <f>IF(SchmidtTheory!AE193&gt;ActuatorSIZING!$G$44,SchmidtTheory!AE193,"")</f>
        <v>#VALUE!</v>
      </c>
      <c r="AF95" s="85" t="e">
        <f>IF(SchmidtTheory!AF193&gt;ActuatorSIZING!$G$44,SchmidtTheory!AF193,"")</f>
        <v>#VALUE!</v>
      </c>
      <c r="AG95" s="85" t="e">
        <f>IF(SchmidtTheory!AG193&gt;ActuatorSIZING!$G$44,SchmidtTheory!AG193,"")</f>
        <v>#VALUE!</v>
      </c>
      <c r="AH95" s="85" t="e">
        <f>IF(SchmidtTheory!AH193&gt;ActuatorSIZING!$G$44,SchmidtTheory!AH193,"")</f>
        <v>#VALUE!</v>
      </c>
      <c r="AI95" s="85" t="e">
        <f>IF(SchmidtTheory!AI193&gt;ActuatorSIZING!$G$44,SchmidtTheory!AI193,"")</f>
        <v>#VALUE!</v>
      </c>
      <c r="AJ95" s="85" t="e">
        <f>IF(SchmidtTheory!AJ193&gt;ActuatorSIZING!$G$44,SchmidtTheory!AJ193,"")</f>
        <v>#VALUE!</v>
      </c>
      <c r="AK95" s="85" t="e">
        <f>IF(SchmidtTheory!AK193&gt;ActuatorSIZING!$G$44,SchmidtTheory!AK193,"")</f>
        <v>#VALUE!</v>
      </c>
      <c r="AL95" s="85" t="e">
        <f>IF(SchmidtTheory!AL193&gt;ActuatorSIZING!$G$44,SchmidtTheory!AL193,"")</f>
        <v>#VALUE!</v>
      </c>
      <c r="AM95" s="85" t="e">
        <f>IF(SchmidtTheory!AM193&gt;ActuatorSIZING!$G$44,SchmidtTheory!AM193,"")</f>
        <v>#VALUE!</v>
      </c>
      <c r="AN95" s="85" t="e">
        <f>IF(SchmidtTheory!AN193&gt;ActuatorSIZING!$G$44,SchmidtTheory!AN193,"")</f>
        <v>#VALUE!</v>
      </c>
      <c r="AO95" s="85" t="e">
        <f>IF(SchmidtTheory!AO193&gt;ActuatorSIZING!$G$44,SchmidtTheory!AO193,"")</f>
        <v>#VALUE!</v>
      </c>
      <c r="AP95" s="85" t="e">
        <f>IF(SchmidtTheory!AP193&gt;ActuatorSIZING!$G$44,SchmidtTheory!AP193,"")</f>
        <v>#VALUE!</v>
      </c>
      <c r="AQ95" s="85" t="e">
        <f>IF(SchmidtTheory!AQ193&gt;ActuatorSIZING!$G$44,SchmidtTheory!AQ193,"")</f>
        <v>#VALUE!</v>
      </c>
      <c r="AR95" s="85" t="e">
        <f>IF(SchmidtTheory!AR193&gt;ActuatorSIZING!$G$44,SchmidtTheory!AR193,"")</f>
        <v>#VALUE!</v>
      </c>
      <c r="AS95" s="85" t="e">
        <f>IF(SchmidtTheory!AS193&gt;ActuatorSIZING!$G$44,SchmidtTheory!AS193,"")</f>
        <v>#VALUE!</v>
      </c>
      <c r="AT95" s="85" t="e">
        <f>IF(SchmidtTheory!AT193&gt;ActuatorSIZING!$G$44,SchmidtTheory!AT193,"")</f>
        <v>#VALUE!</v>
      </c>
      <c r="AU95" s="85" t="e">
        <f>IF(SchmidtTheory!AU193&gt;ActuatorSIZING!$G$44,SchmidtTheory!AU193,"")</f>
        <v>#VALUE!</v>
      </c>
      <c r="AV95" s="85" t="e">
        <f>IF(SchmidtTheory!AV193&gt;ActuatorSIZING!$G$44,SchmidtTheory!AV193,"")</f>
        <v>#VALUE!</v>
      </c>
      <c r="AW95" s="96"/>
      <c r="AX95" s="93" t="e">
        <f>IF(AW95&gt;ActuatorSIZING!$G$44,SchmidtTheory!AW95,"")</f>
        <v>#VALUE!</v>
      </c>
      <c r="AY95" s="95" t="str">
        <f>IF(SELECTION!$P$46=SchmidtTheory!G93,SchmidtTheory!AX95,"")</f>
        <v/>
      </c>
      <c r="AZ95" s="93" t="str">
        <f>IF(SELECTION!$AJ$24&gt;(I95+0.3),SchmidtTheory!AY95,"")</f>
        <v/>
      </c>
      <c r="BA95" s="92"/>
      <c r="BB95" s="94"/>
      <c r="BC95" s="93" t="str">
        <f>IF(SELECTION!$P$46=SchmidtTheory!G95,SchmidtTheory!BB95,"")</f>
        <v/>
      </c>
      <c r="BD95" s="93" t="str">
        <f>IF(SELECTION!$AJ$24&gt;(I95+0.3),SchmidtTheory!BC95,"")</f>
        <v/>
      </c>
      <c r="BE95" s="93" t="b">
        <f t="shared" si="4"/>
        <v>0</v>
      </c>
      <c r="BF95" s="92"/>
    </row>
    <row r="96" spans="2:58" ht="13.5" thickBot="1" x14ac:dyDescent="0.25">
      <c r="B96" s="42" t="s">
        <v>84</v>
      </c>
      <c r="F96" s="607"/>
      <c r="G96" s="608"/>
      <c r="H96" s="91">
        <v>2</v>
      </c>
      <c r="I96" s="90">
        <v>4.3</v>
      </c>
      <c r="J96" s="89"/>
      <c r="K96" s="88"/>
      <c r="L96" s="87"/>
      <c r="M96" s="86"/>
      <c r="N96" s="85" t="e">
        <f>IF(SchmidtTheory!N194&gt;ActuatorSIZING!$G$44,SchmidtTheory!N194,"")</f>
        <v>#VALUE!</v>
      </c>
      <c r="O96" s="85" t="e">
        <f>IF(SchmidtTheory!O194&gt;ActuatorSIZING!$G$44,SchmidtTheory!O194,"")</f>
        <v>#VALUE!</v>
      </c>
      <c r="P96" s="85" t="e">
        <f>IF(SchmidtTheory!P194&gt;ActuatorSIZING!$G$44,SchmidtTheory!P194,"")</f>
        <v>#VALUE!</v>
      </c>
      <c r="Q96" s="85" t="e">
        <f>IF(SchmidtTheory!Q194&gt;ActuatorSIZING!$G$44,SchmidtTheory!Q194,"")</f>
        <v>#VALUE!</v>
      </c>
      <c r="R96" s="85" t="e">
        <f>IF(SchmidtTheory!R194&gt;ActuatorSIZING!$G$44,SchmidtTheory!R194,"")</f>
        <v>#VALUE!</v>
      </c>
      <c r="S96" s="85" t="e">
        <f>IF(SchmidtTheory!S194&gt;ActuatorSIZING!$G$44,SchmidtTheory!S194,"")</f>
        <v>#VALUE!</v>
      </c>
      <c r="T96" s="85" t="e">
        <f>IF(SchmidtTheory!T194&gt;ActuatorSIZING!$G$44,SchmidtTheory!T194,"")</f>
        <v>#VALUE!</v>
      </c>
      <c r="U96" s="85" t="e">
        <f>IF(SchmidtTheory!U194&gt;ActuatorSIZING!$G$44,SchmidtTheory!U194,"")</f>
        <v>#VALUE!</v>
      </c>
      <c r="V96" s="85" t="e">
        <f>IF(SchmidtTheory!V194&gt;ActuatorSIZING!$G$44,SchmidtTheory!V194,"")</f>
        <v>#VALUE!</v>
      </c>
      <c r="W96" s="85" t="e">
        <f>IF(SchmidtTheory!W194&gt;ActuatorSIZING!$G$44,SchmidtTheory!W194,"")</f>
        <v>#VALUE!</v>
      </c>
      <c r="X96" s="85" t="e">
        <f>IF(SchmidtTheory!X194&gt;ActuatorSIZING!$G$44,SchmidtTheory!X194,"")</f>
        <v>#VALUE!</v>
      </c>
      <c r="Y96" s="85" t="e">
        <f>IF(SchmidtTheory!Y194&gt;ActuatorSIZING!$G$44,SchmidtTheory!Y194,"")</f>
        <v>#VALUE!</v>
      </c>
      <c r="Z96" s="85" t="e">
        <f>IF(SchmidtTheory!Z194&gt;ActuatorSIZING!$G$44,SchmidtTheory!Z194,"")</f>
        <v>#VALUE!</v>
      </c>
      <c r="AA96" s="85" t="e">
        <f>IF(SchmidtTheory!AA194&gt;ActuatorSIZING!$G$44,SchmidtTheory!AA194,"")</f>
        <v>#VALUE!</v>
      </c>
      <c r="AB96" s="85" t="e">
        <f>IF(SchmidtTheory!AB194&gt;ActuatorSIZING!$G$44,SchmidtTheory!AB194,"")</f>
        <v>#VALUE!</v>
      </c>
      <c r="AC96" s="85" t="e">
        <f>IF(SchmidtTheory!AC194&gt;ActuatorSIZING!$G$44,SchmidtTheory!AC194,"")</f>
        <v>#VALUE!</v>
      </c>
      <c r="AD96" s="85" t="e">
        <f>IF(SchmidtTheory!AD194&gt;ActuatorSIZING!$G$44,SchmidtTheory!AD194,"")</f>
        <v>#VALUE!</v>
      </c>
      <c r="AE96" s="85" t="e">
        <f>IF(SchmidtTheory!AE194&gt;ActuatorSIZING!$G$44,SchmidtTheory!AE194,"")</f>
        <v>#VALUE!</v>
      </c>
      <c r="AF96" s="85" t="e">
        <f>IF(SchmidtTheory!AF194&gt;ActuatorSIZING!$G$44,SchmidtTheory!AF194,"")</f>
        <v>#VALUE!</v>
      </c>
      <c r="AG96" s="85" t="e">
        <f>IF(SchmidtTheory!AG194&gt;ActuatorSIZING!$G$44,SchmidtTheory!AG194,"")</f>
        <v>#VALUE!</v>
      </c>
      <c r="AH96" s="85" t="e">
        <f>IF(SchmidtTheory!AH194&gt;ActuatorSIZING!$G$44,SchmidtTheory!AH194,"")</f>
        <v>#VALUE!</v>
      </c>
      <c r="AI96" s="85" t="e">
        <f>IF(SchmidtTheory!AI194&gt;ActuatorSIZING!$G$44,SchmidtTheory!AI194,"")</f>
        <v>#VALUE!</v>
      </c>
      <c r="AJ96" s="85" t="e">
        <f>IF(SchmidtTheory!AJ194&gt;ActuatorSIZING!$G$44,SchmidtTheory!AJ194,"")</f>
        <v>#VALUE!</v>
      </c>
      <c r="AK96" s="85" t="e">
        <f>IF(SchmidtTheory!AK194&gt;ActuatorSIZING!$G$44,SchmidtTheory!AK194,"")</f>
        <v>#VALUE!</v>
      </c>
      <c r="AL96" s="85" t="e">
        <f>IF(SchmidtTheory!AL194&gt;ActuatorSIZING!$G$44,SchmidtTheory!AL194,"")</f>
        <v>#VALUE!</v>
      </c>
      <c r="AM96" s="85" t="e">
        <f>IF(SchmidtTheory!AM194&gt;ActuatorSIZING!$G$44,SchmidtTheory!AM194,"")</f>
        <v>#VALUE!</v>
      </c>
      <c r="AN96" s="85" t="e">
        <f>IF(SchmidtTheory!AN194&gt;ActuatorSIZING!$G$44,SchmidtTheory!AN194,"")</f>
        <v>#VALUE!</v>
      </c>
      <c r="AO96" s="85" t="e">
        <f>IF(SchmidtTheory!AO194&gt;ActuatorSIZING!$G$44,SchmidtTheory!AO194,"")</f>
        <v>#VALUE!</v>
      </c>
      <c r="AP96" s="85" t="e">
        <f>IF(SchmidtTheory!AP194&gt;ActuatorSIZING!$G$44,SchmidtTheory!AP194,"")</f>
        <v>#VALUE!</v>
      </c>
      <c r="AQ96" s="85" t="e">
        <f>IF(SchmidtTheory!AQ194&gt;ActuatorSIZING!$G$44,SchmidtTheory!AQ194,"")</f>
        <v>#VALUE!</v>
      </c>
      <c r="AR96" s="85" t="e">
        <f>IF(SchmidtTheory!AR194&gt;ActuatorSIZING!$G$44,SchmidtTheory!AR194,"")</f>
        <v>#VALUE!</v>
      </c>
      <c r="AS96" s="85" t="e">
        <f>IF(SchmidtTheory!AS194&gt;ActuatorSIZING!$G$44,SchmidtTheory!AS194,"")</f>
        <v>#VALUE!</v>
      </c>
      <c r="AT96" s="85" t="e">
        <f>IF(SchmidtTheory!AT194&gt;ActuatorSIZING!$G$44,SchmidtTheory!AT194,"")</f>
        <v>#VALUE!</v>
      </c>
      <c r="AU96" s="85" t="e">
        <f>IF(SchmidtTheory!AU194&gt;ActuatorSIZING!$G$44,SchmidtTheory!AU194,"")</f>
        <v>#VALUE!</v>
      </c>
      <c r="AV96" s="85" t="e">
        <f>IF(SchmidtTheory!AV194&gt;ActuatorSIZING!$G$44,SchmidtTheory!AV194,"")</f>
        <v>#VALUE!</v>
      </c>
      <c r="AW96" s="84"/>
      <c r="AX96" s="81" t="e">
        <f>IF(AW96&gt;ActuatorSIZING!$G$44,SchmidtTheory!AW96,"")</f>
        <v>#VALUE!</v>
      </c>
      <c r="AY96" s="83" t="str">
        <f>IF(SELECTION!$P$46=SchmidtTheory!G93,SchmidtTheory!AX96,"")</f>
        <v/>
      </c>
      <c r="AZ96" s="81" t="str">
        <f>IF(SELECTION!$AJ$24&gt;(I96+0.3),SchmidtTheory!AY96,"")</f>
        <v/>
      </c>
      <c r="BA96" s="81"/>
      <c r="BB96" s="82"/>
      <c r="BC96" s="81" t="str">
        <f>IF(SELECTION!$P$46=SchmidtTheory!G96,SchmidtTheory!BB96,"")</f>
        <v/>
      </c>
      <c r="BD96" s="81" t="str">
        <f>IF(SELECTION!$AJ$24&gt;(I96+0.3),SchmidtTheory!BC96,"")</f>
        <v/>
      </c>
      <c r="BE96" s="81" t="b">
        <f t="shared" si="4"/>
        <v>0</v>
      </c>
      <c r="BF96" s="81"/>
    </row>
    <row r="97" spans="2:49" x14ac:dyDescent="0.2">
      <c r="B97" s="42" t="s">
        <v>92</v>
      </c>
    </row>
    <row r="98" spans="2:49" ht="15" x14ac:dyDescent="0.25">
      <c r="B98" s="42" t="s">
        <v>91</v>
      </c>
      <c r="F98" s="80" t="s">
        <v>89</v>
      </c>
    </row>
    <row r="99" spans="2:49" ht="15" x14ac:dyDescent="0.25">
      <c r="B99" s="42" t="s">
        <v>90</v>
      </c>
      <c r="F99" s="80" t="s">
        <v>87</v>
      </c>
    </row>
    <row r="101" spans="2:49" ht="13.5" thickBot="1" x14ac:dyDescent="0.25">
      <c r="B101" s="46" t="s">
        <v>88</v>
      </c>
    </row>
    <row r="102" spans="2:49" ht="16.5" thickBot="1" x14ac:dyDescent="0.3">
      <c r="B102" s="42" t="s">
        <v>86</v>
      </c>
      <c r="F102" s="577" t="s">
        <v>83</v>
      </c>
      <c r="G102" s="578"/>
      <c r="H102" s="578"/>
      <c r="I102" s="578"/>
      <c r="J102" s="578"/>
      <c r="K102" s="578"/>
      <c r="L102" s="578"/>
      <c r="M102" s="578"/>
      <c r="N102" s="578"/>
      <c r="O102" s="578"/>
      <c r="P102" s="578"/>
      <c r="Q102" s="578"/>
      <c r="R102" s="578"/>
      <c r="S102" s="578"/>
      <c r="T102" s="578"/>
      <c r="U102" s="578"/>
      <c r="V102" s="578"/>
      <c r="W102" s="578"/>
      <c r="X102" s="578"/>
      <c r="Y102" s="578"/>
      <c r="Z102" s="578"/>
      <c r="AA102" s="578"/>
      <c r="AB102" s="578"/>
      <c r="AC102" s="578"/>
      <c r="AD102" s="578"/>
      <c r="AE102" s="578"/>
      <c r="AF102" s="578"/>
      <c r="AG102" s="578"/>
      <c r="AH102" s="578"/>
      <c r="AI102" s="578"/>
      <c r="AJ102" s="578"/>
      <c r="AK102" s="578"/>
      <c r="AL102" s="578"/>
      <c r="AM102" s="578"/>
      <c r="AN102" s="578"/>
      <c r="AO102" s="578"/>
      <c r="AP102" s="578"/>
      <c r="AQ102" s="578"/>
      <c r="AR102" s="578"/>
      <c r="AS102" s="578"/>
      <c r="AT102" s="578"/>
      <c r="AU102" s="578"/>
      <c r="AV102" s="578"/>
      <c r="AW102" s="579"/>
    </row>
    <row r="103" spans="2:49" ht="38.25" x14ac:dyDescent="0.2">
      <c r="B103" s="46" t="s">
        <v>85</v>
      </c>
      <c r="F103" s="71" t="s">
        <v>82</v>
      </c>
      <c r="G103" s="79" t="s">
        <v>81</v>
      </c>
      <c r="H103" s="580" t="s">
        <v>80</v>
      </c>
      <c r="I103" s="581"/>
      <c r="J103" s="582" t="s">
        <v>79</v>
      </c>
      <c r="K103" s="583"/>
      <c r="L103" s="584" t="s">
        <v>78</v>
      </c>
      <c r="M103" s="584"/>
      <c r="N103" s="584"/>
      <c r="O103" s="584"/>
      <c r="P103" s="584"/>
      <c r="Q103" s="584"/>
      <c r="R103" s="584"/>
      <c r="S103" s="584"/>
      <c r="T103" s="584"/>
      <c r="U103" s="584"/>
      <c r="V103" s="584"/>
      <c r="W103" s="584"/>
      <c r="X103" s="584"/>
      <c r="Y103" s="584"/>
      <c r="Z103" s="584"/>
      <c r="AA103" s="584"/>
      <c r="AB103" s="584"/>
      <c r="AC103" s="584"/>
      <c r="AD103" s="584"/>
      <c r="AE103" s="584"/>
      <c r="AF103" s="584"/>
      <c r="AG103" s="584"/>
      <c r="AH103" s="584"/>
      <c r="AI103" s="584"/>
      <c r="AJ103" s="584"/>
      <c r="AK103" s="584"/>
      <c r="AL103" s="584"/>
      <c r="AM103" s="584"/>
      <c r="AN103" s="584"/>
      <c r="AO103" s="584"/>
      <c r="AP103" s="584"/>
      <c r="AQ103" s="584"/>
      <c r="AR103" s="584"/>
      <c r="AS103" s="584"/>
      <c r="AT103" s="584"/>
      <c r="AU103" s="584"/>
      <c r="AV103" s="584"/>
      <c r="AW103" s="585" t="s">
        <v>77</v>
      </c>
    </row>
    <row r="104" spans="2:49" ht="23.25" thickBot="1" x14ac:dyDescent="0.25">
      <c r="B104" s="42" t="s">
        <v>84</v>
      </c>
      <c r="F104" s="53"/>
      <c r="G104" s="50"/>
      <c r="H104" s="50"/>
      <c r="I104" s="49"/>
      <c r="J104" s="77" t="s">
        <v>75</v>
      </c>
      <c r="K104" s="76" t="s">
        <v>74</v>
      </c>
      <c r="L104" s="75" t="s">
        <v>75</v>
      </c>
      <c r="M104" s="74" t="s">
        <v>74</v>
      </c>
      <c r="N104" s="73">
        <v>1.6</v>
      </c>
      <c r="O104" s="72">
        <v>1.7</v>
      </c>
      <c r="P104" s="72">
        <v>1.8</v>
      </c>
      <c r="Q104" s="72">
        <v>1.9</v>
      </c>
      <c r="R104" s="72">
        <v>2</v>
      </c>
      <c r="S104" s="72">
        <v>2.1</v>
      </c>
      <c r="T104" s="72">
        <v>2.2000000000000002</v>
      </c>
      <c r="U104" s="72">
        <v>2.2999999999999998</v>
      </c>
      <c r="V104" s="72">
        <v>2.4</v>
      </c>
      <c r="W104" s="72">
        <v>2.5</v>
      </c>
      <c r="X104" s="72">
        <v>2.6</v>
      </c>
      <c r="Y104" s="72">
        <v>2.7</v>
      </c>
      <c r="Z104" s="72">
        <v>2.8</v>
      </c>
      <c r="AA104" s="72">
        <v>2.9</v>
      </c>
      <c r="AB104" s="72">
        <v>3</v>
      </c>
      <c r="AC104" s="72">
        <v>3.1</v>
      </c>
      <c r="AD104" s="72">
        <v>3.2</v>
      </c>
      <c r="AE104" s="72">
        <v>3.3</v>
      </c>
      <c r="AF104" s="72">
        <v>3.4</v>
      </c>
      <c r="AG104" s="72">
        <v>3.5</v>
      </c>
      <c r="AH104" s="72">
        <v>3.6</v>
      </c>
      <c r="AI104" s="72">
        <v>3.7</v>
      </c>
      <c r="AJ104" s="72">
        <v>3.8</v>
      </c>
      <c r="AK104" s="72">
        <v>3.9</v>
      </c>
      <c r="AL104" s="72">
        <v>4</v>
      </c>
      <c r="AM104" s="72">
        <v>4.0999999999999996</v>
      </c>
      <c r="AN104" s="72">
        <v>4.2</v>
      </c>
      <c r="AO104" s="72">
        <v>4.3</v>
      </c>
      <c r="AP104" s="72">
        <v>4.4000000000000004</v>
      </c>
      <c r="AQ104" s="72">
        <v>4.5</v>
      </c>
      <c r="AR104" s="72">
        <v>4.5999999999999996</v>
      </c>
      <c r="AS104" s="72">
        <v>4.7</v>
      </c>
      <c r="AT104" s="72">
        <v>4.8</v>
      </c>
      <c r="AU104" s="72">
        <v>4.9000000000000004</v>
      </c>
      <c r="AV104" s="72">
        <v>5</v>
      </c>
      <c r="AW104" s="586"/>
    </row>
    <row r="105" spans="2:49" x14ac:dyDescent="0.2">
      <c r="F105" s="587">
        <v>127</v>
      </c>
      <c r="G105" s="588">
        <v>10</v>
      </c>
      <c r="H105" s="68">
        <v>0.8</v>
      </c>
      <c r="I105" s="70">
        <v>1.6</v>
      </c>
      <c r="J105" s="59"/>
      <c r="K105" s="58"/>
      <c r="L105" s="57">
        <v>6</v>
      </c>
      <c r="M105" s="68">
        <v>5500</v>
      </c>
      <c r="N105" s="68"/>
      <c r="O105" s="68"/>
      <c r="P105" s="68">
        <v>250</v>
      </c>
      <c r="Q105" s="68">
        <f t="shared" ref="Q105:AV105" si="6">P105+$D$18</f>
        <v>375</v>
      </c>
      <c r="R105" s="68">
        <f t="shared" si="6"/>
        <v>500</v>
      </c>
      <c r="S105" s="68">
        <f t="shared" si="6"/>
        <v>625</v>
      </c>
      <c r="T105" s="68">
        <f t="shared" si="6"/>
        <v>750</v>
      </c>
      <c r="U105" s="68">
        <f t="shared" si="6"/>
        <v>875</v>
      </c>
      <c r="V105" s="68">
        <f t="shared" si="6"/>
        <v>1000</v>
      </c>
      <c r="W105" s="68">
        <f t="shared" si="6"/>
        <v>1125</v>
      </c>
      <c r="X105" s="68">
        <f t="shared" si="6"/>
        <v>1250</v>
      </c>
      <c r="Y105" s="68">
        <f t="shared" si="6"/>
        <v>1375</v>
      </c>
      <c r="Z105" s="68">
        <f t="shared" si="6"/>
        <v>1500</v>
      </c>
      <c r="AA105" s="68">
        <f t="shared" si="6"/>
        <v>1625</v>
      </c>
      <c r="AB105" s="68">
        <f t="shared" si="6"/>
        <v>1750</v>
      </c>
      <c r="AC105" s="68">
        <f t="shared" si="6"/>
        <v>1875</v>
      </c>
      <c r="AD105" s="68">
        <f t="shared" si="6"/>
        <v>2000</v>
      </c>
      <c r="AE105" s="68">
        <f t="shared" si="6"/>
        <v>2125</v>
      </c>
      <c r="AF105" s="68">
        <f t="shared" si="6"/>
        <v>2250</v>
      </c>
      <c r="AG105" s="68">
        <f t="shared" si="6"/>
        <v>2375</v>
      </c>
      <c r="AH105" s="68">
        <f t="shared" si="6"/>
        <v>2500</v>
      </c>
      <c r="AI105" s="68">
        <f t="shared" si="6"/>
        <v>2625</v>
      </c>
      <c r="AJ105" s="68">
        <f t="shared" si="6"/>
        <v>2750</v>
      </c>
      <c r="AK105" s="68">
        <f t="shared" si="6"/>
        <v>2875</v>
      </c>
      <c r="AL105" s="68">
        <f t="shared" si="6"/>
        <v>3000</v>
      </c>
      <c r="AM105" s="68">
        <f t="shared" si="6"/>
        <v>3125</v>
      </c>
      <c r="AN105" s="68">
        <f t="shared" si="6"/>
        <v>3250</v>
      </c>
      <c r="AO105" s="68">
        <f t="shared" si="6"/>
        <v>3375</v>
      </c>
      <c r="AP105" s="68">
        <f t="shared" si="6"/>
        <v>3500</v>
      </c>
      <c r="AQ105" s="68">
        <f t="shared" si="6"/>
        <v>3625</v>
      </c>
      <c r="AR105" s="68">
        <f t="shared" si="6"/>
        <v>3750</v>
      </c>
      <c r="AS105" s="68">
        <f t="shared" si="6"/>
        <v>3875</v>
      </c>
      <c r="AT105" s="68">
        <f t="shared" si="6"/>
        <v>4000</v>
      </c>
      <c r="AU105" s="68">
        <f t="shared" si="6"/>
        <v>4125</v>
      </c>
      <c r="AV105" s="68">
        <f t="shared" si="6"/>
        <v>4250</v>
      </c>
      <c r="AW105" s="69">
        <v>1000</v>
      </c>
    </row>
    <row r="106" spans="2:49" ht="20.25" x14ac:dyDescent="0.3">
      <c r="B106" s="78" t="s">
        <v>76</v>
      </c>
      <c r="F106" s="574"/>
      <c r="G106" s="573"/>
      <c r="H106" s="56">
        <v>1.4</v>
      </c>
      <c r="I106" s="55">
        <v>2.4</v>
      </c>
      <c r="J106" s="59"/>
      <c r="K106" s="58"/>
      <c r="L106" s="57">
        <v>6</v>
      </c>
      <c r="M106" s="56">
        <v>4500</v>
      </c>
      <c r="N106" s="56"/>
      <c r="O106" s="56"/>
      <c r="P106" s="56"/>
      <c r="Q106" s="56"/>
      <c r="R106" s="56"/>
      <c r="S106" s="56"/>
      <c r="T106" s="56"/>
      <c r="U106" s="56"/>
      <c r="V106" s="56"/>
      <c r="W106" s="56"/>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4">
        <v>1750</v>
      </c>
    </row>
    <row r="107" spans="2:49" x14ac:dyDescent="0.2">
      <c r="F107" s="574"/>
      <c r="G107" s="573"/>
      <c r="H107" s="56">
        <v>2.7</v>
      </c>
      <c r="I107" s="55">
        <v>4.0999999999999996</v>
      </c>
      <c r="J107" s="59"/>
      <c r="K107" s="58"/>
      <c r="L107" s="57">
        <v>6</v>
      </c>
      <c r="M107" s="56">
        <v>2375</v>
      </c>
      <c r="N107" s="56"/>
      <c r="O107" s="56"/>
      <c r="P107" s="56"/>
      <c r="Q107" s="56"/>
      <c r="R107" s="56"/>
      <c r="S107" s="56"/>
      <c r="T107" s="56"/>
      <c r="U107" s="56"/>
      <c r="V107" s="56"/>
      <c r="W107" s="56"/>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4">
        <v>3375</v>
      </c>
    </row>
    <row r="108" spans="2:49" x14ac:dyDescent="0.2">
      <c r="B108" s="46" t="s">
        <v>1291</v>
      </c>
      <c r="F108" s="574"/>
      <c r="G108" s="573">
        <v>20</v>
      </c>
      <c r="H108" s="56">
        <v>0.2</v>
      </c>
      <c r="I108" s="55">
        <v>1</v>
      </c>
      <c r="J108" s="59"/>
      <c r="K108" s="58"/>
      <c r="L108" s="57">
        <v>6</v>
      </c>
      <c r="M108" s="56">
        <v>6250</v>
      </c>
      <c r="N108" s="56">
        <v>750</v>
      </c>
      <c r="O108" s="68">
        <f>N108+$D$18</f>
        <v>875</v>
      </c>
      <c r="P108" s="56">
        <v>1000</v>
      </c>
      <c r="Q108" s="68">
        <f t="shared" ref="Q108:AV108" si="7">P108+$D$18</f>
        <v>1125</v>
      </c>
      <c r="R108" s="68">
        <f t="shared" si="7"/>
        <v>1250</v>
      </c>
      <c r="S108" s="68">
        <f t="shared" si="7"/>
        <v>1375</v>
      </c>
      <c r="T108" s="68">
        <f t="shared" si="7"/>
        <v>1500</v>
      </c>
      <c r="U108" s="68">
        <f t="shared" si="7"/>
        <v>1625</v>
      </c>
      <c r="V108" s="68">
        <f t="shared" si="7"/>
        <v>1750</v>
      </c>
      <c r="W108" s="68">
        <f t="shared" si="7"/>
        <v>1875</v>
      </c>
      <c r="X108" s="68">
        <f t="shared" si="7"/>
        <v>2000</v>
      </c>
      <c r="Y108" s="68">
        <f t="shared" si="7"/>
        <v>2125</v>
      </c>
      <c r="Z108" s="68">
        <f t="shared" si="7"/>
        <v>2250</v>
      </c>
      <c r="AA108" s="68">
        <f t="shared" si="7"/>
        <v>2375</v>
      </c>
      <c r="AB108" s="68">
        <f t="shared" si="7"/>
        <v>2500</v>
      </c>
      <c r="AC108" s="68">
        <f t="shared" si="7"/>
        <v>2625</v>
      </c>
      <c r="AD108" s="68">
        <f t="shared" si="7"/>
        <v>2750</v>
      </c>
      <c r="AE108" s="68">
        <f t="shared" si="7"/>
        <v>2875</v>
      </c>
      <c r="AF108" s="68">
        <f t="shared" si="7"/>
        <v>3000</v>
      </c>
      <c r="AG108" s="68">
        <f t="shared" si="7"/>
        <v>3125</v>
      </c>
      <c r="AH108" s="68">
        <f t="shared" si="7"/>
        <v>3250</v>
      </c>
      <c r="AI108" s="68">
        <f t="shared" si="7"/>
        <v>3375</v>
      </c>
      <c r="AJ108" s="68">
        <f t="shared" si="7"/>
        <v>3500</v>
      </c>
      <c r="AK108" s="68">
        <f t="shared" si="7"/>
        <v>3625</v>
      </c>
      <c r="AL108" s="68">
        <f t="shared" si="7"/>
        <v>3750</v>
      </c>
      <c r="AM108" s="68">
        <f t="shared" si="7"/>
        <v>3875</v>
      </c>
      <c r="AN108" s="68">
        <f t="shared" si="7"/>
        <v>4000</v>
      </c>
      <c r="AO108" s="68">
        <f t="shared" si="7"/>
        <v>4125</v>
      </c>
      <c r="AP108" s="68">
        <f t="shared" si="7"/>
        <v>4250</v>
      </c>
      <c r="AQ108" s="68">
        <f t="shared" si="7"/>
        <v>4375</v>
      </c>
      <c r="AR108" s="68">
        <f t="shared" si="7"/>
        <v>4500</v>
      </c>
      <c r="AS108" s="68">
        <f t="shared" si="7"/>
        <v>4625</v>
      </c>
      <c r="AT108" s="68">
        <f t="shared" si="7"/>
        <v>4750</v>
      </c>
      <c r="AU108" s="68">
        <f t="shared" si="7"/>
        <v>4875</v>
      </c>
      <c r="AV108" s="68">
        <f t="shared" si="7"/>
        <v>5000</v>
      </c>
      <c r="AW108" s="54">
        <v>250</v>
      </c>
    </row>
    <row r="109" spans="2:49" x14ac:dyDescent="0.2">
      <c r="B109" s="43" t="s">
        <v>73</v>
      </c>
      <c r="F109" s="574"/>
      <c r="G109" s="573"/>
      <c r="H109" s="56">
        <v>0.5</v>
      </c>
      <c r="I109" s="55">
        <v>1.9</v>
      </c>
      <c r="J109" s="59">
        <v>2.4</v>
      </c>
      <c r="K109" s="58">
        <v>625</v>
      </c>
      <c r="L109" s="57">
        <v>6</v>
      </c>
      <c r="M109" s="56">
        <v>5125</v>
      </c>
      <c r="N109" s="56"/>
      <c r="O109" s="56"/>
      <c r="P109" s="56"/>
      <c r="Q109" s="56"/>
      <c r="R109" s="56"/>
      <c r="S109" s="56"/>
      <c r="T109" s="56">
        <v>375</v>
      </c>
      <c r="U109" s="68">
        <f t="shared" ref="U109:AV109" si="8">T109+$D$18</f>
        <v>500</v>
      </c>
      <c r="V109" s="68">
        <f t="shared" si="8"/>
        <v>625</v>
      </c>
      <c r="W109" s="68">
        <f t="shared" si="8"/>
        <v>750</v>
      </c>
      <c r="X109" s="68">
        <f t="shared" si="8"/>
        <v>875</v>
      </c>
      <c r="Y109" s="68">
        <f t="shared" si="8"/>
        <v>1000</v>
      </c>
      <c r="Z109" s="68">
        <f t="shared" si="8"/>
        <v>1125</v>
      </c>
      <c r="AA109" s="68">
        <f t="shared" si="8"/>
        <v>1250</v>
      </c>
      <c r="AB109" s="68">
        <f t="shared" si="8"/>
        <v>1375</v>
      </c>
      <c r="AC109" s="68">
        <f t="shared" si="8"/>
        <v>1500</v>
      </c>
      <c r="AD109" s="68">
        <f t="shared" si="8"/>
        <v>1625</v>
      </c>
      <c r="AE109" s="68">
        <f t="shared" si="8"/>
        <v>1750</v>
      </c>
      <c r="AF109" s="68">
        <f t="shared" si="8"/>
        <v>1875</v>
      </c>
      <c r="AG109" s="68">
        <f t="shared" si="8"/>
        <v>2000</v>
      </c>
      <c r="AH109" s="68">
        <f t="shared" si="8"/>
        <v>2125</v>
      </c>
      <c r="AI109" s="68">
        <f t="shared" si="8"/>
        <v>2250</v>
      </c>
      <c r="AJ109" s="68">
        <f t="shared" si="8"/>
        <v>2375</v>
      </c>
      <c r="AK109" s="68">
        <f t="shared" si="8"/>
        <v>2500</v>
      </c>
      <c r="AL109" s="68">
        <f t="shared" si="8"/>
        <v>2625</v>
      </c>
      <c r="AM109" s="68">
        <f t="shared" si="8"/>
        <v>2750</v>
      </c>
      <c r="AN109" s="68">
        <f t="shared" si="8"/>
        <v>2875</v>
      </c>
      <c r="AO109" s="68">
        <f t="shared" si="8"/>
        <v>3000</v>
      </c>
      <c r="AP109" s="68">
        <f t="shared" si="8"/>
        <v>3125</v>
      </c>
      <c r="AQ109" s="68">
        <f t="shared" si="8"/>
        <v>3250</v>
      </c>
      <c r="AR109" s="68">
        <f t="shared" si="8"/>
        <v>3375</v>
      </c>
      <c r="AS109" s="68">
        <f t="shared" si="8"/>
        <v>3500</v>
      </c>
      <c r="AT109" s="68">
        <f t="shared" si="8"/>
        <v>3625</v>
      </c>
      <c r="AU109" s="68">
        <f t="shared" si="8"/>
        <v>3750</v>
      </c>
      <c r="AV109" s="68">
        <f t="shared" si="8"/>
        <v>3875</v>
      </c>
      <c r="AW109" s="54">
        <v>625</v>
      </c>
    </row>
    <row r="110" spans="2:49" x14ac:dyDescent="0.2">
      <c r="B110" s="43" t="s">
        <v>72</v>
      </c>
      <c r="F110" s="574"/>
      <c r="G110" s="573"/>
      <c r="H110" s="56">
        <v>1</v>
      </c>
      <c r="I110" s="55">
        <v>2.4</v>
      </c>
      <c r="J110" s="59">
        <v>3.4</v>
      </c>
      <c r="K110" s="58">
        <v>1250</v>
      </c>
      <c r="L110" s="57">
        <v>6</v>
      </c>
      <c r="M110" s="56">
        <v>4500</v>
      </c>
      <c r="N110" s="61"/>
      <c r="O110" s="61"/>
      <c r="P110" s="61"/>
      <c r="Q110" s="61"/>
      <c r="R110" s="61"/>
      <c r="S110" s="61"/>
      <c r="T110" s="61"/>
      <c r="U110" s="61"/>
      <c r="V110" s="61"/>
      <c r="W110" s="61"/>
      <c r="X110" s="60"/>
      <c r="Y110" s="60"/>
      <c r="Z110" s="60">
        <v>500</v>
      </c>
      <c r="AA110" s="67">
        <f t="shared" ref="AA110:AV110" si="9">Z110+$D$18</f>
        <v>625</v>
      </c>
      <c r="AB110" s="67">
        <f t="shared" si="9"/>
        <v>750</v>
      </c>
      <c r="AC110" s="67">
        <f t="shared" si="9"/>
        <v>875</v>
      </c>
      <c r="AD110" s="67">
        <f t="shared" si="9"/>
        <v>1000</v>
      </c>
      <c r="AE110" s="67">
        <f t="shared" si="9"/>
        <v>1125</v>
      </c>
      <c r="AF110" s="67">
        <f t="shared" si="9"/>
        <v>1250</v>
      </c>
      <c r="AG110" s="67">
        <f t="shared" si="9"/>
        <v>1375</v>
      </c>
      <c r="AH110" s="67">
        <f t="shared" si="9"/>
        <v>1500</v>
      </c>
      <c r="AI110" s="67">
        <f t="shared" si="9"/>
        <v>1625</v>
      </c>
      <c r="AJ110" s="67">
        <f t="shared" si="9"/>
        <v>1750</v>
      </c>
      <c r="AK110" s="67">
        <f t="shared" si="9"/>
        <v>1875</v>
      </c>
      <c r="AL110" s="67">
        <f t="shared" si="9"/>
        <v>2000</v>
      </c>
      <c r="AM110" s="67">
        <f t="shared" si="9"/>
        <v>2125</v>
      </c>
      <c r="AN110" s="67">
        <f t="shared" si="9"/>
        <v>2250</v>
      </c>
      <c r="AO110" s="67">
        <f t="shared" si="9"/>
        <v>2375</v>
      </c>
      <c r="AP110" s="67">
        <f t="shared" si="9"/>
        <v>2500</v>
      </c>
      <c r="AQ110" s="67">
        <f t="shared" si="9"/>
        <v>2625</v>
      </c>
      <c r="AR110" s="67">
        <f t="shared" si="9"/>
        <v>2750</v>
      </c>
      <c r="AS110" s="67">
        <f t="shared" si="9"/>
        <v>2875</v>
      </c>
      <c r="AT110" s="67">
        <f t="shared" si="9"/>
        <v>3000</v>
      </c>
      <c r="AU110" s="67">
        <f t="shared" si="9"/>
        <v>3125</v>
      </c>
      <c r="AV110" s="67">
        <f t="shared" si="9"/>
        <v>3250</v>
      </c>
      <c r="AW110" s="54">
        <v>1250</v>
      </c>
    </row>
    <row r="111" spans="2:49" x14ac:dyDescent="0.2">
      <c r="B111" s="43" t="s">
        <v>71</v>
      </c>
      <c r="F111" s="574"/>
      <c r="G111" s="573"/>
      <c r="H111" s="56">
        <v>1.5</v>
      </c>
      <c r="I111" s="55">
        <v>2.7</v>
      </c>
      <c r="J111" s="59">
        <v>4.2</v>
      </c>
      <c r="K111" s="58">
        <v>1875</v>
      </c>
      <c r="L111" s="57">
        <v>6</v>
      </c>
      <c r="M111" s="56">
        <v>4500</v>
      </c>
      <c r="N111" s="61"/>
      <c r="O111" s="61"/>
      <c r="P111" s="61"/>
      <c r="Q111" s="61"/>
      <c r="R111" s="61"/>
      <c r="S111" s="61"/>
      <c r="T111" s="61"/>
      <c r="U111" s="61"/>
      <c r="V111" s="61"/>
      <c r="W111" s="61"/>
      <c r="X111" s="60"/>
      <c r="Y111" s="60"/>
      <c r="Z111" s="60"/>
      <c r="AA111" s="60"/>
      <c r="AB111" s="60"/>
      <c r="AC111" s="60">
        <v>500</v>
      </c>
      <c r="AD111" s="67">
        <f t="shared" ref="AD111:AV111" si="10">AC111+$D$18</f>
        <v>625</v>
      </c>
      <c r="AE111" s="67">
        <f t="shared" si="10"/>
        <v>750</v>
      </c>
      <c r="AF111" s="67">
        <f t="shared" si="10"/>
        <v>875</v>
      </c>
      <c r="AG111" s="67">
        <f t="shared" si="10"/>
        <v>1000</v>
      </c>
      <c r="AH111" s="67">
        <f t="shared" si="10"/>
        <v>1125</v>
      </c>
      <c r="AI111" s="67">
        <f t="shared" si="10"/>
        <v>1250</v>
      </c>
      <c r="AJ111" s="67">
        <f t="shared" si="10"/>
        <v>1375</v>
      </c>
      <c r="AK111" s="67">
        <f t="shared" si="10"/>
        <v>1500</v>
      </c>
      <c r="AL111" s="67">
        <f t="shared" si="10"/>
        <v>1625</v>
      </c>
      <c r="AM111" s="67">
        <f t="shared" si="10"/>
        <v>1750</v>
      </c>
      <c r="AN111" s="67">
        <f t="shared" si="10"/>
        <v>1875</v>
      </c>
      <c r="AO111" s="67">
        <f t="shared" si="10"/>
        <v>2000</v>
      </c>
      <c r="AP111" s="67">
        <f t="shared" si="10"/>
        <v>2125</v>
      </c>
      <c r="AQ111" s="67">
        <f t="shared" si="10"/>
        <v>2250</v>
      </c>
      <c r="AR111" s="67">
        <f t="shared" si="10"/>
        <v>2375</v>
      </c>
      <c r="AS111" s="67">
        <f t="shared" si="10"/>
        <v>2500</v>
      </c>
      <c r="AT111" s="67">
        <f t="shared" si="10"/>
        <v>2625</v>
      </c>
      <c r="AU111" s="67">
        <f t="shared" si="10"/>
        <v>2750</v>
      </c>
      <c r="AV111" s="67">
        <f t="shared" si="10"/>
        <v>2875</v>
      </c>
      <c r="AW111" s="54">
        <v>1875</v>
      </c>
    </row>
    <row r="112" spans="2:49" x14ac:dyDescent="0.2">
      <c r="B112" s="43" t="s">
        <v>70</v>
      </c>
      <c r="F112" s="574"/>
      <c r="G112" s="573"/>
      <c r="H112" s="56">
        <v>1.5</v>
      </c>
      <c r="I112" s="55">
        <v>3.8</v>
      </c>
      <c r="J112" s="59">
        <v>5.3</v>
      </c>
      <c r="K112" s="58">
        <v>1875</v>
      </c>
      <c r="L112" s="57">
        <v>6</v>
      </c>
      <c r="M112" s="56">
        <v>2750</v>
      </c>
      <c r="N112" s="61"/>
      <c r="O112" s="61"/>
      <c r="P112" s="61"/>
      <c r="Q112" s="61"/>
      <c r="R112" s="61"/>
      <c r="S112" s="61"/>
      <c r="T112" s="61"/>
      <c r="U112" s="61"/>
      <c r="V112" s="61"/>
      <c r="W112" s="61"/>
      <c r="X112" s="60"/>
      <c r="Y112" s="60"/>
      <c r="Z112" s="60"/>
      <c r="AA112" s="60"/>
      <c r="AB112" s="60"/>
      <c r="AC112" s="60"/>
      <c r="AD112" s="60"/>
      <c r="AE112" s="60"/>
      <c r="AF112" s="60"/>
      <c r="AG112" s="60"/>
      <c r="AH112" s="60"/>
      <c r="AI112" s="60"/>
      <c r="AJ112" s="60"/>
      <c r="AK112" s="60"/>
      <c r="AL112" s="60"/>
      <c r="AM112" s="60"/>
      <c r="AN112" s="60">
        <v>500</v>
      </c>
      <c r="AO112" s="67">
        <f t="shared" ref="AO112:AV112" si="11">AN112+$D$18</f>
        <v>625</v>
      </c>
      <c r="AP112" s="67">
        <f t="shared" si="11"/>
        <v>750</v>
      </c>
      <c r="AQ112" s="67">
        <f t="shared" si="11"/>
        <v>875</v>
      </c>
      <c r="AR112" s="67">
        <f t="shared" si="11"/>
        <v>1000</v>
      </c>
      <c r="AS112" s="67">
        <f t="shared" si="11"/>
        <v>1125</v>
      </c>
      <c r="AT112" s="67">
        <f t="shared" si="11"/>
        <v>1250</v>
      </c>
      <c r="AU112" s="67">
        <f t="shared" si="11"/>
        <v>1375</v>
      </c>
      <c r="AV112" s="67">
        <f t="shared" si="11"/>
        <v>1500</v>
      </c>
      <c r="AW112" s="54">
        <v>1875</v>
      </c>
    </row>
    <row r="113" spans="2:49" x14ac:dyDescent="0.2">
      <c r="B113" s="43" t="s">
        <v>69</v>
      </c>
      <c r="F113" s="574"/>
      <c r="G113" s="573"/>
      <c r="H113" s="56">
        <v>2</v>
      </c>
      <c r="I113" s="55">
        <v>4.8</v>
      </c>
      <c r="J113" s="59"/>
      <c r="K113" s="58"/>
      <c r="L113" s="57">
        <v>6</v>
      </c>
      <c r="M113" s="56">
        <v>1500</v>
      </c>
      <c r="N113" s="61"/>
      <c r="O113" s="61"/>
      <c r="P113" s="61"/>
      <c r="Q113" s="61"/>
      <c r="R113" s="61"/>
      <c r="S113" s="61"/>
      <c r="T113" s="61"/>
      <c r="U113" s="61"/>
      <c r="V113" s="61"/>
      <c r="W113" s="61"/>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c r="AV113" s="60"/>
      <c r="AW113" s="54">
        <v>2500</v>
      </c>
    </row>
    <row r="114" spans="2:49" x14ac:dyDescent="0.2">
      <c r="B114" s="43" t="s">
        <v>68</v>
      </c>
      <c r="F114" s="574">
        <v>252</v>
      </c>
      <c r="G114" s="573">
        <v>10</v>
      </c>
      <c r="H114" s="56">
        <v>0.8</v>
      </c>
      <c r="I114" s="55">
        <v>1.6</v>
      </c>
      <c r="J114" s="59"/>
      <c r="K114" s="58"/>
      <c r="L114" s="57">
        <v>6</v>
      </c>
      <c r="M114" s="56">
        <v>11000</v>
      </c>
      <c r="N114" s="56"/>
      <c r="O114" s="56"/>
      <c r="P114" s="56">
        <v>500</v>
      </c>
      <c r="Q114" s="66">
        <f t="shared" ref="Q114:AV114" si="12">P114+$D$19</f>
        <v>750</v>
      </c>
      <c r="R114" s="66">
        <f t="shared" si="12"/>
        <v>1000</v>
      </c>
      <c r="S114" s="66">
        <f t="shared" si="12"/>
        <v>1250</v>
      </c>
      <c r="T114" s="66">
        <f t="shared" si="12"/>
        <v>1500</v>
      </c>
      <c r="U114" s="66">
        <f t="shared" si="12"/>
        <v>1750</v>
      </c>
      <c r="V114" s="66">
        <f t="shared" si="12"/>
        <v>2000</v>
      </c>
      <c r="W114" s="66">
        <f t="shared" si="12"/>
        <v>2250</v>
      </c>
      <c r="X114" s="66">
        <f t="shared" si="12"/>
        <v>2500</v>
      </c>
      <c r="Y114" s="66">
        <f t="shared" si="12"/>
        <v>2750</v>
      </c>
      <c r="Z114" s="66">
        <f t="shared" si="12"/>
        <v>3000</v>
      </c>
      <c r="AA114" s="66">
        <f t="shared" si="12"/>
        <v>3250</v>
      </c>
      <c r="AB114" s="66">
        <f t="shared" si="12"/>
        <v>3500</v>
      </c>
      <c r="AC114" s="66">
        <f t="shared" si="12"/>
        <v>3750</v>
      </c>
      <c r="AD114" s="66">
        <f t="shared" si="12"/>
        <v>4000</v>
      </c>
      <c r="AE114" s="66">
        <f t="shared" si="12"/>
        <v>4250</v>
      </c>
      <c r="AF114" s="66">
        <f t="shared" si="12"/>
        <v>4500</v>
      </c>
      <c r="AG114" s="66">
        <f t="shared" si="12"/>
        <v>4750</v>
      </c>
      <c r="AH114" s="66">
        <f t="shared" si="12"/>
        <v>5000</v>
      </c>
      <c r="AI114" s="66">
        <f t="shared" si="12"/>
        <v>5250</v>
      </c>
      <c r="AJ114" s="66">
        <f t="shared" si="12"/>
        <v>5500</v>
      </c>
      <c r="AK114" s="66">
        <f t="shared" si="12"/>
        <v>5750</v>
      </c>
      <c r="AL114" s="66">
        <f t="shared" si="12"/>
        <v>6000</v>
      </c>
      <c r="AM114" s="66">
        <f t="shared" si="12"/>
        <v>6250</v>
      </c>
      <c r="AN114" s="66">
        <f t="shared" si="12"/>
        <v>6500</v>
      </c>
      <c r="AO114" s="66">
        <f t="shared" si="12"/>
        <v>6750</v>
      </c>
      <c r="AP114" s="66">
        <f t="shared" si="12"/>
        <v>7000</v>
      </c>
      <c r="AQ114" s="66">
        <f t="shared" si="12"/>
        <v>7250</v>
      </c>
      <c r="AR114" s="66">
        <f t="shared" si="12"/>
        <v>7500</v>
      </c>
      <c r="AS114" s="66">
        <f t="shared" si="12"/>
        <v>7750</v>
      </c>
      <c r="AT114" s="66">
        <f t="shared" si="12"/>
        <v>8000</v>
      </c>
      <c r="AU114" s="66">
        <f t="shared" si="12"/>
        <v>8250</v>
      </c>
      <c r="AV114" s="66">
        <f t="shared" si="12"/>
        <v>8500</v>
      </c>
      <c r="AW114" s="54">
        <v>2000</v>
      </c>
    </row>
    <row r="115" spans="2:49" x14ac:dyDescent="0.2">
      <c r="B115" s="43" t="s">
        <v>67</v>
      </c>
      <c r="F115" s="574"/>
      <c r="G115" s="573"/>
      <c r="H115" s="56">
        <v>1.4</v>
      </c>
      <c r="I115" s="55">
        <v>2.4</v>
      </c>
      <c r="J115" s="59"/>
      <c r="K115" s="58"/>
      <c r="L115" s="57">
        <v>6</v>
      </c>
      <c r="M115" s="56">
        <v>9000</v>
      </c>
      <c r="N115" s="61"/>
      <c r="O115" s="61"/>
      <c r="P115" s="61"/>
      <c r="Q115" s="61"/>
      <c r="R115" s="61"/>
      <c r="S115" s="61"/>
      <c r="T115" s="61"/>
      <c r="U115" s="61"/>
      <c r="V115" s="61"/>
      <c r="W115" s="61"/>
      <c r="X115" s="60"/>
      <c r="Y115" s="60"/>
      <c r="Z115" s="60"/>
      <c r="AA115" s="60"/>
      <c r="AB115" s="60"/>
      <c r="AC115" s="60"/>
      <c r="AD115" s="60"/>
      <c r="AE115" s="60"/>
      <c r="AF115" s="60"/>
      <c r="AG115" s="60"/>
      <c r="AH115" s="60"/>
      <c r="AI115" s="60"/>
      <c r="AJ115" s="60"/>
      <c r="AK115" s="60"/>
      <c r="AL115" s="60"/>
      <c r="AM115" s="60"/>
      <c r="AN115" s="60"/>
      <c r="AO115" s="60"/>
      <c r="AP115" s="60"/>
      <c r="AQ115" s="60"/>
      <c r="AR115" s="60"/>
      <c r="AS115" s="60"/>
      <c r="AT115" s="60"/>
      <c r="AU115" s="60"/>
      <c r="AV115" s="60"/>
      <c r="AW115" s="54">
        <v>3500</v>
      </c>
    </row>
    <row r="116" spans="2:49" x14ac:dyDescent="0.2">
      <c r="B116" s="43" t="s">
        <v>66</v>
      </c>
      <c r="F116" s="574"/>
      <c r="G116" s="573"/>
      <c r="H116" s="56">
        <v>2.7</v>
      </c>
      <c r="I116" s="55">
        <v>4.0999999999999996</v>
      </c>
      <c r="J116" s="59"/>
      <c r="K116" s="58"/>
      <c r="L116" s="57">
        <v>6</v>
      </c>
      <c r="M116" s="56">
        <v>4750</v>
      </c>
      <c r="N116" s="61"/>
      <c r="O116" s="61"/>
      <c r="P116" s="61"/>
      <c r="Q116" s="61"/>
      <c r="R116" s="61"/>
      <c r="S116" s="61"/>
      <c r="T116" s="61"/>
      <c r="U116" s="61"/>
      <c r="V116" s="61"/>
      <c r="W116" s="61"/>
      <c r="X116" s="60"/>
      <c r="Y116" s="60"/>
      <c r="Z116" s="60"/>
      <c r="AA116" s="60"/>
      <c r="AB116" s="60"/>
      <c r="AC116" s="60"/>
      <c r="AD116" s="60"/>
      <c r="AE116" s="60"/>
      <c r="AF116" s="60"/>
      <c r="AG116" s="60"/>
      <c r="AH116" s="60"/>
      <c r="AI116" s="60"/>
      <c r="AJ116" s="60"/>
      <c r="AK116" s="60"/>
      <c r="AL116" s="60"/>
      <c r="AM116" s="60"/>
      <c r="AN116" s="60"/>
      <c r="AO116" s="60"/>
      <c r="AP116" s="60"/>
      <c r="AQ116" s="60"/>
      <c r="AR116" s="60"/>
      <c r="AS116" s="60"/>
      <c r="AT116" s="60"/>
      <c r="AU116" s="60"/>
      <c r="AV116" s="60"/>
      <c r="AW116" s="54">
        <v>6750</v>
      </c>
    </row>
    <row r="117" spans="2:49" x14ac:dyDescent="0.2">
      <c r="B117" s="43" t="s">
        <v>65</v>
      </c>
      <c r="F117" s="574"/>
      <c r="G117" s="573">
        <v>20</v>
      </c>
      <c r="H117" s="56">
        <v>0.2</v>
      </c>
      <c r="I117" s="55">
        <v>1</v>
      </c>
      <c r="J117" s="59"/>
      <c r="K117" s="58"/>
      <c r="L117" s="57">
        <v>6</v>
      </c>
      <c r="M117" s="56">
        <v>12500</v>
      </c>
      <c r="N117" s="56">
        <v>1500</v>
      </c>
      <c r="O117" s="66">
        <f t="shared" ref="O117:AV117" si="13">N117+$D$19</f>
        <v>1750</v>
      </c>
      <c r="P117" s="66">
        <f t="shared" si="13"/>
        <v>2000</v>
      </c>
      <c r="Q117" s="66">
        <f t="shared" si="13"/>
        <v>2250</v>
      </c>
      <c r="R117" s="66">
        <f t="shared" si="13"/>
        <v>2500</v>
      </c>
      <c r="S117" s="66">
        <f t="shared" si="13"/>
        <v>2750</v>
      </c>
      <c r="T117" s="66">
        <f t="shared" si="13"/>
        <v>3000</v>
      </c>
      <c r="U117" s="66">
        <f t="shared" si="13"/>
        <v>3250</v>
      </c>
      <c r="V117" s="66">
        <f t="shared" si="13"/>
        <v>3500</v>
      </c>
      <c r="W117" s="66">
        <f t="shared" si="13"/>
        <v>3750</v>
      </c>
      <c r="X117" s="66">
        <f t="shared" si="13"/>
        <v>4000</v>
      </c>
      <c r="Y117" s="66">
        <f t="shared" si="13"/>
        <v>4250</v>
      </c>
      <c r="Z117" s="66">
        <f t="shared" si="13"/>
        <v>4500</v>
      </c>
      <c r="AA117" s="66">
        <f t="shared" si="13"/>
        <v>4750</v>
      </c>
      <c r="AB117" s="66">
        <f t="shared" si="13"/>
        <v>5000</v>
      </c>
      <c r="AC117" s="66">
        <f t="shared" si="13"/>
        <v>5250</v>
      </c>
      <c r="AD117" s="66">
        <f t="shared" si="13"/>
        <v>5500</v>
      </c>
      <c r="AE117" s="66">
        <f t="shared" si="13"/>
        <v>5750</v>
      </c>
      <c r="AF117" s="66">
        <f t="shared" si="13"/>
        <v>6000</v>
      </c>
      <c r="AG117" s="66">
        <f t="shared" si="13"/>
        <v>6250</v>
      </c>
      <c r="AH117" s="66">
        <f t="shared" si="13"/>
        <v>6500</v>
      </c>
      <c r="AI117" s="66">
        <f t="shared" si="13"/>
        <v>6750</v>
      </c>
      <c r="AJ117" s="66">
        <f t="shared" si="13"/>
        <v>7000</v>
      </c>
      <c r="AK117" s="66">
        <f t="shared" si="13"/>
        <v>7250</v>
      </c>
      <c r="AL117" s="66">
        <f t="shared" si="13"/>
        <v>7500</v>
      </c>
      <c r="AM117" s="66">
        <f t="shared" si="13"/>
        <v>7750</v>
      </c>
      <c r="AN117" s="66">
        <f t="shared" si="13"/>
        <v>8000</v>
      </c>
      <c r="AO117" s="66">
        <f t="shared" si="13"/>
        <v>8250</v>
      </c>
      <c r="AP117" s="66">
        <f t="shared" si="13"/>
        <v>8500</v>
      </c>
      <c r="AQ117" s="66">
        <f t="shared" si="13"/>
        <v>8750</v>
      </c>
      <c r="AR117" s="66">
        <f t="shared" si="13"/>
        <v>9000</v>
      </c>
      <c r="AS117" s="66">
        <f t="shared" si="13"/>
        <v>9250</v>
      </c>
      <c r="AT117" s="66">
        <f t="shared" si="13"/>
        <v>9500</v>
      </c>
      <c r="AU117" s="66">
        <f t="shared" si="13"/>
        <v>9750</v>
      </c>
      <c r="AV117" s="66">
        <f t="shared" si="13"/>
        <v>10000</v>
      </c>
      <c r="AW117" s="54">
        <v>500</v>
      </c>
    </row>
    <row r="118" spans="2:49" x14ac:dyDescent="0.2">
      <c r="B118" s="43" t="s">
        <v>1286</v>
      </c>
      <c r="F118" s="574"/>
      <c r="G118" s="573"/>
      <c r="H118" s="56">
        <v>0.5</v>
      </c>
      <c r="I118" s="55">
        <v>1.9</v>
      </c>
      <c r="J118" s="59">
        <v>2.4</v>
      </c>
      <c r="K118" s="58">
        <v>1250</v>
      </c>
      <c r="L118" s="57">
        <v>6</v>
      </c>
      <c r="M118" s="56">
        <v>10250</v>
      </c>
      <c r="N118" s="56"/>
      <c r="O118" s="56"/>
      <c r="P118" s="56"/>
      <c r="Q118" s="56"/>
      <c r="R118" s="56">
        <v>250</v>
      </c>
      <c r="S118" s="66">
        <f t="shared" ref="S118:AV118" si="14">R118+$D$19</f>
        <v>500</v>
      </c>
      <c r="T118" s="66">
        <f t="shared" si="14"/>
        <v>750</v>
      </c>
      <c r="U118" s="66">
        <f t="shared" si="14"/>
        <v>1000</v>
      </c>
      <c r="V118" s="66">
        <f t="shared" si="14"/>
        <v>1250</v>
      </c>
      <c r="W118" s="66">
        <f t="shared" si="14"/>
        <v>1500</v>
      </c>
      <c r="X118" s="66">
        <f t="shared" si="14"/>
        <v>1750</v>
      </c>
      <c r="Y118" s="66">
        <f t="shared" si="14"/>
        <v>2000</v>
      </c>
      <c r="Z118" s="66">
        <f t="shared" si="14"/>
        <v>2250</v>
      </c>
      <c r="AA118" s="66">
        <f t="shared" si="14"/>
        <v>2500</v>
      </c>
      <c r="AB118" s="66">
        <f t="shared" si="14"/>
        <v>2750</v>
      </c>
      <c r="AC118" s="66">
        <f t="shared" si="14"/>
        <v>3000</v>
      </c>
      <c r="AD118" s="66">
        <f t="shared" si="14"/>
        <v>3250</v>
      </c>
      <c r="AE118" s="66">
        <f t="shared" si="14"/>
        <v>3500</v>
      </c>
      <c r="AF118" s="66">
        <f t="shared" si="14"/>
        <v>3750</v>
      </c>
      <c r="AG118" s="66">
        <f t="shared" si="14"/>
        <v>4000</v>
      </c>
      <c r="AH118" s="66">
        <f t="shared" si="14"/>
        <v>4250</v>
      </c>
      <c r="AI118" s="66">
        <f t="shared" si="14"/>
        <v>4500</v>
      </c>
      <c r="AJ118" s="66">
        <f t="shared" si="14"/>
        <v>4750</v>
      </c>
      <c r="AK118" s="66">
        <f t="shared" si="14"/>
        <v>5000</v>
      </c>
      <c r="AL118" s="66">
        <f t="shared" si="14"/>
        <v>5250</v>
      </c>
      <c r="AM118" s="66">
        <f t="shared" si="14"/>
        <v>5500</v>
      </c>
      <c r="AN118" s="66">
        <f t="shared" si="14"/>
        <v>5750</v>
      </c>
      <c r="AO118" s="66">
        <f t="shared" si="14"/>
        <v>6000</v>
      </c>
      <c r="AP118" s="66">
        <f t="shared" si="14"/>
        <v>6250</v>
      </c>
      <c r="AQ118" s="66">
        <f t="shared" si="14"/>
        <v>6500</v>
      </c>
      <c r="AR118" s="66">
        <f t="shared" si="14"/>
        <v>6750</v>
      </c>
      <c r="AS118" s="66">
        <f t="shared" si="14"/>
        <v>7000</v>
      </c>
      <c r="AT118" s="66">
        <f t="shared" si="14"/>
        <v>7250</v>
      </c>
      <c r="AU118" s="66">
        <f t="shared" si="14"/>
        <v>7500</v>
      </c>
      <c r="AV118" s="66">
        <f t="shared" si="14"/>
        <v>7750</v>
      </c>
      <c r="AW118" s="54">
        <v>1250</v>
      </c>
    </row>
    <row r="119" spans="2:49" x14ac:dyDescent="0.2">
      <c r="B119" s="43" t="s">
        <v>64</v>
      </c>
      <c r="F119" s="574"/>
      <c r="G119" s="573"/>
      <c r="H119" s="56">
        <v>1</v>
      </c>
      <c r="I119" s="55">
        <v>2.4</v>
      </c>
      <c r="J119" s="59">
        <v>3.4</v>
      </c>
      <c r="K119" s="58">
        <v>2500</v>
      </c>
      <c r="L119" s="57">
        <v>6</v>
      </c>
      <c r="M119" s="56">
        <v>9000</v>
      </c>
      <c r="N119" s="61"/>
      <c r="O119" s="61"/>
      <c r="P119" s="61"/>
      <c r="Q119" s="61"/>
      <c r="R119" s="61"/>
      <c r="S119" s="61"/>
      <c r="T119" s="61"/>
      <c r="U119" s="61"/>
      <c r="V119" s="61"/>
      <c r="W119" s="61"/>
      <c r="X119" s="60">
        <v>500</v>
      </c>
      <c r="Y119" s="60">
        <f t="shared" ref="Y119:AV119" si="15">X119+$D$19</f>
        <v>750</v>
      </c>
      <c r="Z119" s="60">
        <f t="shared" si="15"/>
        <v>1000</v>
      </c>
      <c r="AA119" s="60">
        <f t="shared" si="15"/>
        <v>1250</v>
      </c>
      <c r="AB119" s="60">
        <f t="shared" si="15"/>
        <v>1500</v>
      </c>
      <c r="AC119" s="60">
        <f t="shared" si="15"/>
        <v>1750</v>
      </c>
      <c r="AD119" s="60">
        <f t="shared" si="15"/>
        <v>2000</v>
      </c>
      <c r="AE119" s="60">
        <f t="shared" si="15"/>
        <v>2250</v>
      </c>
      <c r="AF119" s="60">
        <f t="shared" si="15"/>
        <v>2500</v>
      </c>
      <c r="AG119" s="60">
        <f t="shared" si="15"/>
        <v>2750</v>
      </c>
      <c r="AH119" s="60">
        <f t="shared" si="15"/>
        <v>3000</v>
      </c>
      <c r="AI119" s="60">
        <f t="shared" si="15"/>
        <v>3250</v>
      </c>
      <c r="AJ119" s="60">
        <f t="shared" si="15"/>
        <v>3500</v>
      </c>
      <c r="AK119" s="60">
        <f t="shared" si="15"/>
        <v>3750</v>
      </c>
      <c r="AL119" s="60">
        <f t="shared" si="15"/>
        <v>4000</v>
      </c>
      <c r="AM119" s="60">
        <f t="shared" si="15"/>
        <v>4250</v>
      </c>
      <c r="AN119" s="60">
        <f t="shared" si="15"/>
        <v>4500</v>
      </c>
      <c r="AO119" s="60">
        <f t="shared" si="15"/>
        <v>4750</v>
      </c>
      <c r="AP119" s="60">
        <f t="shared" si="15"/>
        <v>5000</v>
      </c>
      <c r="AQ119" s="60">
        <f t="shared" si="15"/>
        <v>5250</v>
      </c>
      <c r="AR119" s="60">
        <f t="shared" si="15"/>
        <v>5500</v>
      </c>
      <c r="AS119" s="60">
        <f t="shared" si="15"/>
        <v>5750</v>
      </c>
      <c r="AT119" s="60">
        <f t="shared" si="15"/>
        <v>6000</v>
      </c>
      <c r="AU119" s="60">
        <f t="shared" si="15"/>
        <v>6250</v>
      </c>
      <c r="AV119" s="60">
        <f t="shared" si="15"/>
        <v>6500</v>
      </c>
      <c r="AW119" s="54">
        <v>2500</v>
      </c>
    </row>
    <row r="120" spans="2:49" x14ac:dyDescent="0.2">
      <c r="B120" s="43" t="s">
        <v>63</v>
      </c>
      <c r="F120" s="574"/>
      <c r="G120" s="573"/>
      <c r="H120" s="56">
        <v>1.5</v>
      </c>
      <c r="I120" s="55">
        <v>2.7</v>
      </c>
      <c r="J120" s="59">
        <v>4.2</v>
      </c>
      <c r="K120" s="58">
        <v>3750</v>
      </c>
      <c r="L120" s="57">
        <v>6</v>
      </c>
      <c r="M120" s="56">
        <v>8250</v>
      </c>
      <c r="N120" s="61"/>
      <c r="O120" s="61"/>
      <c r="P120" s="61"/>
      <c r="Q120" s="61"/>
      <c r="R120" s="61"/>
      <c r="S120" s="61"/>
      <c r="T120" s="61"/>
      <c r="U120" s="61"/>
      <c r="V120" s="61"/>
      <c r="W120" s="61"/>
      <c r="X120" s="60"/>
      <c r="Y120" s="60"/>
      <c r="Z120" s="60"/>
      <c r="AA120" s="60">
        <v>500</v>
      </c>
      <c r="AB120" s="60">
        <f t="shared" ref="AB120:AV120" si="16">AA120+$D$19</f>
        <v>750</v>
      </c>
      <c r="AC120" s="60">
        <f t="shared" si="16"/>
        <v>1000</v>
      </c>
      <c r="AD120" s="60">
        <f t="shared" si="16"/>
        <v>1250</v>
      </c>
      <c r="AE120" s="60">
        <f t="shared" si="16"/>
        <v>1500</v>
      </c>
      <c r="AF120" s="60">
        <f t="shared" si="16"/>
        <v>1750</v>
      </c>
      <c r="AG120" s="60">
        <f t="shared" si="16"/>
        <v>2000</v>
      </c>
      <c r="AH120" s="60">
        <f t="shared" si="16"/>
        <v>2250</v>
      </c>
      <c r="AI120" s="60">
        <f t="shared" si="16"/>
        <v>2500</v>
      </c>
      <c r="AJ120" s="60">
        <f t="shared" si="16"/>
        <v>2750</v>
      </c>
      <c r="AK120" s="60">
        <f t="shared" si="16"/>
        <v>3000</v>
      </c>
      <c r="AL120" s="60">
        <f t="shared" si="16"/>
        <v>3250</v>
      </c>
      <c r="AM120" s="60">
        <f t="shared" si="16"/>
        <v>3500</v>
      </c>
      <c r="AN120" s="60">
        <f t="shared" si="16"/>
        <v>3750</v>
      </c>
      <c r="AO120" s="60">
        <f t="shared" si="16"/>
        <v>4000</v>
      </c>
      <c r="AP120" s="60">
        <f t="shared" si="16"/>
        <v>4250</v>
      </c>
      <c r="AQ120" s="60">
        <f t="shared" si="16"/>
        <v>4500</v>
      </c>
      <c r="AR120" s="60">
        <f t="shared" si="16"/>
        <v>4750</v>
      </c>
      <c r="AS120" s="60">
        <f t="shared" si="16"/>
        <v>5000</v>
      </c>
      <c r="AT120" s="60">
        <f t="shared" si="16"/>
        <v>5250</v>
      </c>
      <c r="AU120" s="60">
        <f t="shared" si="16"/>
        <v>5500</v>
      </c>
      <c r="AV120" s="60">
        <f t="shared" si="16"/>
        <v>5750</v>
      </c>
      <c r="AW120" s="54">
        <v>3750</v>
      </c>
    </row>
    <row r="121" spans="2:49" x14ac:dyDescent="0.2">
      <c r="B121" s="43" t="s">
        <v>62</v>
      </c>
      <c r="F121" s="574"/>
      <c r="G121" s="573"/>
      <c r="H121" s="56">
        <v>1.5</v>
      </c>
      <c r="I121" s="55">
        <v>3.8</v>
      </c>
      <c r="J121" s="59">
        <v>5.3</v>
      </c>
      <c r="K121" s="58">
        <v>3750</v>
      </c>
      <c r="L121" s="57">
        <v>6</v>
      </c>
      <c r="M121" s="56">
        <v>5500</v>
      </c>
      <c r="N121" s="61"/>
      <c r="O121" s="61"/>
      <c r="P121" s="61"/>
      <c r="Q121" s="61"/>
      <c r="R121" s="61"/>
      <c r="S121" s="61"/>
      <c r="T121" s="61"/>
      <c r="U121" s="61"/>
      <c r="V121" s="61"/>
      <c r="W121" s="61"/>
      <c r="X121" s="60"/>
      <c r="Y121" s="60"/>
      <c r="Z121" s="60"/>
      <c r="AA121" s="60"/>
      <c r="AB121" s="60"/>
      <c r="AC121" s="60"/>
      <c r="AD121" s="60"/>
      <c r="AE121" s="60"/>
      <c r="AF121" s="60"/>
      <c r="AG121" s="60"/>
      <c r="AH121" s="60"/>
      <c r="AI121" s="60"/>
      <c r="AJ121" s="60"/>
      <c r="AK121" s="60"/>
      <c r="AL121" s="60">
        <v>500</v>
      </c>
      <c r="AM121" s="60">
        <f t="shared" ref="AM121:AV121" si="17">AL121+$D$19</f>
        <v>750</v>
      </c>
      <c r="AN121" s="60">
        <f t="shared" si="17"/>
        <v>1000</v>
      </c>
      <c r="AO121" s="60">
        <f t="shared" si="17"/>
        <v>1250</v>
      </c>
      <c r="AP121" s="60">
        <f t="shared" si="17"/>
        <v>1500</v>
      </c>
      <c r="AQ121" s="60">
        <f t="shared" si="17"/>
        <v>1750</v>
      </c>
      <c r="AR121" s="60">
        <f t="shared" si="17"/>
        <v>2000</v>
      </c>
      <c r="AS121" s="60">
        <f t="shared" si="17"/>
        <v>2250</v>
      </c>
      <c r="AT121" s="60">
        <f t="shared" si="17"/>
        <v>2500</v>
      </c>
      <c r="AU121" s="60">
        <f t="shared" si="17"/>
        <v>2750</v>
      </c>
      <c r="AV121" s="60">
        <f t="shared" si="17"/>
        <v>3000</v>
      </c>
      <c r="AW121" s="54">
        <v>3750</v>
      </c>
    </row>
    <row r="122" spans="2:49" x14ac:dyDescent="0.2">
      <c r="B122" s="43" t="s">
        <v>61</v>
      </c>
      <c r="F122" s="574"/>
      <c r="G122" s="573"/>
      <c r="H122" s="56">
        <v>2</v>
      </c>
      <c r="I122" s="55">
        <v>4.8</v>
      </c>
      <c r="J122" s="59"/>
      <c r="K122" s="58"/>
      <c r="L122" s="57">
        <v>6</v>
      </c>
      <c r="M122" s="56">
        <v>3000</v>
      </c>
      <c r="N122" s="61"/>
      <c r="O122" s="61"/>
      <c r="P122" s="61"/>
      <c r="Q122" s="61"/>
      <c r="R122" s="61"/>
      <c r="S122" s="61"/>
      <c r="T122" s="61"/>
      <c r="U122" s="61"/>
      <c r="V122" s="61"/>
      <c r="W122" s="61"/>
      <c r="X122" s="60"/>
      <c r="Y122" s="60"/>
      <c r="Z122" s="60"/>
      <c r="AA122" s="60"/>
      <c r="AB122" s="60"/>
      <c r="AC122" s="60"/>
      <c r="AD122" s="60"/>
      <c r="AE122" s="60"/>
      <c r="AF122" s="60"/>
      <c r="AG122" s="60"/>
      <c r="AH122" s="60"/>
      <c r="AI122" s="60"/>
      <c r="AJ122" s="60"/>
      <c r="AK122" s="60"/>
      <c r="AL122" s="60"/>
      <c r="AM122" s="60"/>
      <c r="AN122" s="60"/>
      <c r="AO122" s="60"/>
      <c r="AP122" s="60"/>
      <c r="AQ122" s="60"/>
      <c r="AR122" s="60"/>
      <c r="AS122" s="60"/>
      <c r="AT122" s="60"/>
      <c r="AU122" s="60"/>
      <c r="AV122" s="60">
        <v>500</v>
      </c>
      <c r="AW122" s="54">
        <v>5000</v>
      </c>
    </row>
    <row r="123" spans="2:49" x14ac:dyDescent="0.2">
      <c r="B123" s="43" t="s">
        <v>60</v>
      </c>
      <c r="F123" s="574">
        <v>502</v>
      </c>
      <c r="G123" s="573">
        <v>20</v>
      </c>
      <c r="H123" s="56">
        <v>0.2</v>
      </c>
      <c r="I123" s="55">
        <v>1</v>
      </c>
      <c r="J123" s="59"/>
      <c r="K123" s="58"/>
      <c r="L123" s="57">
        <v>6</v>
      </c>
      <c r="M123" s="56">
        <v>25000</v>
      </c>
      <c r="N123" s="56">
        <v>3000</v>
      </c>
      <c r="O123" s="56">
        <f t="shared" ref="O123:AU123" si="18">N123+$D$20</f>
        <v>3500</v>
      </c>
      <c r="P123" s="56">
        <f t="shared" si="18"/>
        <v>4000</v>
      </c>
      <c r="Q123" s="56">
        <f t="shared" si="18"/>
        <v>4500</v>
      </c>
      <c r="R123" s="56">
        <f t="shared" si="18"/>
        <v>5000</v>
      </c>
      <c r="S123" s="56">
        <f t="shared" si="18"/>
        <v>5500</v>
      </c>
      <c r="T123" s="56">
        <f t="shared" si="18"/>
        <v>6000</v>
      </c>
      <c r="U123" s="56">
        <f t="shared" si="18"/>
        <v>6500</v>
      </c>
      <c r="V123" s="56">
        <f t="shared" si="18"/>
        <v>7000</v>
      </c>
      <c r="W123" s="56">
        <f t="shared" si="18"/>
        <v>7500</v>
      </c>
      <c r="X123" s="56">
        <f t="shared" si="18"/>
        <v>8000</v>
      </c>
      <c r="Y123" s="56">
        <f t="shared" si="18"/>
        <v>8500</v>
      </c>
      <c r="Z123" s="56">
        <f t="shared" si="18"/>
        <v>9000</v>
      </c>
      <c r="AA123" s="56">
        <f t="shared" si="18"/>
        <v>9500</v>
      </c>
      <c r="AB123" s="56">
        <f t="shared" si="18"/>
        <v>10000</v>
      </c>
      <c r="AC123" s="56">
        <f t="shared" si="18"/>
        <v>10500</v>
      </c>
      <c r="AD123" s="56">
        <f t="shared" si="18"/>
        <v>11000</v>
      </c>
      <c r="AE123" s="56">
        <f t="shared" si="18"/>
        <v>11500</v>
      </c>
      <c r="AF123" s="56">
        <f t="shared" si="18"/>
        <v>12000</v>
      </c>
      <c r="AG123" s="56">
        <f t="shared" si="18"/>
        <v>12500</v>
      </c>
      <c r="AH123" s="56">
        <f t="shared" si="18"/>
        <v>13000</v>
      </c>
      <c r="AI123" s="56">
        <f t="shared" si="18"/>
        <v>13500</v>
      </c>
      <c r="AJ123" s="56">
        <f t="shared" si="18"/>
        <v>14000</v>
      </c>
      <c r="AK123" s="56">
        <f t="shared" si="18"/>
        <v>14500</v>
      </c>
      <c r="AL123" s="56">
        <f t="shared" si="18"/>
        <v>15000</v>
      </c>
      <c r="AM123" s="56">
        <f t="shared" si="18"/>
        <v>15500</v>
      </c>
      <c r="AN123" s="56">
        <f t="shared" si="18"/>
        <v>16000</v>
      </c>
      <c r="AO123" s="56">
        <f t="shared" si="18"/>
        <v>16500</v>
      </c>
      <c r="AP123" s="56">
        <f t="shared" si="18"/>
        <v>17000</v>
      </c>
      <c r="AQ123" s="56">
        <f t="shared" si="18"/>
        <v>17500</v>
      </c>
      <c r="AR123" s="56">
        <f t="shared" si="18"/>
        <v>18000</v>
      </c>
      <c r="AS123" s="56">
        <f t="shared" si="18"/>
        <v>18500</v>
      </c>
      <c r="AT123" s="56">
        <f t="shared" si="18"/>
        <v>19000</v>
      </c>
      <c r="AU123" s="56">
        <f t="shared" si="18"/>
        <v>19500</v>
      </c>
      <c r="AV123" s="55">
        <v>20000</v>
      </c>
      <c r="AW123" s="54">
        <v>1000</v>
      </c>
    </row>
    <row r="124" spans="2:49" x14ac:dyDescent="0.2">
      <c r="B124" s="43" t="s">
        <v>59</v>
      </c>
      <c r="F124" s="574"/>
      <c r="G124" s="573"/>
      <c r="H124" s="56">
        <v>0.5</v>
      </c>
      <c r="I124" s="55">
        <v>1.9</v>
      </c>
      <c r="J124" s="59">
        <v>2.4</v>
      </c>
      <c r="K124" s="58">
        <v>2500</v>
      </c>
      <c r="L124" s="57">
        <v>6</v>
      </c>
      <c r="M124" s="56">
        <v>20500</v>
      </c>
      <c r="N124" s="56"/>
      <c r="O124" s="56"/>
      <c r="P124" s="56"/>
      <c r="Q124" s="56"/>
      <c r="R124" s="56">
        <v>500</v>
      </c>
      <c r="S124" s="56">
        <f t="shared" ref="S124:AV124" si="19">R124+$D$20</f>
        <v>1000</v>
      </c>
      <c r="T124" s="56">
        <f t="shared" si="19"/>
        <v>1500</v>
      </c>
      <c r="U124" s="56">
        <f t="shared" si="19"/>
        <v>2000</v>
      </c>
      <c r="V124" s="56">
        <f t="shared" si="19"/>
        <v>2500</v>
      </c>
      <c r="W124" s="56">
        <f t="shared" si="19"/>
        <v>3000</v>
      </c>
      <c r="X124" s="56">
        <f t="shared" si="19"/>
        <v>3500</v>
      </c>
      <c r="Y124" s="56">
        <f t="shared" si="19"/>
        <v>4000</v>
      </c>
      <c r="Z124" s="56">
        <f t="shared" si="19"/>
        <v>4500</v>
      </c>
      <c r="AA124" s="56">
        <f t="shared" si="19"/>
        <v>5000</v>
      </c>
      <c r="AB124" s="56">
        <f t="shared" si="19"/>
        <v>5500</v>
      </c>
      <c r="AC124" s="56">
        <f t="shared" si="19"/>
        <v>6000</v>
      </c>
      <c r="AD124" s="56">
        <f t="shared" si="19"/>
        <v>6500</v>
      </c>
      <c r="AE124" s="56">
        <f t="shared" si="19"/>
        <v>7000</v>
      </c>
      <c r="AF124" s="56">
        <f t="shared" si="19"/>
        <v>7500</v>
      </c>
      <c r="AG124" s="56">
        <f t="shared" si="19"/>
        <v>8000</v>
      </c>
      <c r="AH124" s="56">
        <f t="shared" si="19"/>
        <v>8500</v>
      </c>
      <c r="AI124" s="56">
        <f t="shared" si="19"/>
        <v>9000</v>
      </c>
      <c r="AJ124" s="56">
        <f t="shared" si="19"/>
        <v>9500</v>
      </c>
      <c r="AK124" s="56">
        <f t="shared" si="19"/>
        <v>10000</v>
      </c>
      <c r="AL124" s="56">
        <f t="shared" si="19"/>
        <v>10500</v>
      </c>
      <c r="AM124" s="56">
        <f t="shared" si="19"/>
        <v>11000</v>
      </c>
      <c r="AN124" s="56">
        <f t="shared" si="19"/>
        <v>11500</v>
      </c>
      <c r="AO124" s="56">
        <f t="shared" si="19"/>
        <v>12000</v>
      </c>
      <c r="AP124" s="56">
        <f t="shared" si="19"/>
        <v>12500</v>
      </c>
      <c r="AQ124" s="56">
        <f t="shared" si="19"/>
        <v>13000</v>
      </c>
      <c r="AR124" s="56">
        <f t="shared" si="19"/>
        <v>13500</v>
      </c>
      <c r="AS124" s="56">
        <f t="shared" si="19"/>
        <v>14000</v>
      </c>
      <c r="AT124" s="56">
        <f t="shared" si="19"/>
        <v>14500</v>
      </c>
      <c r="AU124" s="56">
        <f t="shared" si="19"/>
        <v>15000</v>
      </c>
      <c r="AV124" s="56">
        <f t="shared" si="19"/>
        <v>15500</v>
      </c>
      <c r="AW124" s="54">
        <v>2500</v>
      </c>
    </row>
    <row r="125" spans="2:49" x14ac:dyDescent="0.2">
      <c r="B125" s="43" t="s">
        <v>1283</v>
      </c>
      <c r="F125" s="574"/>
      <c r="G125" s="573"/>
      <c r="H125" s="56">
        <v>1</v>
      </c>
      <c r="I125" s="55">
        <v>2.4</v>
      </c>
      <c r="J125" s="59">
        <v>3.4</v>
      </c>
      <c r="K125" s="58">
        <v>5000</v>
      </c>
      <c r="L125" s="57">
        <v>6</v>
      </c>
      <c r="M125" s="56">
        <v>18000</v>
      </c>
      <c r="N125" s="61"/>
      <c r="O125" s="61"/>
      <c r="P125" s="61"/>
      <c r="Q125" s="61"/>
      <c r="R125" s="61"/>
      <c r="S125" s="61"/>
      <c r="T125" s="61"/>
      <c r="U125" s="61"/>
      <c r="V125" s="61"/>
      <c r="W125" s="61">
        <v>500</v>
      </c>
      <c r="X125" s="60">
        <f t="shared" ref="X125:AV125" si="20">W125+$D$20</f>
        <v>1000</v>
      </c>
      <c r="Y125" s="60">
        <f t="shared" si="20"/>
        <v>1500</v>
      </c>
      <c r="Z125" s="60">
        <f t="shared" si="20"/>
        <v>2000</v>
      </c>
      <c r="AA125" s="60">
        <f t="shared" si="20"/>
        <v>2500</v>
      </c>
      <c r="AB125" s="60">
        <f t="shared" si="20"/>
        <v>3000</v>
      </c>
      <c r="AC125" s="60">
        <f t="shared" si="20"/>
        <v>3500</v>
      </c>
      <c r="AD125" s="60">
        <f t="shared" si="20"/>
        <v>4000</v>
      </c>
      <c r="AE125" s="60">
        <f t="shared" si="20"/>
        <v>4500</v>
      </c>
      <c r="AF125" s="60">
        <f t="shared" si="20"/>
        <v>5000</v>
      </c>
      <c r="AG125" s="60">
        <f t="shared" si="20"/>
        <v>5500</v>
      </c>
      <c r="AH125" s="60">
        <f t="shared" si="20"/>
        <v>6000</v>
      </c>
      <c r="AI125" s="60">
        <f t="shared" si="20"/>
        <v>6500</v>
      </c>
      <c r="AJ125" s="60">
        <f t="shared" si="20"/>
        <v>7000</v>
      </c>
      <c r="AK125" s="60">
        <f t="shared" si="20"/>
        <v>7500</v>
      </c>
      <c r="AL125" s="60">
        <f t="shared" si="20"/>
        <v>8000</v>
      </c>
      <c r="AM125" s="60">
        <f t="shared" si="20"/>
        <v>8500</v>
      </c>
      <c r="AN125" s="60">
        <f t="shared" si="20"/>
        <v>9000</v>
      </c>
      <c r="AO125" s="60">
        <f t="shared" si="20"/>
        <v>9500</v>
      </c>
      <c r="AP125" s="60">
        <f t="shared" si="20"/>
        <v>10000</v>
      </c>
      <c r="AQ125" s="60">
        <f t="shared" si="20"/>
        <v>10500</v>
      </c>
      <c r="AR125" s="60">
        <f t="shared" si="20"/>
        <v>11000</v>
      </c>
      <c r="AS125" s="60">
        <f t="shared" si="20"/>
        <v>11500</v>
      </c>
      <c r="AT125" s="60">
        <f t="shared" si="20"/>
        <v>12000</v>
      </c>
      <c r="AU125" s="60">
        <f t="shared" si="20"/>
        <v>12500</v>
      </c>
      <c r="AV125" s="60">
        <f t="shared" si="20"/>
        <v>13000</v>
      </c>
      <c r="AW125" s="54">
        <v>5000</v>
      </c>
    </row>
    <row r="126" spans="2:49" x14ac:dyDescent="0.2">
      <c r="B126" s="43" t="s">
        <v>1282</v>
      </c>
      <c r="F126" s="574"/>
      <c r="G126" s="573"/>
      <c r="H126" s="56">
        <v>1.5</v>
      </c>
      <c r="I126" s="55">
        <v>2.7</v>
      </c>
      <c r="J126" s="59">
        <v>4.2</v>
      </c>
      <c r="K126" s="58">
        <v>7500</v>
      </c>
      <c r="L126" s="57">
        <v>6</v>
      </c>
      <c r="M126" s="56">
        <v>16500</v>
      </c>
      <c r="N126" s="61"/>
      <c r="O126" s="61"/>
      <c r="P126" s="61"/>
      <c r="Q126" s="61"/>
      <c r="R126" s="61"/>
      <c r="S126" s="61"/>
      <c r="T126" s="61"/>
      <c r="U126" s="61"/>
      <c r="V126" s="61"/>
      <c r="W126" s="61"/>
      <c r="X126" s="60"/>
      <c r="Y126" s="60"/>
      <c r="Z126" s="60">
        <v>500</v>
      </c>
      <c r="AA126" s="60">
        <f t="shared" ref="AA126:AV126" si="21">Z126+$D$20</f>
        <v>1000</v>
      </c>
      <c r="AB126" s="60">
        <f t="shared" si="21"/>
        <v>1500</v>
      </c>
      <c r="AC126" s="60">
        <f t="shared" si="21"/>
        <v>2000</v>
      </c>
      <c r="AD126" s="60">
        <f t="shared" si="21"/>
        <v>2500</v>
      </c>
      <c r="AE126" s="60">
        <f t="shared" si="21"/>
        <v>3000</v>
      </c>
      <c r="AF126" s="60">
        <f t="shared" si="21"/>
        <v>3500</v>
      </c>
      <c r="AG126" s="60">
        <f t="shared" si="21"/>
        <v>4000</v>
      </c>
      <c r="AH126" s="60">
        <f t="shared" si="21"/>
        <v>4500</v>
      </c>
      <c r="AI126" s="60">
        <f t="shared" si="21"/>
        <v>5000</v>
      </c>
      <c r="AJ126" s="60">
        <f t="shared" si="21"/>
        <v>5500</v>
      </c>
      <c r="AK126" s="60">
        <f t="shared" si="21"/>
        <v>6000</v>
      </c>
      <c r="AL126" s="60">
        <f t="shared" si="21"/>
        <v>6500</v>
      </c>
      <c r="AM126" s="60">
        <f t="shared" si="21"/>
        <v>7000</v>
      </c>
      <c r="AN126" s="60">
        <f t="shared" si="21"/>
        <v>7500</v>
      </c>
      <c r="AO126" s="60">
        <f t="shared" si="21"/>
        <v>8000</v>
      </c>
      <c r="AP126" s="60">
        <f t="shared" si="21"/>
        <v>8500</v>
      </c>
      <c r="AQ126" s="60">
        <f t="shared" si="21"/>
        <v>9000</v>
      </c>
      <c r="AR126" s="60">
        <f t="shared" si="21"/>
        <v>9500</v>
      </c>
      <c r="AS126" s="60">
        <f t="shared" si="21"/>
        <v>10000</v>
      </c>
      <c r="AT126" s="60">
        <f t="shared" si="21"/>
        <v>10500</v>
      </c>
      <c r="AU126" s="60">
        <f t="shared" si="21"/>
        <v>11000</v>
      </c>
      <c r="AV126" s="60">
        <f t="shared" si="21"/>
        <v>11500</v>
      </c>
      <c r="AW126" s="54">
        <v>7500</v>
      </c>
    </row>
    <row r="127" spans="2:49" x14ac:dyDescent="0.2">
      <c r="B127" s="43" t="s">
        <v>58</v>
      </c>
      <c r="F127" s="574"/>
      <c r="G127" s="573"/>
      <c r="H127" s="56">
        <v>1.5</v>
      </c>
      <c r="I127" s="55">
        <v>3.8</v>
      </c>
      <c r="J127" s="59">
        <v>5.3</v>
      </c>
      <c r="K127" s="58">
        <v>7500</v>
      </c>
      <c r="L127" s="57">
        <v>6</v>
      </c>
      <c r="M127" s="56">
        <v>11000</v>
      </c>
      <c r="N127" s="61"/>
      <c r="O127" s="61"/>
      <c r="P127" s="61"/>
      <c r="Q127" s="61"/>
      <c r="R127" s="61"/>
      <c r="S127" s="61"/>
      <c r="T127" s="61"/>
      <c r="U127" s="61"/>
      <c r="V127" s="61"/>
      <c r="W127" s="61"/>
      <c r="X127" s="60"/>
      <c r="Y127" s="60"/>
      <c r="Z127" s="60"/>
      <c r="AA127" s="60">
        <v>500</v>
      </c>
      <c r="AB127" s="60">
        <f t="shared" ref="AB127:AV127" si="22">AA127+$D$20</f>
        <v>1000</v>
      </c>
      <c r="AC127" s="60">
        <f t="shared" si="22"/>
        <v>1500</v>
      </c>
      <c r="AD127" s="60">
        <f t="shared" si="22"/>
        <v>2000</v>
      </c>
      <c r="AE127" s="60">
        <f t="shared" si="22"/>
        <v>2500</v>
      </c>
      <c r="AF127" s="60">
        <f t="shared" si="22"/>
        <v>3000</v>
      </c>
      <c r="AG127" s="60">
        <f t="shared" si="22"/>
        <v>3500</v>
      </c>
      <c r="AH127" s="60">
        <f t="shared" si="22"/>
        <v>4000</v>
      </c>
      <c r="AI127" s="60">
        <f t="shared" si="22"/>
        <v>4500</v>
      </c>
      <c r="AJ127" s="60">
        <f t="shared" si="22"/>
        <v>5000</v>
      </c>
      <c r="AK127" s="60">
        <f t="shared" si="22"/>
        <v>5500</v>
      </c>
      <c r="AL127" s="60">
        <f t="shared" si="22"/>
        <v>6000</v>
      </c>
      <c r="AM127" s="60">
        <f t="shared" si="22"/>
        <v>6500</v>
      </c>
      <c r="AN127" s="60">
        <f t="shared" si="22"/>
        <v>7000</v>
      </c>
      <c r="AO127" s="60">
        <f t="shared" si="22"/>
        <v>7500</v>
      </c>
      <c r="AP127" s="60">
        <f t="shared" si="22"/>
        <v>8000</v>
      </c>
      <c r="AQ127" s="60">
        <f t="shared" si="22"/>
        <v>8500</v>
      </c>
      <c r="AR127" s="60">
        <f t="shared" si="22"/>
        <v>9000</v>
      </c>
      <c r="AS127" s="60">
        <f t="shared" si="22"/>
        <v>9500</v>
      </c>
      <c r="AT127" s="60">
        <f t="shared" si="22"/>
        <v>10000</v>
      </c>
      <c r="AU127" s="60">
        <f t="shared" si="22"/>
        <v>10500</v>
      </c>
      <c r="AV127" s="60">
        <f t="shared" si="22"/>
        <v>11000</v>
      </c>
      <c r="AW127" s="54">
        <v>7500</v>
      </c>
    </row>
    <row r="128" spans="2:49" x14ac:dyDescent="0.2">
      <c r="B128" s="43" t="s">
        <v>57</v>
      </c>
      <c r="F128" s="574"/>
      <c r="G128" s="573"/>
      <c r="H128" s="56">
        <v>2</v>
      </c>
      <c r="I128" s="55">
        <v>4.8</v>
      </c>
      <c r="J128" s="59"/>
      <c r="K128" s="58"/>
      <c r="L128" s="57">
        <v>6</v>
      </c>
      <c r="M128" s="56">
        <v>6000</v>
      </c>
      <c r="N128" s="61"/>
      <c r="O128" s="61"/>
      <c r="P128" s="61"/>
      <c r="Q128" s="61"/>
      <c r="R128" s="61"/>
      <c r="S128" s="61"/>
      <c r="T128" s="61"/>
      <c r="U128" s="61"/>
      <c r="V128" s="61"/>
      <c r="W128" s="61"/>
      <c r="X128" s="60"/>
      <c r="Y128" s="60"/>
      <c r="Z128" s="60"/>
      <c r="AA128" s="60"/>
      <c r="AB128" s="60"/>
      <c r="AC128" s="60"/>
      <c r="AD128" s="60"/>
      <c r="AE128" s="60"/>
      <c r="AF128" s="60"/>
      <c r="AG128" s="60"/>
      <c r="AH128" s="60"/>
      <c r="AI128" s="60"/>
      <c r="AJ128" s="60"/>
      <c r="AK128" s="60"/>
      <c r="AL128" s="60"/>
      <c r="AM128" s="60"/>
      <c r="AN128" s="60"/>
      <c r="AO128" s="60"/>
      <c r="AP128" s="60"/>
      <c r="AQ128" s="60"/>
      <c r="AR128" s="60"/>
      <c r="AS128" s="60"/>
      <c r="AT128" s="60"/>
      <c r="AU128" s="60">
        <v>500</v>
      </c>
      <c r="AV128" s="60">
        <f>AU128+$D$20</f>
        <v>1000</v>
      </c>
      <c r="AW128" s="54">
        <v>10000</v>
      </c>
    </row>
    <row r="129" spans="2:49" x14ac:dyDescent="0.2">
      <c r="B129" s="63" t="s">
        <v>56</v>
      </c>
      <c r="F129" s="574"/>
      <c r="G129" s="573">
        <v>40</v>
      </c>
      <c r="H129" s="56">
        <v>0.2</v>
      </c>
      <c r="I129" s="55">
        <v>1</v>
      </c>
      <c r="J129" s="59"/>
      <c r="K129" s="58"/>
      <c r="L129" s="57">
        <v>6</v>
      </c>
      <c r="M129" s="56">
        <v>25000</v>
      </c>
      <c r="N129" s="56">
        <v>3000</v>
      </c>
      <c r="O129" s="56">
        <f t="shared" ref="O129:AU129" si="23">N129+$D$20</f>
        <v>3500</v>
      </c>
      <c r="P129" s="56">
        <f t="shared" si="23"/>
        <v>4000</v>
      </c>
      <c r="Q129" s="56">
        <f t="shared" si="23"/>
        <v>4500</v>
      </c>
      <c r="R129" s="56">
        <f t="shared" si="23"/>
        <v>5000</v>
      </c>
      <c r="S129" s="56">
        <f t="shared" si="23"/>
        <v>5500</v>
      </c>
      <c r="T129" s="56">
        <f t="shared" si="23"/>
        <v>6000</v>
      </c>
      <c r="U129" s="56">
        <f t="shared" si="23"/>
        <v>6500</v>
      </c>
      <c r="V129" s="56">
        <f t="shared" si="23"/>
        <v>7000</v>
      </c>
      <c r="W129" s="56">
        <f t="shared" si="23"/>
        <v>7500</v>
      </c>
      <c r="X129" s="56">
        <f t="shared" si="23"/>
        <v>8000</v>
      </c>
      <c r="Y129" s="56">
        <f t="shared" si="23"/>
        <v>8500</v>
      </c>
      <c r="Z129" s="56">
        <f t="shared" si="23"/>
        <v>9000</v>
      </c>
      <c r="AA129" s="56">
        <f t="shared" si="23"/>
        <v>9500</v>
      </c>
      <c r="AB129" s="56">
        <f t="shared" si="23"/>
        <v>10000</v>
      </c>
      <c r="AC129" s="56">
        <f t="shared" si="23"/>
        <v>10500</v>
      </c>
      <c r="AD129" s="56">
        <f t="shared" si="23"/>
        <v>11000</v>
      </c>
      <c r="AE129" s="56">
        <f t="shared" si="23"/>
        <v>11500</v>
      </c>
      <c r="AF129" s="56">
        <f t="shared" si="23"/>
        <v>12000</v>
      </c>
      <c r="AG129" s="56">
        <f t="shared" si="23"/>
        <v>12500</v>
      </c>
      <c r="AH129" s="56">
        <f t="shared" si="23"/>
        <v>13000</v>
      </c>
      <c r="AI129" s="56">
        <f t="shared" si="23"/>
        <v>13500</v>
      </c>
      <c r="AJ129" s="56">
        <f t="shared" si="23"/>
        <v>14000</v>
      </c>
      <c r="AK129" s="56">
        <f t="shared" si="23"/>
        <v>14500</v>
      </c>
      <c r="AL129" s="56">
        <f t="shared" si="23"/>
        <v>15000</v>
      </c>
      <c r="AM129" s="56">
        <f t="shared" si="23"/>
        <v>15500</v>
      </c>
      <c r="AN129" s="56">
        <f t="shared" si="23"/>
        <v>16000</v>
      </c>
      <c r="AO129" s="56">
        <f t="shared" si="23"/>
        <v>16500</v>
      </c>
      <c r="AP129" s="56">
        <f t="shared" si="23"/>
        <v>17000</v>
      </c>
      <c r="AQ129" s="56">
        <f t="shared" si="23"/>
        <v>17500</v>
      </c>
      <c r="AR129" s="56">
        <f t="shared" si="23"/>
        <v>18000</v>
      </c>
      <c r="AS129" s="56">
        <f t="shared" si="23"/>
        <v>18500</v>
      </c>
      <c r="AT129" s="56">
        <f t="shared" si="23"/>
        <v>19000</v>
      </c>
      <c r="AU129" s="56">
        <f t="shared" si="23"/>
        <v>19500</v>
      </c>
      <c r="AV129" s="56">
        <f>AU129+$D$20</f>
        <v>20000</v>
      </c>
      <c r="AW129" s="54">
        <v>1000</v>
      </c>
    </row>
    <row r="130" spans="2:49" x14ac:dyDescent="0.2">
      <c r="B130" s="63" t="s">
        <v>55</v>
      </c>
      <c r="F130" s="574"/>
      <c r="G130" s="573"/>
      <c r="H130" s="56">
        <v>0.5</v>
      </c>
      <c r="I130" s="55">
        <v>1.9</v>
      </c>
      <c r="J130" s="59">
        <v>2.4</v>
      </c>
      <c r="K130" s="58">
        <v>2500</v>
      </c>
      <c r="L130" s="57">
        <v>6</v>
      </c>
      <c r="M130" s="56">
        <v>20500</v>
      </c>
      <c r="N130" s="56"/>
      <c r="O130" s="56"/>
      <c r="P130" s="56"/>
      <c r="Q130" s="56"/>
      <c r="R130" s="56">
        <v>500</v>
      </c>
      <c r="S130" s="56">
        <f t="shared" ref="S130:AU130" si="24">R130+$D$20</f>
        <v>1000</v>
      </c>
      <c r="T130" s="56">
        <f t="shared" si="24"/>
        <v>1500</v>
      </c>
      <c r="U130" s="56">
        <f t="shared" si="24"/>
        <v>2000</v>
      </c>
      <c r="V130" s="56">
        <f t="shared" si="24"/>
        <v>2500</v>
      </c>
      <c r="W130" s="56">
        <f t="shared" si="24"/>
        <v>3000</v>
      </c>
      <c r="X130" s="56">
        <f t="shared" si="24"/>
        <v>3500</v>
      </c>
      <c r="Y130" s="56">
        <f t="shared" si="24"/>
        <v>4000</v>
      </c>
      <c r="Z130" s="56">
        <f t="shared" si="24"/>
        <v>4500</v>
      </c>
      <c r="AA130" s="56">
        <f t="shared" si="24"/>
        <v>5000</v>
      </c>
      <c r="AB130" s="56">
        <f t="shared" si="24"/>
        <v>5500</v>
      </c>
      <c r="AC130" s="56">
        <f t="shared" si="24"/>
        <v>6000</v>
      </c>
      <c r="AD130" s="56">
        <f t="shared" si="24"/>
        <v>6500</v>
      </c>
      <c r="AE130" s="56">
        <f t="shared" si="24"/>
        <v>7000</v>
      </c>
      <c r="AF130" s="56">
        <f t="shared" si="24"/>
        <v>7500</v>
      </c>
      <c r="AG130" s="56">
        <f t="shared" si="24"/>
        <v>8000</v>
      </c>
      <c r="AH130" s="56">
        <f t="shared" si="24"/>
        <v>8500</v>
      </c>
      <c r="AI130" s="56">
        <f t="shared" si="24"/>
        <v>9000</v>
      </c>
      <c r="AJ130" s="56">
        <f t="shared" si="24"/>
        <v>9500</v>
      </c>
      <c r="AK130" s="56">
        <f t="shared" si="24"/>
        <v>10000</v>
      </c>
      <c r="AL130" s="56">
        <f t="shared" si="24"/>
        <v>10500</v>
      </c>
      <c r="AM130" s="56">
        <f t="shared" si="24"/>
        <v>11000</v>
      </c>
      <c r="AN130" s="56">
        <f t="shared" si="24"/>
        <v>11500</v>
      </c>
      <c r="AO130" s="56">
        <f t="shared" si="24"/>
        <v>12000</v>
      </c>
      <c r="AP130" s="56">
        <f t="shared" si="24"/>
        <v>12500</v>
      </c>
      <c r="AQ130" s="56">
        <f t="shared" si="24"/>
        <v>13000</v>
      </c>
      <c r="AR130" s="56">
        <f t="shared" si="24"/>
        <v>13500</v>
      </c>
      <c r="AS130" s="56">
        <f t="shared" si="24"/>
        <v>14000</v>
      </c>
      <c r="AT130" s="56">
        <f t="shared" si="24"/>
        <v>14500</v>
      </c>
      <c r="AU130" s="56">
        <f t="shared" si="24"/>
        <v>15000</v>
      </c>
      <c r="AV130" s="56">
        <f>AU130+$D$20</f>
        <v>15500</v>
      </c>
      <c r="AW130" s="54">
        <v>2500</v>
      </c>
    </row>
    <row r="131" spans="2:49" x14ac:dyDescent="0.2">
      <c r="B131" s="63" t="s">
        <v>54</v>
      </c>
      <c r="F131" s="574"/>
      <c r="G131" s="573"/>
      <c r="H131" s="56">
        <v>1</v>
      </c>
      <c r="I131" s="55">
        <v>2.4</v>
      </c>
      <c r="J131" s="59">
        <v>3.4</v>
      </c>
      <c r="K131" s="58">
        <v>5000</v>
      </c>
      <c r="L131" s="57">
        <v>6</v>
      </c>
      <c r="M131" s="56">
        <v>18000</v>
      </c>
      <c r="N131" s="61"/>
      <c r="O131" s="61"/>
      <c r="P131" s="61"/>
      <c r="Q131" s="61"/>
      <c r="R131" s="61"/>
      <c r="S131" s="61"/>
      <c r="T131" s="61"/>
      <c r="U131" s="61"/>
      <c r="V131" s="61"/>
      <c r="W131" s="61">
        <v>500</v>
      </c>
      <c r="X131" s="60">
        <v>1000</v>
      </c>
      <c r="Y131" s="60">
        <v>1500</v>
      </c>
      <c r="Z131" s="60">
        <v>2000</v>
      </c>
      <c r="AA131" s="60">
        <v>2500</v>
      </c>
      <c r="AB131" s="60">
        <v>3000</v>
      </c>
      <c r="AC131" s="60">
        <v>3500</v>
      </c>
      <c r="AD131" s="60">
        <v>4000</v>
      </c>
      <c r="AE131" s="60">
        <v>4500</v>
      </c>
      <c r="AF131" s="60">
        <v>5000</v>
      </c>
      <c r="AG131" s="60">
        <v>5500</v>
      </c>
      <c r="AH131" s="60">
        <v>6000</v>
      </c>
      <c r="AI131" s="60">
        <v>6500</v>
      </c>
      <c r="AJ131" s="60">
        <v>7000</v>
      </c>
      <c r="AK131" s="60">
        <v>7500</v>
      </c>
      <c r="AL131" s="60">
        <v>8000</v>
      </c>
      <c r="AM131" s="60">
        <v>8500</v>
      </c>
      <c r="AN131" s="60">
        <v>9000</v>
      </c>
      <c r="AO131" s="60">
        <v>9500</v>
      </c>
      <c r="AP131" s="60">
        <v>10000</v>
      </c>
      <c r="AQ131" s="60">
        <v>10500</v>
      </c>
      <c r="AR131" s="60">
        <v>11000</v>
      </c>
      <c r="AS131" s="60">
        <v>11500</v>
      </c>
      <c r="AT131" s="60">
        <v>12000</v>
      </c>
      <c r="AU131" s="60">
        <v>12500</v>
      </c>
      <c r="AV131" s="60">
        <v>13000</v>
      </c>
      <c r="AW131" s="54">
        <v>5000</v>
      </c>
    </row>
    <row r="132" spans="2:49" x14ac:dyDescent="0.2">
      <c r="B132" s="63" t="s">
        <v>53</v>
      </c>
      <c r="F132" s="574"/>
      <c r="G132" s="573"/>
      <c r="H132" s="56">
        <v>1.5</v>
      </c>
      <c r="I132" s="55">
        <v>2.7</v>
      </c>
      <c r="J132" s="59">
        <v>4.2</v>
      </c>
      <c r="K132" s="58">
        <v>7500</v>
      </c>
      <c r="L132" s="57">
        <v>6</v>
      </c>
      <c r="M132" s="56">
        <v>16500</v>
      </c>
      <c r="N132" s="61"/>
      <c r="O132" s="61"/>
      <c r="P132" s="61"/>
      <c r="Q132" s="61"/>
      <c r="R132" s="61"/>
      <c r="S132" s="61"/>
      <c r="T132" s="61"/>
      <c r="U132" s="61"/>
      <c r="V132" s="61"/>
      <c r="W132" s="61"/>
      <c r="X132" s="60"/>
      <c r="Y132" s="60"/>
      <c r="Z132" s="60">
        <v>500</v>
      </c>
      <c r="AA132" s="60">
        <v>1000</v>
      </c>
      <c r="AB132" s="60">
        <v>1500</v>
      </c>
      <c r="AC132" s="60">
        <v>2000</v>
      </c>
      <c r="AD132" s="60">
        <v>2500</v>
      </c>
      <c r="AE132" s="60">
        <v>3000</v>
      </c>
      <c r="AF132" s="60">
        <v>3500</v>
      </c>
      <c r="AG132" s="60">
        <v>4000</v>
      </c>
      <c r="AH132" s="60">
        <v>4500</v>
      </c>
      <c r="AI132" s="60">
        <v>5000</v>
      </c>
      <c r="AJ132" s="60">
        <v>5500</v>
      </c>
      <c r="AK132" s="60">
        <v>6000</v>
      </c>
      <c r="AL132" s="60">
        <v>6500</v>
      </c>
      <c r="AM132" s="60">
        <v>7000</v>
      </c>
      <c r="AN132" s="60">
        <v>7500</v>
      </c>
      <c r="AO132" s="60">
        <v>8000</v>
      </c>
      <c r="AP132" s="60">
        <v>8500</v>
      </c>
      <c r="AQ132" s="60">
        <v>9000</v>
      </c>
      <c r="AR132" s="60">
        <v>9500</v>
      </c>
      <c r="AS132" s="60">
        <v>10000</v>
      </c>
      <c r="AT132" s="60">
        <v>10500</v>
      </c>
      <c r="AU132" s="60">
        <v>11000</v>
      </c>
      <c r="AV132" s="60">
        <v>11500</v>
      </c>
      <c r="AW132" s="54">
        <v>7500</v>
      </c>
    </row>
    <row r="133" spans="2:49" x14ac:dyDescent="0.2">
      <c r="B133" s="63" t="s">
        <v>52</v>
      </c>
      <c r="F133" s="574"/>
      <c r="G133" s="573"/>
      <c r="H133" s="56">
        <v>1.5</v>
      </c>
      <c r="I133" s="55">
        <v>3.8</v>
      </c>
      <c r="J133" s="59">
        <v>5.3</v>
      </c>
      <c r="K133" s="58">
        <v>7500</v>
      </c>
      <c r="L133" s="57">
        <v>6</v>
      </c>
      <c r="M133" s="56">
        <v>11000</v>
      </c>
      <c r="N133" s="61"/>
      <c r="O133" s="61"/>
      <c r="P133" s="61"/>
      <c r="Q133" s="61"/>
      <c r="R133" s="61"/>
      <c r="S133" s="61"/>
      <c r="T133" s="61"/>
      <c r="U133" s="61"/>
      <c r="V133" s="61"/>
      <c r="W133" s="61"/>
      <c r="X133" s="60"/>
      <c r="Y133" s="60"/>
      <c r="Z133" s="60"/>
      <c r="AA133" s="60">
        <v>500</v>
      </c>
      <c r="AB133" s="60">
        <v>1000</v>
      </c>
      <c r="AC133" s="60">
        <v>1500</v>
      </c>
      <c r="AD133" s="60">
        <v>2000</v>
      </c>
      <c r="AE133" s="60">
        <v>2500</v>
      </c>
      <c r="AF133" s="60">
        <v>3000</v>
      </c>
      <c r="AG133" s="60">
        <v>3500</v>
      </c>
      <c r="AH133" s="60">
        <v>4000</v>
      </c>
      <c r="AI133" s="60">
        <v>4500</v>
      </c>
      <c r="AJ133" s="60">
        <v>5000</v>
      </c>
      <c r="AK133" s="60">
        <v>5500</v>
      </c>
      <c r="AL133" s="60">
        <v>6000</v>
      </c>
      <c r="AM133" s="60">
        <v>6500</v>
      </c>
      <c r="AN133" s="60">
        <v>7000</v>
      </c>
      <c r="AO133" s="60">
        <v>7500</v>
      </c>
      <c r="AP133" s="60">
        <v>8000</v>
      </c>
      <c r="AQ133" s="60">
        <v>8500</v>
      </c>
      <c r="AR133" s="60">
        <v>9000</v>
      </c>
      <c r="AS133" s="60">
        <v>9500</v>
      </c>
      <c r="AT133" s="60">
        <v>10000</v>
      </c>
      <c r="AU133" s="60">
        <v>10500</v>
      </c>
      <c r="AV133" s="60">
        <v>11000</v>
      </c>
      <c r="AW133" s="54">
        <v>7500</v>
      </c>
    </row>
    <row r="134" spans="2:49" x14ac:dyDescent="0.2">
      <c r="B134" s="63" t="s">
        <v>51</v>
      </c>
      <c r="F134" s="574"/>
      <c r="G134" s="573"/>
      <c r="H134" s="56">
        <v>2</v>
      </c>
      <c r="I134" s="55">
        <v>4.8</v>
      </c>
      <c r="J134" s="59"/>
      <c r="K134" s="58"/>
      <c r="L134" s="57">
        <v>6</v>
      </c>
      <c r="M134" s="56">
        <v>6000</v>
      </c>
      <c r="N134" s="61"/>
      <c r="O134" s="61"/>
      <c r="P134" s="61"/>
      <c r="Q134" s="61"/>
      <c r="R134" s="61"/>
      <c r="S134" s="61"/>
      <c r="T134" s="61"/>
      <c r="U134" s="61"/>
      <c r="V134" s="61"/>
      <c r="W134" s="61"/>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v>500</v>
      </c>
      <c r="AV134" s="60">
        <v>1000</v>
      </c>
      <c r="AW134" s="54">
        <v>10000</v>
      </c>
    </row>
    <row r="135" spans="2:49" x14ac:dyDescent="0.2">
      <c r="B135" s="63" t="s">
        <v>50</v>
      </c>
      <c r="F135" s="574">
        <v>700</v>
      </c>
      <c r="G135" s="573">
        <v>20</v>
      </c>
      <c r="H135" s="56">
        <v>1.8</v>
      </c>
      <c r="I135" s="55">
        <v>2.7</v>
      </c>
      <c r="J135" s="59">
        <v>4.5</v>
      </c>
      <c r="K135" s="58">
        <v>12600</v>
      </c>
      <c r="L135" s="57">
        <v>6</v>
      </c>
      <c r="M135" s="56">
        <v>23100</v>
      </c>
      <c r="N135" s="61"/>
      <c r="O135" s="61"/>
      <c r="P135" s="61"/>
      <c r="Q135" s="61"/>
      <c r="R135" s="61"/>
      <c r="S135" s="61"/>
      <c r="T135" s="61"/>
      <c r="U135" s="61"/>
      <c r="V135" s="61"/>
      <c r="W135" s="61"/>
      <c r="X135" s="60"/>
      <c r="Y135" s="60"/>
      <c r="Z135" s="60">
        <v>700</v>
      </c>
      <c r="AA135" s="60">
        <f t="shared" ref="AA135:AV135" si="25">Z135+$D$21</f>
        <v>1400</v>
      </c>
      <c r="AB135" s="60">
        <f t="shared" si="25"/>
        <v>2100</v>
      </c>
      <c r="AC135" s="60">
        <f t="shared" si="25"/>
        <v>2800</v>
      </c>
      <c r="AD135" s="60">
        <f t="shared" si="25"/>
        <v>3500</v>
      </c>
      <c r="AE135" s="60">
        <f t="shared" si="25"/>
        <v>4200</v>
      </c>
      <c r="AF135" s="60">
        <f t="shared" si="25"/>
        <v>4900</v>
      </c>
      <c r="AG135" s="60">
        <f t="shared" si="25"/>
        <v>5600</v>
      </c>
      <c r="AH135" s="60">
        <f t="shared" si="25"/>
        <v>6300</v>
      </c>
      <c r="AI135" s="60">
        <f t="shared" si="25"/>
        <v>7000</v>
      </c>
      <c r="AJ135" s="60">
        <f t="shared" si="25"/>
        <v>7700</v>
      </c>
      <c r="AK135" s="60">
        <f t="shared" si="25"/>
        <v>8400</v>
      </c>
      <c r="AL135" s="60">
        <f t="shared" si="25"/>
        <v>9100</v>
      </c>
      <c r="AM135" s="60">
        <f t="shared" si="25"/>
        <v>9800</v>
      </c>
      <c r="AN135" s="60">
        <f t="shared" si="25"/>
        <v>10500</v>
      </c>
      <c r="AO135" s="60">
        <f t="shared" si="25"/>
        <v>11200</v>
      </c>
      <c r="AP135" s="60">
        <f t="shared" si="25"/>
        <v>11900</v>
      </c>
      <c r="AQ135" s="60">
        <f t="shared" si="25"/>
        <v>12600</v>
      </c>
      <c r="AR135" s="60">
        <f t="shared" si="25"/>
        <v>13300</v>
      </c>
      <c r="AS135" s="60">
        <f t="shared" si="25"/>
        <v>14000</v>
      </c>
      <c r="AT135" s="60">
        <f t="shared" si="25"/>
        <v>14700</v>
      </c>
      <c r="AU135" s="60">
        <f t="shared" si="25"/>
        <v>15400</v>
      </c>
      <c r="AV135" s="60">
        <f t="shared" si="25"/>
        <v>16100</v>
      </c>
      <c r="AW135" s="54">
        <v>12600</v>
      </c>
    </row>
    <row r="136" spans="2:49" x14ac:dyDescent="0.2">
      <c r="B136" s="63" t="s">
        <v>49</v>
      </c>
      <c r="F136" s="574"/>
      <c r="G136" s="573"/>
      <c r="H136" s="56">
        <v>2.2999999999999998</v>
      </c>
      <c r="I136" s="55">
        <v>3.4</v>
      </c>
      <c r="J136" s="59">
        <v>5.7</v>
      </c>
      <c r="K136" s="58">
        <v>16100</v>
      </c>
      <c r="L136" s="57">
        <v>6</v>
      </c>
      <c r="M136" s="56">
        <v>18200</v>
      </c>
      <c r="N136" s="61"/>
      <c r="O136" s="61"/>
      <c r="P136" s="61"/>
      <c r="Q136" s="61"/>
      <c r="R136" s="61"/>
      <c r="S136" s="61"/>
      <c r="T136" s="61"/>
      <c r="U136" s="61"/>
      <c r="V136" s="61"/>
      <c r="W136" s="61"/>
      <c r="X136" s="60"/>
      <c r="Y136" s="60"/>
      <c r="Z136" s="60"/>
      <c r="AA136" s="60"/>
      <c r="AB136" s="60"/>
      <c r="AC136" s="60"/>
      <c r="AD136" s="60"/>
      <c r="AE136" s="60"/>
      <c r="AF136" s="60"/>
      <c r="AG136" s="60">
        <v>700</v>
      </c>
      <c r="AH136" s="60">
        <f t="shared" ref="AH136:AV136" si="26">AG136+$D$21</f>
        <v>1400</v>
      </c>
      <c r="AI136" s="60">
        <f t="shared" si="26"/>
        <v>2100</v>
      </c>
      <c r="AJ136" s="60">
        <f t="shared" si="26"/>
        <v>2800</v>
      </c>
      <c r="AK136" s="60">
        <f t="shared" si="26"/>
        <v>3500</v>
      </c>
      <c r="AL136" s="60">
        <f t="shared" si="26"/>
        <v>4200</v>
      </c>
      <c r="AM136" s="60">
        <f t="shared" si="26"/>
        <v>4900</v>
      </c>
      <c r="AN136" s="60">
        <f t="shared" si="26"/>
        <v>5600</v>
      </c>
      <c r="AO136" s="60">
        <f t="shared" si="26"/>
        <v>6300</v>
      </c>
      <c r="AP136" s="60">
        <f t="shared" si="26"/>
        <v>7000</v>
      </c>
      <c r="AQ136" s="60">
        <f t="shared" si="26"/>
        <v>7700</v>
      </c>
      <c r="AR136" s="60">
        <f t="shared" si="26"/>
        <v>8400</v>
      </c>
      <c r="AS136" s="60">
        <f t="shared" si="26"/>
        <v>9100</v>
      </c>
      <c r="AT136" s="60">
        <f t="shared" si="26"/>
        <v>9800</v>
      </c>
      <c r="AU136" s="60">
        <f t="shared" si="26"/>
        <v>10500</v>
      </c>
      <c r="AV136" s="60">
        <f t="shared" si="26"/>
        <v>11200</v>
      </c>
      <c r="AW136" s="54">
        <v>16100</v>
      </c>
    </row>
    <row r="137" spans="2:49" x14ac:dyDescent="0.2">
      <c r="B137" s="63" t="s">
        <v>48</v>
      </c>
      <c r="F137" s="574"/>
      <c r="G137" s="573"/>
      <c r="H137" s="56">
        <v>3</v>
      </c>
      <c r="I137" s="55">
        <v>4.2</v>
      </c>
      <c r="J137" s="59"/>
      <c r="K137" s="58"/>
      <c r="L137" s="57">
        <v>6</v>
      </c>
      <c r="M137" s="56">
        <v>12600</v>
      </c>
      <c r="N137" s="61"/>
      <c r="O137" s="61"/>
      <c r="P137" s="61"/>
      <c r="Q137" s="61"/>
      <c r="R137" s="61"/>
      <c r="S137" s="61"/>
      <c r="T137" s="61"/>
      <c r="U137" s="61"/>
      <c r="V137" s="61"/>
      <c r="W137" s="61"/>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54">
        <v>21000</v>
      </c>
    </row>
    <row r="138" spans="2:49" x14ac:dyDescent="0.2">
      <c r="B138" s="63" t="s">
        <v>47</v>
      </c>
      <c r="F138" s="574"/>
      <c r="G138" s="573">
        <v>40</v>
      </c>
      <c r="H138" s="56">
        <v>0.2</v>
      </c>
      <c r="I138" s="55">
        <v>1</v>
      </c>
      <c r="J138" s="59"/>
      <c r="K138" s="58"/>
      <c r="L138" s="57">
        <v>6</v>
      </c>
      <c r="M138" s="56">
        <v>35000</v>
      </c>
      <c r="N138" s="56">
        <v>4200</v>
      </c>
      <c r="O138" s="56">
        <f t="shared" ref="O138:AV138" si="27">N138+$D$21</f>
        <v>4900</v>
      </c>
      <c r="P138" s="56">
        <f t="shared" si="27"/>
        <v>5600</v>
      </c>
      <c r="Q138" s="56">
        <f t="shared" si="27"/>
        <v>6300</v>
      </c>
      <c r="R138" s="56">
        <f t="shared" si="27"/>
        <v>7000</v>
      </c>
      <c r="S138" s="56">
        <f t="shared" si="27"/>
        <v>7700</v>
      </c>
      <c r="T138" s="56">
        <f t="shared" si="27"/>
        <v>8400</v>
      </c>
      <c r="U138" s="56">
        <f t="shared" si="27"/>
        <v>9100</v>
      </c>
      <c r="V138" s="56">
        <f t="shared" si="27"/>
        <v>9800</v>
      </c>
      <c r="W138" s="56">
        <f t="shared" si="27"/>
        <v>10500</v>
      </c>
      <c r="X138" s="56">
        <f t="shared" si="27"/>
        <v>11200</v>
      </c>
      <c r="Y138" s="56">
        <f t="shared" si="27"/>
        <v>11900</v>
      </c>
      <c r="Z138" s="56">
        <f t="shared" si="27"/>
        <v>12600</v>
      </c>
      <c r="AA138" s="56">
        <f t="shared" si="27"/>
        <v>13300</v>
      </c>
      <c r="AB138" s="56">
        <f t="shared" si="27"/>
        <v>14000</v>
      </c>
      <c r="AC138" s="56">
        <f t="shared" si="27"/>
        <v>14700</v>
      </c>
      <c r="AD138" s="56">
        <f t="shared" si="27"/>
        <v>15400</v>
      </c>
      <c r="AE138" s="56">
        <f t="shared" si="27"/>
        <v>16100</v>
      </c>
      <c r="AF138" s="56">
        <f t="shared" si="27"/>
        <v>16800</v>
      </c>
      <c r="AG138" s="56">
        <f t="shared" si="27"/>
        <v>17500</v>
      </c>
      <c r="AH138" s="56">
        <f t="shared" si="27"/>
        <v>18200</v>
      </c>
      <c r="AI138" s="56">
        <f t="shared" si="27"/>
        <v>18900</v>
      </c>
      <c r="AJ138" s="56">
        <f t="shared" si="27"/>
        <v>19600</v>
      </c>
      <c r="AK138" s="56">
        <f t="shared" si="27"/>
        <v>20300</v>
      </c>
      <c r="AL138" s="56">
        <f t="shared" si="27"/>
        <v>21000</v>
      </c>
      <c r="AM138" s="56">
        <f t="shared" si="27"/>
        <v>21700</v>
      </c>
      <c r="AN138" s="56">
        <f t="shared" si="27"/>
        <v>22400</v>
      </c>
      <c r="AO138" s="56">
        <f t="shared" si="27"/>
        <v>23100</v>
      </c>
      <c r="AP138" s="56">
        <f t="shared" si="27"/>
        <v>23800</v>
      </c>
      <c r="AQ138" s="56">
        <f t="shared" si="27"/>
        <v>24500</v>
      </c>
      <c r="AR138" s="56">
        <f t="shared" si="27"/>
        <v>25200</v>
      </c>
      <c r="AS138" s="56">
        <f t="shared" si="27"/>
        <v>25900</v>
      </c>
      <c r="AT138" s="56">
        <f t="shared" si="27"/>
        <v>26600</v>
      </c>
      <c r="AU138" s="56">
        <f t="shared" si="27"/>
        <v>27300</v>
      </c>
      <c r="AV138" s="56">
        <f t="shared" si="27"/>
        <v>28000</v>
      </c>
      <c r="AW138" s="54">
        <v>1400</v>
      </c>
    </row>
    <row r="139" spans="2:49" x14ac:dyDescent="0.2">
      <c r="B139" s="63" t="s">
        <v>1278</v>
      </c>
      <c r="F139" s="574"/>
      <c r="G139" s="573"/>
      <c r="H139" s="56">
        <v>0.5</v>
      </c>
      <c r="I139" s="55">
        <v>1.9</v>
      </c>
      <c r="J139" s="59">
        <v>2.4</v>
      </c>
      <c r="K139" s="58">
        <v>3500</v>
      </c>
      <c r="L139" s="57">
        <v>6</v>
      </c>
      <c r="M139" s="56">
        <v>28700</v>
      </c>
      <c r="N139" s="56"/>
      <c r="O139" s="56"/>
      <c r="P139" s="56"/>
      <c r="Q139" s="56"/>
      <c r="R139" s="56">
        <v>700</v>
      </c>
      <c r="S139" s="56">
        <f t="shared" ref="S139:AV139" si="28">R139+$D$21</f>
        <v>1400</v>
      </c>
      <c r="T139" s="56">
        <f t="shared" si="28"/>
        <v>2100</v>
      </c>
      <c r="U139" s="56">
        <f t="shared" si="28"/>
        <v>2800</v>
      </c>
      <c r="V139" s="56">
        <f t="shared" si="28"/>
        <v>3500</v>
      </c>
      <c r="W139" s="56">
        <f t="shared" si="28"/>
        <v>4200</v>
      </c>
      <c r="X139" s="56">
        <f t="shared" si="28"/>
        <v>4900</v>
      </c>
      <c r="Y139" s="56">
        <f t="shared" si="28"/>
        <v>5600</v>
      </c>
      <c r="Z139" s="56">
        <f t="shared" si="28"/>
        <v>6300</v>
      </c>
      <c r="AA139" s="56">
        <f t="shared" si="28"/>
        <v>7000</v>
      </c>
      <c r="AB139" s="56">
        <f t="shared" si="28"/>
        <v>7700</v>
      </c>
      <c r="AC139" s="56">
        <f t="shared" si="28"/>
        <v>8400</v>
      </c>
      <c r="AD139" s="56">
        <f t="shared" si="28"/>
        <v>9100</v>
      </c>
      <c r="AE139" s="56">
        <f t="shared" si="28"/>
        <v>9800</v>
      </c>
      <c r="AF139" s="56">
        <f t="shared" si="28"/>
        <v>10500</v>
      </c>
      <c r="AG139" s="56">
        <f t="shared" si="28"/>
        <v>11200</v>
      </c>
      <c r="AH139" s="56">
        <f t="shared" si="28"/>
        <v>11900</v>
      </c>
      <c r="AI139" s="56">
        <f t="shared" si="28"/>
        <v>12600</v>
      </c>
      <c r="AJ139" s="56">
        <f t="shared" si="28"/>
        <v>13300</v>
      </c>
      <c r="AK139" s="56">
        <f t="shared" si="28"/>
        <v>14000</v>
      </c>
      <c r="AL139" s="56">
        <f t="shared" si="28"/>
        <v>14700</v>
      </c>
      <c r="AM139" s="56">
        <f t="shared" si="28"/>
        <v>15400</v>
      </c>
      <c r="AN139" s="56">
        <f t="shared" si="28"/>
        <v>16100</v>
      </c>
      <c r="AO139" s="56">
        <f t="shared" si="28"/>
        <v>16800</v>
      </c>
      <c r="AP139" s="56">
        <f t="shared" si="28"/>
        <v>17500</v>
      </c>
      <c r="AQ139" s="56">
        <f t="shared" si="28"/>
        <v>18200</v>
      </c>
      <c r="AR139" s="56">
        <f t="shared" si="28"/>
        <v>18900</v>
      </c>
      <c r="AS139" s="56">
        <f t="shared" si="28"/>
        <v>19600</v>
      </c>
      <c r="AT139" s="56">
        <f t="shared" si="28"/>
        <v>20300</v>
      </c>
      <c r="AU139" s="56">
        <f t="shared" si="28"/>
        <v>21000</v>
      </c>
      <c r="AV139" s="56">
        <f t="shared" si="28"/>
        <v>21700</v>
      </c>
      <c r="AW139" s="54">
        <v>3500</v>
      </c>
    </row>
    <row r="140" spans="2:49" x14ac:dyDescent="0.2">
      <c r="B140" s="63" t="s">
        <v>46</v>
      </c>
      <c r="F140" s="574"/>
      <c r="G140" s="573"/>
      <c r="H140" s="56">
        <v>1</v>
      </c>
      <c r="I140" s="55">
        <v>2.4</v>
      </c>
      <c r="J140" s="59">
        <v>3.4</v>
      </c>
      <c r="K140" s="58">
        <v>7000</v>
      </c>
      <c r="L140" s="57">
        <v>6</v>
      </c>
      <c r="M140" s="56">
        <v>25200</v>
      </c>
      <c r="N140" s="56"/>
      <c r="O140" s="56"/>
      <c r="P140" s="56"/>
      <c r="Q140" s="56"/>
      <c r="R140" s="56"/>
      <c r="S140" s="56"/>
      <c r="T140" s="56"/>
      <c r="U140" s="56"/>
      <c r="V140" s="61">
        <v>700</v>
      </c>
      <c r="W140" s="61">
        <f t="shared" ref="W140:AV140" si="29">V140+$D$21</f>
        <v>1400</v>
      </c>
      <c r="X140" s="61">
        <f t="shared" si="29"/>
        <v>2100</v>
      </c>
      <c r="Y140" s="61">
        <f t="shared" si="29"/>
        <v>2800</v>
      </c>
      <c r="Z140" s="61">
        <f t="shared" si="29"/>
        <v>3500</v>
      </c>
      <c r="AA140" s="61">
        <f t="shared" si="29"/>
        <v>4200</v>
      </c>
      <c r="AB140" s="61">
        <f t="shared" si="29"/>
        <v>4900</v>
      </c>
      <c r="AC140" s="61">
        <f t="shared" si="29"/>
        <v>5600</v>
      </c>
      <c r="AD140" s="61">
        <f t="shared" si="29"/>
        <v>6300</v>
      </c>
      <c r="AE140" s="61">
        <f t="shared" si="29"/>
        <v>7000</v>
      </c>
      <c r="AF140" s="61">
        <f t="shared" si="29"/>
        <v>7700</v>
      </c>
      <c r="AG140" s="61">
        <f t="shared" si="29"/>
        <v>8400</v>
      </c>
      <c r="AH140" s="61">
        <f t="shared" si="29"/>
        <v>9100</v>
      </c>
      <c r="AI140" s="61">
        <f t="shared" si="29"/>
        <v>9800</v>
      </c>
      <c r="AJ140" s="61">
        <f t="shared" si="29"/>
        <v>10500</v>
      </c>
      <c r="AK140" s="61">
        <f t="shared" si="29"/>
        <v>11200</v>
      </c>
      <c r="AL140" s="61">
        <f t="shared" si="29"/>
        <v>11900</v>
      </c>
      <c r="AM140" s="61">
        <f t="shared" si="29"/>
        <v>12600</v>
      </c>
      <c r="AN140" s="61">
        <f t="shared" si="29"/>
        <v>13300</v>
      </c>
      <c r="AO140" s="61">
        <f t="shared" si="29"/>
        <v>14000</v>
      </c>
      <c r="AP140" s="61">
        <f t="shared" si="29"/>
        <v>14700</v>
      </c>
      <c r="AQ140" s="61">
        <f t="shared" si="29"/>
        <v>15400</v>
      </c>
      <c r="AR140" s="61">
        <f t="shared" si="29"/>
        <v>16100</v>
      </c>
      <c r="AS140" s="61">
        <f t="shared" si="29"/>
        <v>16800</v>
      </c>
      <c r="AT140" s="61">
        <f t="shared" si="29"/>
        <v>17500</v>
      </c>
      <c r="AU140" s="61">
        <f t="shared" si="29"/>
        <v>18200</v>
      </c>
      <c r="AV140" s="61">
        <f t="shared" si="29"/>
        <v>18900</v>
      </c>
      <c r="AW140" s="54">
        <v>7000</v>
      </c>
    </row>
    <row r="141" spans="2:49" x14ac:dyDescent="0.2">
      <c r="B141" s="63" t="s">
        <v>45</v>
      </c>
      <c r="F141" s="574"/>
      <c r="G141" s="573"/>
      <c r="H141" s="56">
        <v>1.5</v>
      </c>
      <c r="I141" s="55">
        <v>2.7</v>
      </c>
      <c r="J141" s="59">
        <v>4.2</v>
      </c>
      <c r="K141" s="58">
        <v>10500</v>
      </c>
      <c r="L141" s="57">
        <v>6</v>
      </c>
      <c r="M141" s="56">
        <v>23100</v>
      </c>
      <c r="N141" s="56"/>
      <c r="O141" s="56"/>
      <c r="P141" s="56"/>
      <c r="Q141" s="56"/>
      <c r="R141" s="56"/>
      <c r="S141" s="56"/>
      <c r="T141" s="56"/>
      <c r="U141" s="56"/>
      <c r="V141" s="61"/>
      <c r="W141" s="61"/>
      <c r="X141" s="60"/>
      <c r="Y141" s="60"/>
      <c r="Z141" s="60">
        <v>700</v>
      </c>
      <c r="AA141" s="61">
        <f t="shared" ref="AA141:AV141" si="30">Z141+$D$21</f>
        <v>1400</v>
      </c>
      <c r="AB141" s="61">
        <f t="shared" si="30"/>
        <v>2100</v>
      </c>
      <c r="AC141" s="61">
        <f t="shared" si="30"/>
        <v>2800</v>
      </c>
      <c r="AD141" s="61">
        <f t="shared" si="30"/>
        <v>3500</v>
      </c>
      <c r="AE141" s="61">
        <f t="shared" si="30"/>
        <v>4200</v>
      </c>
      <c r="AF141" s="61">
        <f t="shared" si="30"/>
        <v>4900</v>
      </c>
      <c r="AG141" s="61">
        <f t="shared" si="30"/>
        <v>5600</v>
      </c>
      <c r="AH141" s="61">
        <f t="shared" si="30"/>
        <v>6300</v>
      </c>
      <c r="AI141" s="61">
        <f t="shared" si="30"/>
        <v>7000</v>
      </c>
      <c r="AJ141" s="61">
        <f t="shared" si="30"/>
        <v>7700</v>
      </c>
      <c r="AK141" s="61">
        <f t="shared" si="30"/>
        <v>8400</v>
      </c>
      <c r="AL141" s="61">
        <f t="shared" si="30"/>
        <v>9100</v>
      </c>
      <c r="AM141" s="61">
        <f t="shared" si="30"/>
        <v>9800</v>
      </c>
      <c r="AN141" s="61">
        <f t="shared" si="30"/>
        <v>10500</v>
      </c>
      <c r="AO141" s="61">
        <f t="shared" si="30"/>
        <v>11200</v>
      </c>
      <c r="AP141" s="61">
        <f t="shared" si="30"/>
        <v>11900</v>
      </c>
      <c r="AQ141" s="61">
        <f t="shared" si="30"/>
        <v>12600</v>
      </c>
      <c r="AR141" s="61">
        <f t="shared" si="30"/>
        <v>13300</v>
      </c>
      <c r="AS141" s="61">
        <f t="shared" si="30"/>
        <v>14000</v>
      </c>
      <c r="AT141" s="61">
        <f t="shared" si="30"/>
        <v>14700</v>
      </c>
      <c r="AU141" s="61">
        <f t="shared" si="30"/>
        <v>15400</v>
      </c>
      <c r="AV141" s="61">
        <f t="shared" si="30"/>
        <v>16100</v>
      </c>
      <c r="AW141" s="54">
        <v>10500</v>
      </c>
    </row>
    <row r="142" spans="2:49" x14ac:dyDescent="0.2">
      <c r="B142" s="63" t="s">
        <v>44</v>
      </c>
      <c r="F142" s="574"/>
      <c r="G142" s="573"/>
      <c r="H142" s="56">
        <v>1.5</v>
      </c>
      <c r="I142" s="55">
        <v>3.8</v>
      </c>
      <c r="J142" s="59">
        <v>5.3</v>
      </c>
      <c r="K142" s="58">
        <v>10500</v>
      </c>
      <c r="L142" s="57">
        <v>6</v>
      </c>
      <c r="M142" s="56">
        <v>15400</v>
      </c>
      <c r="N142" s="56"/>
      <c r="O142" s="56"/>
      <c r="P142" s="56"/>
      <c r="Q142" s="56"/>
      <c r="R142" s="56"/>
      <c r="S142" s="56"/>
      <c r="T142" s="56"/>
      <c r="U142" s="56"/>
      <c r="V142" s="61"/>
      <c r="W142" s="61"/>
      <c r="X142" s="60"/>
      <c r="Y142" s="60"/>
      <c r="Z142" s="60"/>
      <c r="AA142" s="60"/>
      <c r="AB142" s="60"/>
      <c r="AC142" s="60"/>
      <c r="AD142" s="60"/>
      <c r="AE142" s="60"/>
      <c r="AF142" s="60"/>
      <c r="AG142" s="60"/>
      <c r="AH142" s="60"/>
      <c r="AI142" s="60"/>
      <c r="AJ142" s="60"/>
      <c r="AK142" s="60">
        <v>700</v>
      </c>
      <c r="AL142" s="61">
        <f t="shared" ref="AL142:AV142" si="31">AK142+$D$21</f>
        <v>1400</v>
      </c>
      <c r="AM142" s="61">
        <f t="shared" si="31"/>
        <v>2100</v>
      </c>
      <c r="AN142" s="61">
        <f t="shared" si="31"/>
        <v>2800</v>
      </c>
      <c r="AO142" s="61">
        <f t="shared" si="31"/>
        <v>3500</v>
      </c>
      <c r="AP142" s="61">
        <f t="shared" si="31"/>
        <v>4200</v>
      </c>
      <c r="AQ142" s="61">
        <f t="shared" si="31"/>
        <v>4900</v>
      </c>
      <c r="AR142" s="61">
        <f t="shared" si="31"/>
        <v>5600</v>
      </c>
      <c r="AS142" s="61">
        <f t="shared" si="31"/>
        <v>6300</v>
      </c>
      <c r="AT142" s="61">
        <f t="shared" si="31"/>
        <v>7000</v>
      </c>
      <c r="AU142" s="61">
        <f t="shared" si="31"/>
        <v>7700</v>
      </c>
      <c r="AV142" s="61">
        <f t="shared" si="31"/>
        <v>8400</v>
      </c>
      <c r="AW142" s="54">
        <v>10500</v>
      </c>
    </row>
    <row r="143" spans="2:49" x14ac:dyDescent="0.2">
      <c r="B143" s="63" t="s">
        <v>43</v>
      </c>
      <c r="F143" s="574"/>
      <c r="G143" s="573"/>
      <c r="H143" s="56">
        <v>2</v>
      </c>
      <c r="I143" s="55">
        <v>4.8</v>
      </c>
      <c r="J143" s="59"/>
      <c r="K143" s="58"/>
      <c r="L143" s="57">
        <v>6</v>
      </c>
      <c r="M143" s="56">
        <v>8400</v>
      </c>
      <c r="N143" s="56"/>
      <c r="O143" s="56"/>
      <c r="P143" s="56"/>
      <c r="Q143" s="56"/>
      <c r="R143" s="56"/>
      <c r="S143" s="56"/>
      <c r="T143" s="56"/>
      <c r="U143" s="56"/>
      <c r="V143" s="61"/>
      <c r="W143" s="61"/>
      <c r="X143" s="60"/>
      <c r="Y143" s="60"/>
      <c r="Z143" s="60"/>
      <c r="AA143" s="60"/>
      <c r="AB143" s="60"/>
      <c r="AC143" s="60"/>
      <c r="AD143" s="60"/>
      <c r="AE143" s="60"/>
      <c r="AF143" s="60"/>
      <c r="AG143" s="60"/>
      <c r="AH143" s="60"/>
      <c r="AI143" s="60"/>
      <c r="AJ143" s="60"/>
      <c r="AK143" s="60"/>
      <c r="AL143" s="60"/>
      <c r="AM143" s="60"/>
      <c r="AN143" s="60"/>
      <c r="AO143" s="60"/>
      <c r="AP143" s="60"/>
      <c r="AQ143" s="60"/>
      <c r="AR143" s="60"/>
      <c r="AS143" s="60"/>
      <c r="AT143" s="60"/>
      <c r="AU143" s="60"/>
      <c r="AV143" s="60"/>
      <c r="AW143" s="54">
        <v>14000</v>
      </c>
    </row>
    <row r="144" spans="2:49" x14ac:dyDescent="0.2">
      <c r="B144" s="63" t="s">
        <v>42</v>
      </c>
      <c r="F144" s="574"/>
      <c r="G144" s="573">
        <v>60</v>
      </c>
      <c r="H144" s="56">
        <v>0.2</v>
      </c>
      <c r="I144" s="55">
        <v>1</v>
      </c>
      <c r="J144" s="59"/>
      <c r="K144" s="58"/>
      <c r="L144" s="57">
        <v>6</v>
      </c>
      <c r="M144" s="56">
        <v>35000</v>
      </c>
      <c r="N144" s="56">
        <v>4200</v>
      </c>
      <c r="O144" s="56">
        <f t="shared" ref="O144:AV144" si="32">N144+$D$21</f>
        <v>4900</v>
      </c>
      <c r="P144" s="56">
        <f t="shared" si="32"/>
        <v>5600</v>
      </c>
      <c r="Q144" s="56">
        <f t="shared" si="32"/>
        <v>6300</v>
      </c>
      <c r="R144" s="56">
        <f t="shared" si="32"/>
        <v>7000</v>
      </c>
      <c r="S144" s="56">
        <f t="shared" si="32"/>
        <v>7700</v>
      </c>
      <c r="T144" s="56">
        <f t="shared" si="32"/>
        <v>8400</v>
      </c>
      <c r="U144" s="56">
        <f t="shared" si="32"/>
        <v>9100</v>
      </c>
      <c r="V144" s="56">
        <f t="shared" si="32"/>
        <v>9800</v>
      </c>
      <c r="W144" s="56">
        <f t="shared" si="32"/>
        <v>10500</v>
      </c>
      <c r="X144" s="56">
        <f t="shared" si="32"/>
        <v>11200</v>
      </c>
      <c r="Y144" s="56">
        <f t="shared" si="32"/>
        <v>11900</v>
      </c>
      <c r="Z144" s="56">
        <f t="shared" si="32"/>
        <v>12600</v>
      </c>
      <c r="AA144" s="56">
        <f t="shared" si="32"/>
        <v>13300</v>
      </c>
      <c r="AB144" s="56">
        <f t="shared" si="32"/>
        <v>14000</v>
      </c>
      <c r="AC144" s="56">
        <f t="shared" si="32"/>
        <v>14700</v>
      </c>
      <c r="AD144" s="56">
        <f t="shared" si="32"/>
        <v>15400</v>
      </c>
      <c r="AE144" s="56">
        <f t="shared" si="32"/>
        <v>16100</v>
      </c>
      <c r="AF144" s="56">
        <f t="shared" si="32"/>
        <v>16800</v>
      </c>
      <c r="AG144" s="56">
        <f t="shared" si="32"/>
        <v>17500</v>
      </c>
      <c r="AH144" s="56">
        <f t="shared" si="32"/>
        <v>18200</v>
      </c>
      <c r="AI144" s="56">
        <f t="shared" si="32"/>
        <v>18900</v>
      </c>
      <c r="AJ144" s="56">
        <f t="shared" si="32"/>
        <v>19600</v>
      </c>
      <c r="AK144" s="56">
        <f t="shared" si="32"/>
        <v>20300</v>
      </c>
      <c r="AL144" s="56">
        <f t="shared" si="32"/>
        <v>21000</v>
      </c>
      <c r="AM144" s="56">
        <f t="shared" si="32"/>
        <v>21700</v>
      </c>
      <c r="AN144" s="56">
        <f t="shared" si="32"/>
        <v>22400</v>
      </c>
      <c r="AO144" s="56">
        <f t="shared" si="32"/>
        <v>23100</v>
      </c>
      <c r="AP144" s="56">
        <f t="shared" si="32"/>
        <v>23800</v>
      </c>
      <c r="AQ144" s="56">
        <f t="shared" si="32"/>
        <v>24500</v>
      </c>
      <c r="AR144" s="56">
        <f t="shared" si="32"/>
        <v>25200</v>
      </c>
      <c r="AS144" s="56">
        <f t="shared" si="32"/>
        <v>25900</v>
      </c>
      <c r="AT144" s="56">
        <f t="shared" si="32"/>
        <v>26600</v>
      </c>
      <c r="AU144" s="56">
        <f t="shared" si="32"/>
        <v>27300</v>
      </c>
      <c r="AV144" s="56">
        <f t="shared" si="32"/>
        <v>28000</v>
      </c>
      <c r="AW144" s="54">
        <v>1400</v>
      </c>
    </row>
    <row r="145" spans="2:49" x14ac:dyDescent="0.2">
      <c r="B145" s="63" t="s">
        <v>41</v>
      </c>
      <c r="F145" s="574"/>
      <c r="G145" s="573"/>
      <c r="H145" s="56">
        <v>0.5</v>
      </c>
      <c r="I145" s="55">
        <v>1.9</v>
      </c>
      <c r="J145" s="59">
        <v>2.4</v>
      </c>
      <c r="K145" s="58">
        <v>3500</v>
      </c>
      <c r="L145" s="57">
        <v>6</v>
      </c>
      <c r="M145" s="56">
        <v>28700</v>
      </c>
      <c r="N145" s="56"/>
      <c r="O145" s="56"/>
      <c r="P145" s="56"/>
      <c r="Q145" s="56"/>
      <c r="R145" s="56">
        <v>700</v>
      </c>
      <c r="S145" s="56">
        <f t="shared" ref="S145:AV145" si="33">R145+$D$21</f>
        <v>1400</v>
      </c>
      <c r="T145" s="56">
        <f t="shared" si="33"/>
        <v>2100</v>
      </c>
      <c r="U145" s="56">
        <f t="shared" si="33"/>
        <v>2800</v>
      </c>
      <c r="V145" s="56">
        <f t="shared" si="33"/>
        <v>3500</v>
      </c>
      <c r="W145" s="56">
        <f t="shared" si="33"/>
        <v>4200</v>
      </c>
      <c r="X145" s="56">
        <f t="shared" si="33"/>
        <v>4900</v>
      </c>
      <c r="Y145" s="56">
        <f t="shared" si="33"/>
        <v>5600</v>
      </c>
      <c r="Z145" s="56">
        <f t="shared" si="33"/>
        <v>6300</v>
      </c>
      <c r="AA145" s="56">
        <f t="shared" si="33"/>
        <v>7000</v>
      </c>
      <c r="AB145" s="56">
        <f t="shared" si="33"/>
        <v>7700</v>
      </c>
      <c r="AC145" s="56">
        <f t="shared" si="33"/>
        <v>8400</v>
      </c>
      <c r="AD145" s="56">
        <f t="shared" si="33"/>
        <v>9100</v>
      </c>
      <c r="AE145" s="56">
        <f t="shared" si="33"/>
        <v>9800</v>
      </c>
      <c r="AF145" s="56">
        <f t="shared" si="33"/>
        <v>10500</v>
      </c>
      <c r="AG145" s="56">
        <f t="shared" si="33"/>
        <v>11200</v>
      </c>
      <c r="AH145" s="56">
        <f t="shared" si="33"/>
        <v>11900</v>
      </c>
      <c r="AI145" s="56">
        <f t="shared" si="33"/>
        <v>12600</v>
      </c>
      <c r="AJ145" s="56">
        <f t="shared" si="33"/>
        <v>13300</v>
      </c>
      <c r="AK145" s="56">
        <f t="shared" si="33"/>
        <v>14000</v>
      </c>
      <c r="AL145" s="56">
        <f t="shared" si="33"/>
        <v>14700</v>
      </c>
      <c r="AM145" s="56">
        <f t="shared" si="33"/>
        <v>15400</v>
      </c>
      <c r="AN145" s="56">
        <f t="shared" si="33"/>
        <v>16100</v>
      </c>
      <c r="AO145" s="56">
        <f t="shared" si="33"/>
        <v>16800</v>
      </c>
      <c r="AP145" s="56">
        <f t="shared" si="33"/>
        <v>17500</v>
      </c>
      <c r="AQ145" s="56">
        <f t="shared" si="33"/>
        <v>18200</v>
      </c>
      <c r="AR145" s="56">
        <f t="shared" si="33"/>
        <v>18900</v>
      </c>
      <c r="AS145" s="56">
        <f t="shared" si="33"/>
        <v>19600</v>
      </c>
      <c r="AT145" s="56">
        <f t="shared" si="33"/>
        <v>20300</v>
      </c>
      <c r="AU145" s="56">
        <f t="shared" si="33"/>
        <v>21000</v>
      </c>
      <c r="AV145" s="56">
        <f t="shared" si="33"/>
        <v>21700</v>
      </c>
      <c r="AW145" s="54">
        <v>3500</v>
      </c>
    </row>
    <row r="146" spans="2:49" x14ac:dyDescent="0.2">
      <c r="B146" s="63" t="s">
        <v>40</v>
      </c>
      <c r="F146" s="574"/>
      <c r="G146" s="573"/>
      <c r="H146" s="56">
        <v>1</v>
      </c>
      <c r="I146" s="55">
        <v>2.4</v>
      </c>
      <c r="J146" s="59">
        <v>3.4</v>
      </c>
      <c r="K146" s="58">
        <v>7000</v>
      </c>
      <c r="L146" s="57">
        <v>6</v>
      </c>
      <c r="M146" s="56">
        <v>25200</v>
      </c>
      <c r="N146" s="56"/>
      <c r="O146" s="56"/>
      <c r="P146" s="56"/>
      <c r="Q146" s="56"/>
      <c r="R146" s="56"/>
      <c r="S146" s="56"/>
      <c r="T146" s="56"/>
      <c r="U146" s="56"/>
      <c r="V146" s="61">
        <v>700</v>
      </c>
      <c r="W146" s="61">
        <f t="shared" ref="W146:AV146" si="34">V146+$D$21</f>
        <v>1400</v>
      </c>
      <c r="X146" s="61">
        <f t="shared" si="34"/>
        <v>2100</v>
      </c>
      <c r="Y146" s="61">
        <f t="shared" si="34"/>
        <v>2800</v>
      </c>
      <c r="Z146" s="61">
        <f t="shared" si="34"/>
        <v>3500</v>
      </c>
      <c r="AA146" s="61">
        <f t="shared" si="34"/>
        <v>4200</v>
      </c>
      <c r="AB146" s="61">
        <f t="shared" si="34"/>
        <v>4900</v>
      </c>
      <c r="AC146" s="61">
        <f t="shared" si="34"/>
        <v>5600</v>
      </c>
      <c r="AD146" s="61">
        <f t="shared" si="34"/>
        <v>6300</v>
      </c>
      <c r="AE146" s="61">
        <f t="shared" si="34"/>
        <v>7000</v>
      </c>
      <c r="AF146" s="61">
        <f t="shared" si="34"/>
        <v>7700</v>
      </c>
      <c r="AG146" s="61">
        <f t="shared" si="34"/>
        <v>8400</v>
      </c>
      <c r="AH146" s="61">
        <f t="shared" si="34"/>
        <v>9100</v>
      </c>
      <c r="AI146" s="61">
        <f t="shared" si="34"/>
        <v>9800</v>
      </c>
      <c r="AJ146" s="61">
        <f t="shared" si="34"/>
        <v>10500</v>
      </c>
      <c r="AK146" s="61">
        <f t="shared" si="34"/>
        <v>11200</v>
      </c>
      <c r="AL146" s="61">
        <f t="shared" si="34"/>
        <v>11900</v>
      </c>
      <c r="AM146" s="61">
        <f t="shared" si="34"/>
        <v>12600</v>
      </c>
      <c r="AN146" s="61">
        <f t="shared" si="34"/>
        <v>13300</v>
      </c>
      <c r="AO146" s="61">
        <f t="shared" si="34"/>
        <v>14000</v>
      </c>
      <c r="AP146" s="61">
        <f t="shared" si="34"/>
        <v>14700</v>
      </c>
      <c r="AQ146" s="61">
        <f t="shared" si="34"/>
        <v>15400</v>
      </c>
      <c r="AR146" s="61">
        <f t="shared" si="34"/>
        <v>16100</v>
      </c>
      <c r="AS146" s="61">
        <f t="shared" si="34"/>
        <v>16800</v>
      </c>
      <c r="AT146" s="61">
        <f t="shared" si="34"/>
        <v>17500</v>
      </c>
      <c r="AU146" s="61">
        <f t="shared" si="34"/>
        <v>18200</v>
      </c>
      <c r="AV146" s="61">
        <f t="shared" si="34"/>
        <v>18900</v>
      </c>
      <c r="AW146" s="54">
        <v>7000</v>
      </c>
    </row>
    <row r="147" spans="2:49" x14ac:dyDescent="0.2">
      <c r="B147" s="63" t="s">
        <v>39</v>
      </c>
      <c r="F147" s="574"/>
      <c r="G147" s="573"/>
      <c r="H147" s="56">
        <v>1.5</v>
      </c>
      <c r="I147" s="55">
        <v>3.8</v>
      </c>
      <c r="J147" s="59">
        <v>5.3</v>
      </c>
      <c r="K147" s="58">
        <v>10500</v>
      </c>
      <c r="L147" s="57">
        <v>6</v>
      </c>
      <c r="M147" s="56">
        <v>15400</v>
      </c>
      <c r="N147" s="56"/>
      <c r="O147" s="56"/>
      <c r="P147" s="56"/>
      <c r="Q147" s="56"/>
      <c r="R147" s="56"/>
      <c r="S147" s="56"/>
      <c r="T147" s="56"/>
      <c r="U147" s="56"/>
      <c r="V147" s="61"/>
      <c r="W147" s="61"/>
      <c r="X147" s="60"/>
      <c r="Y147" s="60"/>
      <c r="Z147" s="60">
        <v>700</v>
      </c>
      <c r="AA147" s="61">
        <f t="shared" ref="AA147:AV147" si="35">Z147+$D$21</f>
        <v>1400</v>
      </c>
      <c r="AB147" s="61">
        <f t="shared" si="35"/>
        <v>2100</v>
      </c>
      <c r="AC147" s="61">
        <f t="shared" si="35"/>
        <v>2800</v>
      </c>
      <c r="AD147" s="61">
        <f t="shared" si="35"/>
        <v>3500</v>
      </c>
      <c r="AE147" s="61">
        <f t="shared" si="35"/>
        <v>4200</v>
      </c>
      <c r="AF147" s="61">
        <f t="shared" si="35"/>
        <v>4900</v>
      </c>
      <c r="AG147" s="61">
        <f t="shared" si="35"/>
        <v>5600</v>
      </c>
      <c r="AH147" s="61">
        <f t="shared" si="35"/>
        <v>6300</v>
      </c>
      <c r="AI147" s="61">
        <f t="shared" si="35"/>
        <v>7000</v>
      </c>
      <c r="AJ147" s="61">
        <f t="shared" si="35"/>
        <v>7700</v>
      </c>
      <c r="AK147" s="61">
        <f t="shared" si="35"/>
        <v>8400</v>
      </c>
      <c r="AL147" s="61">
        <f t="shared" si="35"/>
        <v>9100</v>
      </c>
      <c r="AM147" s="61">
        <f t="shared" si="35"/>
        <v>9800</v>
      </c>
      <c r="AN147" s="61">
        <f t="shared" si="35"/>
        <v>10500</v>
      </c>
      <c r="AO147" s="61">
        <f t="shared" si="35"/>
        <v>11200</v>
      </c>
      <c r="AP147" s="61">
        <f t="shared" si="35"/>
        <v>11900</v>
      </c>
      <c r="AQ147" s="61">
        <f t="shared" si="35"/>
        <v>12600</v>
      </c>
      <c r="AR147" s="61">
        <f t="shared" si="35"/>
        <v>13300</v>
      </c>
      <c r="AS147" s="61">
        <f t="shared" si="35"/>
        <v>14000</v>
      </c>
      <c r="AT147" s="61">
        <f t="shared" si="35"/>
        <v>14700</v>
      </c>
      <c r="AU147" s="61">
        <f t="shared" si="35"/>
        <v>15400</v>
      </c>
      <c r="AV147" s="61">
        <f t="shared" si="35"/>
        <v>16100</v>
      </c>
      <c r="AW147" s="54">
        <v>10500</v>
      </c>
    </row>
    <row r="148" spans="2:49" x14ac:dyDescent="0.2">
      <c r="B148" s="63" t="s">
        <v>38</v>
      </c>
      <c r="F148" s="574"/>
      <c r="G148" s="573"/>
      <c r="H148" s="56">
        <v>2</v>
      </c>
      <c r="I148" s="55">
        <v>4.8</v>
      </c>
      <c r="J148" s="59"/>
      <c r="K148" s="58"/>
      <c r="L148" s="57">
        <v>6</v>
      </c>
      <c r="M148" s="56">
        <v>8400</v>
      </c>
      <c r="N148" s="56"/>
      <c r="O148" s="56"/>
      <c r="P148" s="56"/>
      <c r="Q148" s="56"/>
      <c r="R148" s="56"/>
      <c r="S148" s="56"/>
      <c r="T148" s="56"/>
      <c r="U148" s="56"/>
      <c r="V148" s="61"/>
      <c r="W148" s="61"/>
      <c r="X148" s="60"/>
      <c r="Y148" s="60"/>
      <c r="Z148" s="60"/>
      <c r="AA148" s="60"/>
      <c r="AB148" s="60"/>
      <c r="AC148" s="60"/>
      <c r="AD148" s="60"/>
      <c r="AE148" s="60"/>
      <c r="AF148" s="60"/>
      <c r="AG148" s="60"/>
      <c r="AH148" s="60"/>
      <c r="AI148" s="60"/>
      <c r="AJ148" s="60"/>
      <c r="AK148" s="60">
        <v>700</v>
      </c>
      <c r="AL148" s="61">
        <f t="shared" ref="AL148:AV148" si="36">AK148+$D$21</f>
        <v>1400</v>
      </c>
      <c r="AM148" s="61">
        <f t="shared" si="36"/>
        <v>2100</v>
      </c>
      <c r="AN148" s="61">
        <f t="shared" si="36"/>
        <v>2800</v>
      </c>
      <c r="AO148" s="61">
        <f t="shared" si="36"/>
        <v>3500</v>
      </c>
      <c r="AP148" s="61">
        <f t="shared" si="36"/>
        <v>4200</v>
      </c>
      <c r="AQ148" s="61">
        <f t="shared" si="36"/>
        <v>4900</v>
      </c>
      <c r="AR148" s="61">
        <f t="shared" si="36"/>
        <v>5600</v>
      </c>
      <c r="AS148" s="61">
        <f t="shared" si="36"/>
        <v>6300</v>
      </c>
      <c r="AT148" s="61">
        <f t="shared" si="36"/>
        <v>7000</v>
      </c>
      <c r="AU148" s="61">
        <f t="shared" si="36"/>
        <v>7700</v>
      </c>
      <c r="AV148" s="61">
        <f t="shared" si="36"/>
        <v>8400</v>
      </c>
      <c r="AW148" s="54">
        <v>14000</v>
      </c>
    </row>
    <row r="149" spans="2:49" x14ac:dyDescent="0.2">
      <c r="B149" s="63" t="s">
        <v>37</v>
      </c>
      <c r="F149" s="574">
        <v>1502</v>
      </c>
      <c r="G149" s="573">
        <v>20</v>
      </c>
      <c r="H149" s="56">
        <v>0.8</v>
      </c>
      <c r="I149" s="55">
        <v>1.6</v>
      </c>
      <c r="J149" s="59">
        <v>2.4</v>
      </c>
      <c r="K149" s="58">
        <v>12000</v>
      </c>
      <c r="L149" s="57">
        <v>5.6</v>
      </c>
      <c r="M149" s="56">
        <v>60000</v>
      </c>
      <c r="N149" s="56"/>
      <c r="O149" s="56"/>
      <c r="P149" s="56"/>
      <c r="Q149" s="56"/>
      <c r="R149" s="56">
        <v>6000</v>
      </c>
      <c r="S149" s="56">
        <f t="shared" ref="S149:AV149" si="37">R149+$D$22</f>
        <v>7500</v>
      </c>
      <c r="T149" s="56">
        <f t="shared" si="37"/>
        <v>9000</v>
      </c>
      <c r="U149" s="56">
        <f t="shared" si="37"/>
        <v>10500</v>
      </c>
      <c r="V149" s="56">
        <f t="shared" si="37"/>
        <v>12000</v>
      </c>
      <c r="W149" s="56">
        <f t="shared" si="37"/>
        <v>13500</v>
      </c>
      <c r="X149" s="56">
        <f t="shared" si="37"/>
        <v>15000</v>
      </c>
      <c r="Y149" s="56">
        <f t="shared" si="37"/>
        <v>16500</v>
      </c>
      <c r="Z149" s="56">
        <f t="shared" si="37"/>
        <v>18000</v>
      </c>
      <c r="AA149" s="56">
        <f t="shared" si="37"/>
        <v>19500</v>
      </c>
      <c r="AB149" s="56">
        <f t="shared" si="37"/>
        <v>21000</v>
      </c>
      <c r="AC149" s="56">
        <f t="shared" si="37"/>
        <v>22500</v>
      </c>
      <c r="AD149" s="56">
        <f t="shared" si="37"/>
        <v>24000</v>
      </c>
      <c r="AE149" s="56">
        <f t="shared" si="37"/>
        <v>25500</v>
      </c>
      <c r="AF149" s="56">
        <f t="shared" si="37"/>
        <v>27000</v>
      </c>
      <c r="AG149" s="56">
        <f t="shared" si="37"/>
        <v>28500</v>
      </c>
      <c r="AH149" s="56">
        <f t="shared" si="37"/>
        <v>30000</v>
      </c>
      <c r="AI149" s="56">
        <f t="shared" si="37"/>
        <v>31500</v>
      </c>
      <c r="AJ149" s="56">
        <f t="shared" si="37"/>
        <v>33000</v>
      </c>
      <c r="AK149" s="56">
        <f t="shared" si="37"/>
        <v>34500</v>
      </c>
      <c r="AL149" s="56">
        <f t="shared" si="37"/>
        <v>36000</v>
      </c>
      <c r="AM149" s="56">
        <f t="shared" si="37"/>
        <v>37500</v>
      </c>
      <c r="AN149" s="56">
        <f t="shared" si="37"/>
        <v>39000</v>
      </c>
      <c r="AO149" s="56">
        <f t="shared" si="37"/>
        <v>40500</v>
      </c>
      <c r="AP149" s="56">
        <f t="shared" si="37"/>
        <v>42000</v>
      </c>
      <c r="AQ149" s="56">
        <f t="shared" si="37"/>
        <v>43500</v>
      </c>
      <c r="AR149" s="56">
        <f t="shared" si="37"/>
        <v>45000</v>
      </c>
      <c r="AS149" s="56">
        <f t="shared" si="37"/>
        <v>46500</v>
      </c>
      <c r="AT149" s="56">
        <f t="shared" si="37"/>
        <v>48000</v>
      </c>
      <c r="AU149" s="56">
        <f t="shared" si="37"/>
        <v>49500</v>
      </c>
      <c r="AV149" s="56">
        <f t="shared" si="37"/>
        <v>51000</v>
      </c>
      <c r="AW149" s="54">
        <v>12000</v>
      </c>
    </row>
    <row r="150" spans="2:49" x14ac:dyDescent="0.2">
      <c r="B150" s="63" t="s">
        <v>36</v>
      </c>
      <c r="F150" s="574"/>
      <c r="G150" s="573"/>
      <c r="H150" s="56">
        <v>1.5</v>
      </c>
      <c r="I150" s="55">
        <v>2.1</v>
      </c>
      <c r="J150" s="59">
        <v>3.6</v>
      </c>
      <c r="K150" s="58">
        <v>22500</v>
      </c>
      <c r="L150" s="57">
        <v>6</v>
      </c>
      <c r="M150" s="56">
        <v>58500</v>
      </c>
      <c r="N150" s="56"/>
      <c r="O150" s="56"/>
      <c r="P150" s="56"/>
      <c r="Q150" s="56"/>
      <c r="R150" s="56"/>
      <c r="S150" s="56"/>
      <c r="T150" s="56">
        <v>1500</v>
      </c>
      <c r="U150" s="56">
        <f t="shared" ref="U150:AU150" si="38">T150+$D$22</f>
        <v>3000</v>
      </c>
      <c r="V150" s="56">
        <f t="shared" si="38"/>
        <v>4500</v>
      </c>
      <c r="W150" s="56">
        <f t="shared" si="38"/>
        <v>6000</v>
      </c>
      <c r="X150" s="56">
        <f t="shared" si="38"/>
        <v>7500</v>
      </c>
      <c r="Y150" s="56">
        <f t="shared" si="38"/>
        <v>9000</v>
      </c>
      <c r="Z150" s="56">
        <f t="shared" si="38"/>
        <v>10500</v>
      </c>
      <c r="AA150" s="56">
        <f t="shared" si="38"/>
        <v>12000</v>
      </c>
      <c r="AB150" s="56">
        <f t="shared" si="38"/>
        <v>13500</v>
      </c>
      <c r="AC150" s="56">
        <f t="shared" si="38"/>
        <v>15000</v>
      </c>
      <c r="AD150" s="56">
        <f t="shared" si="38"/>
        <v>16500</v>
      </c>
      <c r="AE150" s="56">
        <f t="shared" si="38"/>
        <v>18000</v>
      </c>
      <c r="AF150" s="56">
        <f t="shared" si="38"/>
        <v>19500</v>
      </c>
      <c r="AG150" s="56">
        <f t="shared" si="38"/>
        <v>21000</v>
      </c>
      <c r="AH150" s="56">
        <f t="shared" si="38"/>
        <v>22500</v>
      </c>
      <c r="AI150" s="56">
        <f t="shared" si="38"/>
        <v>24000</v>
      </c>
      <c r="AJ150" s="56">
        <f t="shared" si="38"/>
        <v>25500</v>
      </c>
      <c r="AK150" s="56">
        <f t="shared" si="38"/>
        <v>27000</v>
      </c>
      <c r="AL150" s="56">
        <f t="shared" si="38"/>
        <v>28500</v>
      </c>
      <c r="AM150" s="56">
        <f t="shared" si="38"/>
        <v>30000</v>
      </c>
      <c r="AN150" s="56">
        <f t="shared" si="38"/>
        <v>31500</v>
      </c>
      <c r="AO150" s="56">
        <f t="shared" si="38"/>
        <v>33000</v>
      </c>
      <c r="AP150" s="56">
        <f t="shared" si="38"/>
        <v>34500</v>
      </c>
      <c r="AQ150" s="56">
        <f t="shared" si="38"/>
        <v>36000</v>
      </c>
      <c r="AR150" s="56">
        <f t="shared" si="38"/>
        <v>37500</v>
      </c>
      <c r="AS150" s="56">
        <f t="shared" si="38"/>
        <v>39000</v>
      </c>
      <c r="AT150" s="56">
        <f t="shared" si="38"/>
        <v>40500</v>
      </c>
      <c r="AU150" s="56">
        <f t="shared" si="38"/>
        <v>42000</v>
      </c>
      <c r="AV150" s="55">
        <v>43500</v>
      </c>
      <c r="AW150" s="54">
        <v>22500</v>
      </c>
    </row>
    <row r="151" spans="2:49" x14ac:dyDescent="0.2">
      <c r="B151" s="63" t="s">
        <v>35</v>
      </c>
      <c r="F151" s="574"/>
      <c r="G151" s="573">
        <v>40</v>
      </c>
      <c r="H151" s="56">
        <v>0.2</v>
      </c>
      <c r="I151" s="55">
        <v>1</v>
      </c>
      <c r="J151" s="59"/>
      <c r="K151" s="58"/>
      <c r="L151" s="57">
        <v>5</v>
      </c>
      <c r="M151" s="56">
        <v>60000</v>
      </c>
      <c r="N151" s="56">
        <v>9000</v>
      </c>
      <c r="O151" s="56">
        <f t="shared" ref="O151:T151" si="39">N151+$D$22</f>
        <v>10500</v>
      </c>
      <c r="P151" s="56">
        <f t="shared" si="39"/>
        <v>12000</v>
      </c>
      <c r="Q151" s="56">
        <f t="shared" si="39"/>
        <v>13500</v>
      </c>
      <c r="R151" s="56">
        <f t="shared" si="39"/>
        <v>15000</v>
      </c>
      <c r="S151" s="56">
        <f t="shared" si="39"/>
        <v>16500</v>
      </c>
      <c r="T151" s="56">
        <f t="shared" si="39"/>
        <v>18000</v>
      </c>
      <c r="U151" s="56">
        <f t="shared" ref="U151:AU151" si="40">T151+$D$22</f>
        <v>19500</v>
      </c>
      <c r="V151" s="56">
        <f t="shared" si="40"/>
        <v>21000</v>
      </c>
      <c r="W151" s="56">
        <f t="shared" si="40"/>
        <v>22500</v>
      </c>
      <c r="X151" s="56">
        <f t="shared" si="40"/>
        <v>24000</v>
      </c>
      <c r="Y151" s="56">
        <f t="shared" si="40"/>
        <v>25500</v>
      </c>
      <c r="Z151" s="56">
        <f t="shared" si="40"/>
        <v>27000</v>
      </c>
      <c r="AA151" s="56">
        <f t="shared" si="40"/>
        <v>28500</v>
      </c>
      <c r="AB151" s="56">
        <f t="shared" si="40"/>
        <v>30000</v>
      </c>
      <c r="AC151" s="56">
        <f t="shared" si="40"/>
        <v>31500</v>
      </c>
      <c r="AD151" s="56">
        <f t="shared" si="40"/>
        <v>33000</v>
      </c>
      <c r="AE151" s="56">
        <f t="shared" si="40"/>
        <v>34500</v>
      </c>
      <c r="AF151" s="56">
        <f t="shared" si="40"/>
        <v>36000</v>
      </c>
      <c r="AG151" s="56">
        <f t="shared" si="40"/>
        <v>37500</v>
      </c>
      <c r="AH151" s="56">
        <f t="shared" si="40"/>
        <v>39000</v>
      </c>
      <c r="AI151" s="56">
        <f t="shared" si="40"/>
        <v>40500</v>
      </c>
      <c r="AJ151" s="56">
        <f t="shared" si="40"/>
        <v>42000</v>
      </c>
      <c r="AK151" s="56">
        <f t="shared" si="40"/>
        <v>43500</v>
      </c>
      <c r="AL151" s="56">
        <f t="shared" si="40"/>
        <v>45000</v>
      </c>
      <c r="AM151" s="56">
        <f t="shared" si="40"/>
        <v>46500</v>
      </c>
      <c r="AN151" s="56">
        <f t="shared" si="40"/>
        <v>48000</v>
      </c>
      <c r="AO151" s="56">
        <f t="shared" si="40"/>
        <v>49500</v>
      </c>
      <c r="AP151" s="56">
        <f t="shared" si="40"/>
        <v>51000</v>
      </c>
      <c r="AQ151" s="56">
        <f t="shared" si="40"/>
        <v>52500</v>
      </c>
      <c r="AR151" s="56">
        <f t="shared" si="40"/>
        <v>54000</v>
      </c>
      <c r="AS151" s="56">
        <f t="shared" si="40"/>
        <v>55500</v>
      </c>
      <c r="AT151" s="56">
        <f t="shared" si="40"/>
        <v>57000</v>
      </c>
      <c r="AU151" s="56">
        <f t="shared" si="40"/>
        <v>58500</v>
      </c>
      <c r="AV151" s="56">
        <f t="shared" ref="AV151:AV157" si="41">AU151+$D$22</f>
        <v>60000</v>
      </c>
      <c r="AW151" s="54">
        <v>3000</v>
      </c>
    </row>
    <row r="152" spans="2:49" x14ac:dyDescent="0.2">
      <c r="B152" s="63" t="s">
        <v>34</v>
      </c>
      <c r="F152" s="574"/>
      <c r="G152" s="573"/>
      <c r="H152" s="56">
        <v>0.4</v>
      </c>
      <c r="I152" s="55">
        <v>2</v>
      </c>
      <c r="J152" s="59">
        <v>2.4</v>
      </c>
      <c r="K152" s="58">
        <v>6000</v>
      </c>
      <c r="L152" s="57">
        <v>6</v>
      </c>
      <c r="M152" s="56">
        <v>60000</v>
      </c>
      <c r="N152" s="56"/>
      <c r="O152" s="56"/>
      <c r="P152" s="56"/>
      <c r="Q152" s="56"/>
      <c r="R152" s="56"/>
      <c r="S152" s="56"/>
      <c r="T152" s="56">
        <v>3000</v>
      </c>
      <c r="U152" s="56">
        <f t="shared" ref="U152:AU152" si="42">T152+$D$22</f>
        <v>4500</v>
      </c>
      <c r="V152" s="56">
        <f t="shared" si="42"/>
        <v>6000</v>
      </c>
      <c r="W152" s="56">
        <f t="shared" si="42"/>
        <v>7500</v>
      </c>
      <c r="X152" s="56">
        <f t="shared" si="42"/>
        <v>9000</v>
      </c>
      <c r="Y152" s="56">
        <f t="shared" si="42"/>
        <v>10500</v>
      </c>
      <c r="Z152" s="56">
        <f t="shared" si="42"/>
        <v>12000</v>
      </c>
      <c r="AA152" s="56">
        <f t="shared" si="42"/>
        <v>13500</v>
      </c>
      <c r="AB152" s="56">
        <f t="shared" si="42"/>
        <v>15000</v>
      </c>
      <c r="AC152" s="56">
        <f t="shared" si="42"/>
        <v>16500</v>
      </c>
      <c r="AD152" s="56">
        <f t="shared" si="42"/>
        <v>18000</v>
      </c>
      <c r="AE152" s="56">
        <f t="shared" si="42"/>
        <v>19500</v>
      </c>
      <c r="AF152" s="56">
        <f t="shared" si="42"/>
        <v>21000</v>
      </c>
      <c r="AG152" s="56">
        <f t="shared" si="42"/>
        <v>22500</v>
      </c>
      <c r="AH152" s="56">
        <f t="shared" si="42"/>
        <v>24000</v>
      </c>
      <c r="AI152" s="56">
        <f t="shared" si="42"/>
        <v>25500</v>
      </c>
      <c r="AJ152" s="56">
        <f t="shared" si="42"/>
        <v>27000</v>
      </c>
      <c r="AK152" s="56">
        <f t="shared" si="42"/>
        <v>28500</v>
      </c>
      <c r="AL152" s="56">
        <f t="shared" si="42"/>
        <v>30000</v>
      </c>
      <c r="AM152" s="56">
        <f t="shared" si="42"/>
        <v>31500</v>
      </c>
      <c r="AN152" s="56">
        <f t="shared" si="42"/>
        <v>33000</v>
      </c>
      <c r="AO152" s="56">
        <f t="shared" si="42"/>
        <v>34500</v>
      </c>
      <c r="AP152" s="56">
        <f t="shared" si="42"/>
        <v>36000</v>
      </c>
      <c r="AQ152" s="56">
        <f t="shared" si="42"/>
        <v>37500</v>
      </c>
      <c r="AR152" s="56">
        <f t="shared" si="42"/>
        <v>39000</v>
      </c>
      <c r="AS152" s="56">
        <f t="shared" si="42"/>
        <v>40500</v>
      </c>
      <c r="AT152" s="56">
        <f t="shared" si="42"/>
        <v>42000</v>
      </c>
      <c r="AU152" s="56">
        <f t="shared" si="42"/>
        <v>43500</v>
      </c>
      <c r="AV152" s="56">
        <f t="shared" si="41"/>
        <v>45000</v>
      </c>
      <c r="AW152" s="54">
        <v>6000</v>
      </c>
    </row>
    <row r="153" spans="2:49" x14ac:dyDescent="0.2">
      <c r="B153" s="63" t="s">
        <v>1274</v>
      </c>
      <c r="F153" s="574"/>
      <c r="G153" s="573"/>
      <c r="H153" s="56">
        <v>0.75</v>
      </c>
      <c r="I153" s="55">
        <v>1.4</v>
      </c>
      <c r="J153" s="59">
        <v>2.2000000000000002</v>
      </c>
      <c r="K153" s="58">
        <v>11250</v>
      </c>
      <c r="L153" s="57">
        <v>5.4</v>
      </c>
      <c r="M153" s="56">
        <v>60000</v>
      </c>
      <c r="N153" s="56">
        <v>3000</v>
      </c>
      <c r="O153" s="56">
        <f t="shared" ref="O153:T153" si="43">N153+$D$22</f>
        <v>4500</v>
      </c>
      <c r="P153" s="56">
        <f t="shared" si="43"/>
        <v>6000</v>
      </c>
      <c r="Q153" s="56">
        <f t="shared" si="43"/>
        <v>7500</v>
      </c>
      <c r="R153" s="56">
        <f t="shared" si="43"/>
        <v>9000</v>
      </c>
      <c r="S153" s="56">
        <f t="shared" si="43"/>
        <v>10500</v>
      </c>
      <c r="T153" s="56">
        <f t="shared" si="43"/>
        <v>12000</v>
      </c>
      <c r="U153" s="56">
        <f t="shared" ref="U153:AU153" si="44">T153+$D$22</f>
        <v>13500</v>
      </c>
      <c r="V153" s="56">
        <f t="shared" si="44"/>
        <v>15000</v>
      </c>
      <c r="W153" s="56">
        <f t="shared" si="44"/>
        <v>16500</v>
      </c>
      <c r="X153" s="56">
        <f t="shared" si="44"/>
        <v>18000</v>
      </c>
      <c r="Y153" s="56">
        <f t="shared" si="44"/>
        <v>19500</v>
      </c>
      <c r="Z153" s="56">
        <f t="shared" si="44"/>
        <v>21000</v>
      </c>
      <c r="AA153" s="56">
        <f t="shared" si="44"/>
        <v>22500</v>
      </c>
      <c r="AB153" s="56">
        <f t="shared" si="44"/>
        <v>24000</v>
      </c>
      <c r="AC153" s="56">
        <f t="shared" si="44"/>
        <v>25500</v>
      </c>
      <c r="AD153" s="56">
        <f t="shared" si="44"/>
        <v>27000</v>
      </c>
      <c r="AE153" s="56">
        <f t="shared" si="44"/>
        <v>28500</v>
      </c>
      <c r="AF153" s="56">
        <f t="shared" si="44"/>
        <v>30000</v>
      </c>
      <c r="AG153" s="56">
        <f t="shared" si="44"/>
        <v>31500</v>
      </c>
      <c r="AH153" s="56">
        <f t="shared" si="44"/>
        <v>33000</v>
      </c>
      <c r="AI153" s="56">
        <f t="shared" si="44"/>
        <v>34500</v>
      </c>
      <c r="AJ153" s="56">
        <f t="shared" si="44"/>
        <v>36000</v>
      </c>
      <c r="AK153" s="56">
        <f t="shared" si="44"/>
        <v>37500</v>
      </c>
      <c r="AL153" s="56">
        <f t="shared" si="44"/>
        <v>39000</v>
      </c>
      <c r="AM153" s="56">
        <f t="shared" si="44"/>
        <v>40500</v>
      </c>
      <c r="AN153" s="56">
        <f t="shared" si="44"/>
        <v>42000</v>
      </c>
      <c r="AO153" s="56">
        <f t="shared" si="44"/>
        <v>43500</v>
      </c>
      <c r="AP153" s="56">
        <f t="shared" si="44"/>
        <v>45000</v>
      </c>
      <c r="AQ153" s="56">
        <f t="shared" si="44"/>
        <v>46500</v>
      </c>
      <c r="AR153" s="56">
        <f t="shared" si="44"/>
        <v>48000</v>
      </c>
      <c r="AS153" s="56">
        <f t="shared" si="44"/>
        <v>49500</v>
      </c>
      <c r="AT153" s="56">
        <f t="shared" si="44"/>
        <v>51000</v>
      </c>
      <c r="AU153" s="56">
        <f t="shared" si="44"/>
        <v>52500</v>
      </c>
      <c r="AV153" s="56">
        <f t="shared" si="41"/>
        <v>54000</v>
      </c>
      <c r="AW153" s="54">
        <v>11250</v>
      </c>
    </row>
    <row r="154" spans="2:49" x14ac:dyDescent="0.2">
      <c r="B154" s="63" t="s">
        <v>33</v>
      </c>
      <c r="F154" s="574"/>
      <c r="G154" s="573"/>
      <c r="H154" s="56">
        <v>1.5</v>
      </c>
      <c r="I154" s="55">
        <v>2.7</v>
      </c>
      <c r="J154" s="59">
        <v>4.2</v>
      </c>
      <c r="K154" s="58">
        <v>22500</v>
      </c>
      <c r="L154" s="57">
        <v>6</v>
      </c>
      <c r="M154" s="56">
        <v>49500</v>
      </c>
      <c r="N154" s="56"/>
      <c r="O154" s="56"/>
      <c r="P154" s="56"/>
      <c r="Q154" s="56"/>
      <c r="R154" s="56"/>
      <c r="S154" s="56"/>
      <c r="T154" s="56"/>
      <c r="U154" s="56"/>
      <c r="V154" s="56"/>
      <c r="W154" s="56"/>
      <c r="X154" s="55"/>
      <c r="Y154" s="55"/>
      <c r="Z154" s="55"/>
      <c r="AA154" s="60">
        <v>3000</v>
      </c>
      <c r="AB154" s="60">
        <f t="shared" ref="AB154:AU154" si="45">AA154+$D$22</f>
        <v>4500</v>
      </c>
      <c r="AC154" s="60">
        <f t="shared" si="45"/>
        <v>6000</v>
      </c>
      <c r="AD154" s="60">
        <f t="shared" si="45"/>
        <v>7500</v>
      </c>
      <c r="AE154" s="60">
        <f t="shared" si="45"/>
        <v>9000</v>
      </c>
      <c r="AF154" s="60">
        <f t="shared" si="45"/>
        <v>10500</v>
      </c>
      <c r="AG154" s="60">
        <f t="shared" si="45"/>
        <v>12000</v>
      </c>
      <c r="AH154" s="60">
        <f t="shared" si="45"/>
        <v>13500</v>
      </c>
      <c r="AI154" s="60">
        <f t="shared" si="45"/>
        <v>15000</v>
      </c>
      <c r="AJ154" s="60">
        <f t="shared" si="45"/>
        <v>16500</v>
      </c>
      <c r="AK154" s="60">
        <f t="shared" si="45"/>
        <v>18000</v>
      </c>
      <c r="AL154" s="60">
        <f t="shared" si="45"/>
        <v>19500</v>
      </c>
      <c r="AM154" s="60">
        <f t="shared" si="45"/>
        <v>21000</v>
      </c>
      <c r="AN154" s="60">
        <f t="shared" si="45"/>
        <v>22500</v>
      </c>
      <c r="AO154" s="60">
        <f t="shared" si="45"/>
        <v>24000</v>
      </c>
      <c r="AP154" s="60">
        <f t="shared" si="45"/>
        <v>25500</v>
      </c>
      <c r="AQ154" s="60">
        <f t="shared" si="45"/>
        <v>27000</v>
      </c>
      <c r="AR154" s="60">
        <f t="shared" si="45"/>
        <v>28500</v>
      </c>
      <c r="AS154" s="60">
        <f t="shared" si="45"/>
        <v>30000</v>
      </c>
      <c r="AT154" s="60">
        <f t="shared" si="45"/>
        <v>31500</v>
      </c>
      <c r="AU154" s="60">
        <f t="shared" si="45"/>
        <v>33000</v>
      </c>
      <c r="AV154" s="60">
        <f t="shared" si="41"/>
        <v>34500</v>
      </c>
      <c r="AW154" s="54">
        <v>22500</v>
      </c>
    </row>
    <row r="155" spans="2:49" x14ac:dyDescent="0.2">
      <c r="B155" s="63" t="s">
        <v>32</v>
      </c>
      <c r="F155" s="574"/>
      <c r="G155" s="573"/>
      <c r="H155" s="56">
        <v>2</v>
      </c>
      <c r="I155" s="55">
        <v>3.5</v>
      </c>
      <c r="J155" s="59">
        <v>5.5</v>
      </c>
      <c r="K155" s="58">
        <v>30000</v>
      </c>
      <c r="L155" s="57">
        <v>6</v>
      </c>
      <c r="M155" s="56">
        <v>37500</v>
      </c>
      <c r="N155" s="56"/>
      <c r="O155" s="56"/>
      <c r="P155" s="56"/>
      <c r="Q155" s="56"/>
      <c r="R155" s="56"/>
      <c r="S155" s="56"/>
      <c r="T155" s="56"/>
      <c r="U155" s="56"/>
      <c r="V155" s="56"/>
      <c r="W155" s="56"/>
      <c r="X155" s="55"/>
      <c r="Y155" s="55"/>
      <c r="Z155" s="55"/>
      <c r="AA155" s="55"/>
      <c r="AB155" s="55"/>
      <c r="AC155" s="55"/>
      <c r="AD155" s="55"/>
      <c r="AE155" s="55"/>
      <c r="AF155" s="55"/>
      <c r="AG155" s="55"/>
      <c r="AH155" s="55"/>
      <c r="AI155" s="60">
        <v>3000</v>
      </c>
      <c r="AJ155" s="60">
        <f t="shared" ref="AJ155:AU155" si="46">AI155+$D$22</f>
        <v>4500</v>
      </c>
      <c r="AK155" s="60">
        <f t="shared" si="46"/>
        <v>6000</v>
      </c>
      <c r="AL155" s="60">
        <f t="shared" si="46"/>
        <v>7500</v>
      </c>
      <c r="AM155" s="60">
        <f t="shared" si="46"/>
        <v>9000</v>
      </c>
      <c r="AN155" s="60">
        <f t="shared" si="46"/>
        <v>10500</v>
      </c>
      <c r="AO155" s="60">
        <f t="shared" si="46"/>
        <v>12000</v>
      </c>
      <c r="AP155" s="60">
        <f t="shared" si="46"/>
        <v>13500</v>
      </c>
      <c r="AQ155" s="60">
        <f t="shared" si="46"/>
        <v>15000</v>
      </c>
      <c r="AR155" s="60">
        <f t="shared" si="46"/>
        <v>16500</v>
      </c>
      <c r="AS155" s="60">
        <f t="shared" si="46"/>
        <v>18000</v>
      </c>
      <c r="AT155" s="60">
        <f t="shared" si="46"/>
        <v>19500</v>
      </c>
      <c r="AU155" s="60">
        <f t="shared" si="46"/>
        <v>21000</v>
      </c>
      <c r="AV155" s="60">
        <f t="shared" si="41"/>
        <v>22500</v>
      </c>
      <c r="AW155" s="54">
        <v>30000</v>
      </c>
    </row>
    <row r="156" spans="2:49" x14ac:dyDescent="0.2">
      <c r="B156" s="63" t="s">
        <v>31</v>
      </c>
      <c r="F156" s="574"/>
      <c r="G156" s="573"/>
      <c r="H156" s="56">
        <v>2.6</v>
      </c>
      <c r="I156" s="55">
        <v>4.2</v>
      </c>
      <c r="J156" s="59"/>
      <c r="K156" s="58"/>
      <c r="L156" s="57">
        <v>6</v>
      </c>
      <c r="M156" s="56">
        <v>27000</v>
      </c>
      <c r="N156" s="56"/>
      <c r="O156" s="56"/>
      <c r="P156" s="56"/>
      <c r="Q156" s="56"/>
      <c r="R156" s="56"/>
      <c r="S156" s="56"/>
      <c r="T156" s="56"/>
      <c r="U156" s="56"/>
      <c r="V156" s="56"/>
      <c r="W156" s="56"/>
      <c r="X156" s="55"/>
      <c r="Y156" s="55"/>
      <c r="Z156" s="55"/>
      <c r="AA156" s="55"/>
      <c r="AB156" s="55"/>
      <c r="AC156" s="55"/>
      <c r="AD156" s="55"/>
      <c r="AE156" s="55"/>
      <c r="AF156" s="55"/>
      <c r="AG156" s="55"/>
      <c r="AH156" s="55"/>
      <c r="AI156" s="55"/>
      <c r="AJ156" s="55"/>
      <c r="AK156" s="55"/>
      <c r="AL156" s="55"/>
      <c r="AM156" s="55"/>
      <c r="AN156" s="55"/>
      <c r="AO156" s="55"/>
      <c r="AP156" s="60">
        <v>3000</v>
      </c>
      <c r="AQ156" s="60">
        <f t="shared" ref="AQ156:AU168" si="47">AP156+$D$22</f>
        <v>4500</v>
      </c>
      <c r="AR156" s="60">
        <f t="shared" si="47"/>
        <v>6000</v>
      </c>
      <c r="AS156" s="60">
        <f t="shared" si="47"/>
        <v>7500</v>
      </c>
      <c r="AT156" s="60">
        <f t="shared" si="47"/>
        <v>9000</v>
      </c>
      <c r="AU156" s="60">
        <f t="shared" si="47"/>
        <v>10500</v>
      </c>
      <c r="AV156" s="60">
        <f t="shared" si="41"/>
        <v>12000</v>
      </c>
      <c r="AW156" s="54">
        <v>39000</v>
      </c>
    </row>
    <row r="157" spans="2:49" x14ac:dyDescent="0.2">
      <c r="B157" s="63" t="s">
        <v>30</v>
      </c>
      <c r="F157" s="574"/>
      <c r="G157" s="573">
        <v>60</v>
      </c>
      <c r="H157" s="56">
        <v>0.2</v>
      </c>
      <c r="I157" s="55">
        <v>1</v>
      </c>
      <c r="J157" s="59"/>
      <c r="K157" s="58"/>
      <c r="L157" s="57">
        <v>5</v>
      </c>
      <c r="M157" s="56">
        <v>60000</v>
      </c>
      <c r="N157" s="56">
        <v>9000</v>
      </c>
      <c r="O157" s="56">
        <f t="shared" ref="O157:AP157" si="48">N157+$D$22</f>
        <v>10500</v>
      </c>
      <c r="P157" s="56">
        <f t="shared" si="48"/>
        <v>12000</v>
      </c>
      <c r="Q157" s="56">
        <f t="shared" si="48"/>
        <v>13500</v>
      </c>
      <c r="R157" s="56">
        <f t="shared" si="48"/>
        <v>15000</v>
      </c>
      <c r="S157" s="56">
        <f t="shared" si="48"/>
        <v>16500</v>
      </c>
      <c r="T157" s="56">
        <f t="shared" si="48"/>
        <v>18000</v>
      </c>
      <c r="U157" s="56">
        <f t="shared" si="48"/>
        <v>19500</v>
      </c>
      <c r="V157" s="56">
        <f t="shared" si="48"/>
        <v>21000</v>
      </c>
      <c r="W157" s="56">
        <f t="shared" si="48"/>
        <v>22500</v>
      </c>
      <c r="X157" s="56">
        <f t="shared" si="48"/>
        <v>24000</v>
      </c>
      <c r="Y157" s="56">
        <f t="shared" si="48"/>
        <v>25500</v>
      </c>
      <c r="Z157" s="56">
        <f t="shared" si="48"/>
        <v>27000</v>
      </c>
      <c r="AA157" s="56">
        <f t="shared" si="48"/>
        <v>28500</v>
      </c>
      <c r="AB157" s="56">
        <f t="shared" si="48"/>
        <v>30000</v>
      </c>
      <c r="AC157" s="56">
        <f t="shared" si="48"/>
        <v>31500</v>
      </c>
      <c r="AD157" s="56">
        <f t="shared" si="48"/>
        <v>33000</v>
      </c>
      <c r="AE157" s="56">
        <f t="shared" si="48"/>
        <v>34500</v>
      </c>
      <c r="AF157" s="56">
        <f t="shared" si="48"/>
        <v>36000</v>
      </c>
      <c r="AG157" s="56">
        <f t="shared" si="48"/>
        <v>37500</v>
      </c>
      <c r="AH157" s="56">
        <f t="shared" si="48"/>
        <v>39000</v>
      </c>
      <c r="AI157" s="56">
        <f t="shared" si="48"/>
        <v>40500</v>
      </c>
      <c r="AJ157" s="56">
        <f t="shared" si="48"/>
        <v>42000</v>
      </c>
      <c r="AK157" s="56">
        <f t="shared" si="48"/>
        <v>43500</v>
      </c>
      <c r="AL157" s="56">
        <f t="shared" si="48"/>
        <v>45000</v>
      </c>
      <c r="AM157" s="56">
        <f t="shared" si="48"/>
        <v>46500</v>
      </c>
      <c r="AN157" s="56">
        <f t="shared" si="48"/>
        <v>48000</v>
      </c>
      <c r="AO157" s="56">
        <f t="shared" si="48"/>
        <v>49500</v>
      </c>
      <c r="AP157" s="56">
        <f t="shared" si="48"/>
        <v>51000</v>
      </c>
      <c r="AQ157" s="56">
        <f t="shared" si="47"/>
        <v>52500</v>
      </c>
      <c r="AR157" s="56">
        <f t="shared" si="47"/>
        <v>54000</v>
      </c>
      <c r="AS157" s="56">
        <f t="shared" si="47"/>
        <v>55500</v>
      </c>
      <c r="AT157" s="56">
        <f t="shared" si="47"/>
        <v>57000</v>
      </c>
      <c r="AU157" s="56">
        <f t="shared" si="47"/>
        <v>58500</v>
      </c>
      <c r="AV157" s="56">
        <f t="shared" si="41"/>
        <v>60000</v>
      </c>
      <c r="AW157" s="54">
        <v>3000</v>
      </c>
    </row>
    <row r="158" spans="2:49" x14ac:dyDescent="0.2">
      <c r="B158" s="63" t="s">
        <v>29</v>
      </c>
      <c r="F158" s="574"/>
      <c r="G158" s="573"/>
      <c r="H158" s="56">
        <v>0.4</v>
      </c>
      <c r="I158" s="55">
        <v>2</v>
      </c>
      <c r="J158" s="59">
        <v>2.4</v>
      </c>
      <c r="K158" s="58">
        <v>6000</v>
      </c>
      <c r="L158" s="57">
        <v>6</v>
      </c>
      <c r="M158" s="56">
        <v>60000</v>
      </c>
      <c r="N158" s="56"/>
      <c r="O158" s="56"/>
      <c r="P158" s="56"/>
      <c r="Q158" s="56"/>
      <c r="R158" s="56"/>
      <c r="S158" s="56"/>
      <c r="T158" s="56">
        <v>3000</v>
      </c>
      <c r="U158" s="56">
        <f t="shared" ref="U158:AP158" si="49">T158+$D$22</f>
        <v>4500</v>
      </c>
      <c r="V158" s="56">
        <f t="shared" si="49"/>
        <v>6000</v>
      </c>
      <c r="W158" s="56">
        <f t="shared" si="49"/>
        <v>7500</v>
      </c>
      <c r="X158" s="56">
        <f t="shared" si="49"/>
        <v>9000</v>
      </c>
      <c r="Y158" s="56">
        <f t="shared" si="49"/>
        <v>10500</v>
      </c>
      <c r="Z158" s="56">
        <f t="shared" si="49"/>
        <v>12000</v>
      </c>
      <c r="AA158" s="56">
        <f t="shared" si="49"/>
        <v>13500</v>
      </c>
      <c r="AB158" s="56">
        <f t="shared" si="49"/>
        <v>15000</v>
      </c>
      <c r="AC158" s="56">
        <f t="shared" si="49"/>
        <v>16500</v>
      </c>
      <c r="AD158" s="56">
        <f t="shared" si="49"/>
        <v>18000</v>
      </c>
      <c r="AE158" s="56">
        <f t="shared" si="49"/>
        <v>19500</v>
      </c>
      <c r="AF158" s="56">
        <f t="shared" si="49"/>
        <v>21000</v>
      </c>
      <c r="AG158" s="56">
        <f t="shared" si="49"/>
        <v>22500</v>
      </c>
      <c r="AH158" s="56">
        <f t="shared" si="49"/>
        <v>24000</v>
      </c>
      <c r="AI158" s="56">
        <f t="shared" si="49"/>
        <v>25500</v>
      </c>
      <c r="AJ158" s="56">
        <f t="shared" si="49"/>
        <v>27000</v>
      </c>
      <c r="AK158" s="56">
        <f t="shared" si="49"/>
        <v>28500</v>
      </c>
      <c r="AL158" s="56">
        <f t="shared" si="49"/>
        <v>30000</v>
      </c>
      <c r="AM158" s="56">
        <f t="shared" si="49"/>
        <v>31500</v>
      </c>
      <c r="AN158" s="56">
        <f t="shared" si="49"/>
        <v>33000</v>
      </c>
      <c r="AO158" s="56">
        <f t="shared" si="49"/>
        <v>34500</v>
      </c>
      <c r="AP158" s="56">
        <f t="shared" si="49"/>
        <v>36000</v>
      </c>
      <c r="AQ158" s="56">
        <f t="shared" si="47"/>
        <v>37500</v>
      </c>
      <c r="AR158" s="56">
        <f t="shared" si="47"/>
        <v>39000</v>
      </c>
      <c r="AS158" s="56">
        <f t="shared" si="47"/>
        <v>40500</v>
      </c>
      <c r="AT158" s="56">
        <f t="shared" si="47"/>
        <v>42000</v>
      </c>
      <c r="AU158" s="56">
        <f t="shared" si="47"/>
        <v>43500</v>
      </c>
      <c r="AV158" s="55">
        <v>45000</v>
      </c>
      <c r="AW158" s="54">
        <v>6000</v>
      </c>
    </row>
    <row r="159" spans="2:49" x14ac:dyDescent="0.2">
      <c r="B159" s="63" t="s">
        <v>28</v>
      </c>
      <c r="F159" s="574"/>
      <c r="G159" s="573"/>
      <c r="H159" s="56">
        <v>0.75</v>
      </c>
      <c r="I159" s="55">
        <v>1.4</v>
      </c>
      <c r="J159" s="59">
        <v>2.2000000000000002</v>
      </c>
      <c r="K159" s="58">
        <v>11250</v>
      </c>
      <c r="L159" s="57">
        <v>5.4</v>
      </c>
      <c r="M159" s="56">
        <v>60000</v>
      </c>
      <c r="N159" s="56">
        <v>3000</v>
      </c>
      <c r="O159" s="56">
        <f t="shared" ref="O159:T159" si="50">N159+$D$22</f>
        <v>4500</v>
      </c>
      <c r="P159" s="56">
        <f t="shared" si="50"/>
        <v>6000</v>
      </c>
      <c r="Q159" s="56">
        <f t="shared" si="50"/>
        <v>7500</v>
      </c>
      <c r="R159" s="56">
        <f t="shared" si="50"/>
        <v>9000</v>
      </c>
      <c r="S159" s="56">
        <f t="shared" si="50"/>
        <v>10500</v>
      </c>
      <c r="T159" s="56">
        <f t="shared" si="50"/>
        <v>12000</v>
      </c>
      <c r="U159" s="56">
        <f t="shared" ref="U159:AP159" si="51">T159+$D$22</f>
        <v>13500</v>
      </c>
      <c r="V159" s="56">
        <f t="shared" si="51"/>
        <v>15000</v>
      </c>
      <c r="W159" s="56">
        <f t="shared" si="51"/>
        <v>16500</v>
      </c>
      <c r="X159" s="56">
        <f t="shared" si="51"/>
        <v>18000</v>
      </c>
      <c r="Y159" s="56">
        <f t="shared" si="51"/>
        <v>19500</v>
      </c>
      <c r="Z159" s="56">
        <f t="shared" si="51"/>
        <v>21000</v>
      </c>
      <c r="AA159" s="56">
        <f t="shared" si="51"/>
        <v>22500</v>
      </c>
      <c r="AB159" s="56">
        <f t="shared" si="51"/>
        <v>24000</v>
      </c>
      <c r="AC159" s="56">
        <f t="shared" si="51"/>
        <v>25500</v>
      </c>
      <c r="AD159" s="56">
        <f t="shared" si="51"/>
        <v>27000</v>
      </c>
      <c r="AE159" s="56">
        <f t="shared" si="51"/>
        <v>28500</v>
      </c>
      <c r="AF159" s="56">
        <f t="shared" si="51"/>
        <v>30000</v>
      </c>
      <c r="AG159" s="56">
        <f t="shared" si="51"/>
        <v>31500</v>
      </c>
      <c r="AH159" s="56">
        <f t="shared" si="51"/>
        <v>33000</v>
      </c>
      <c r="AI159" s="56">
        <f t="shared" si="51"/>
        <v>34500</v>
      </c>
      <c r="AJ159" s="56">
        <f t="shared" si="51"/>
        <v>36000</v>
      </c>
      <c r="AK159" s="56">
        <f t="shared" si="51"/>
        <v>37500</v>
      </c>
      <c r="AL159" s="56">
        <f t="shared" si="51"/>
        <v>39000</v>
      </c>
      <c r="AM159" s="56">
        <f t="shared" si="51"/>
        <v>40500</v>
      </c>
      <c r="AN159" s="56">
        <f t="shared" si="51"/>
        <v>42000</v>
      </c>
      <c r="AO159" s="56">
        <f t="shared" si="51"/>
        <v>43500</v>
      </c>
      <c r="AP159" s="56">
        <f t="shared" si="51"/>
        <v>45000</v>
      </c>
      <c r="AQ159" s="56">
        <f t="shared" si="47"/>
        <v>46500</v>
      </c>
      <c r="AR159" s="56">
        <f t="shared" si="47"/>
        <v>48000</v>
      </c>
      <c r="AS159" s="56">
        <f t="shared" si="47"/>
        <v>49500</v>
      </c>
      <c r="AT159" s="56">
        <f t="shared" si="47"/>
        <v>51000</v>
      </c>
      <c r="AU159" s="56">
        <f t="shared" si="47"/>
        <v>52500</v>
      </c>
      <c r="AV159" s="56">
        <f>AU159+$D$22</f>
        <v>54000</v>
      </c>
      <c r="AW159" s="54">
        <v>11250</v>
      </c>
    </row>
    <row r="160" spans="2:49" x14ac:dyDescent="0.2">
      <c r="B160" s="63" t="s">
        <v>27</v>
      </c>
      <c r="F160" s="574"/>
      <c r="G160" s="573"/>
      <c r="H160" s="56">
        <v>1.5</v>
      </c>
      <c r="I160" s="55">
        <v>2.7</v>
      </c>
      <c r="J160" s="59">
        <v>4.2</v>
      </c>
      <c r="K160" s="58">
        <v>22500</v>
      </c>
      <c r="L160" s="57">
        <v>6</v>
      </c>
      <c r="M160" s="56">
        <v>49500</v>
      </c>
      <c r="N160" s="56"/>
      <c r="O160" s="56"/>
      <c r="P160" s="56"/>
      <c r="Q160" s="56"/>
      <c r="R160" s="56"/>
      <c r="S160" s="56"/>
      <c r="T160" s="56"/>
      <c r="U160" s="56"/>
      <c r="V160" s="56"/>
      <c r="W160" s="56"/>
      <c r="X160" s="55"/>
      <c r="Y160" s="55"/>
      <c r="Z160" s="55"/>
      <c r="AA160" s="60">
        <v>3000</v>
      </c>
      <c r="AB160" s="60">
        <f t="shared" ref="AB160:AP160" si="52">AA160+$D$22</f>
        <v>4500</v>
      </c>
      <c r="AC160" s="60">
        <f t="shared" si="52"/>
        <v>6000</v>
      </c>
      <c r="AD160" s="60">
        <f t="shared" si="52"/>
        <v>7500</v>
      </c>
      <c r="AE160" s="60">
        <f t="shared" si="52"/>
        <v>9000</v>
      </c>
      <c r="AF160" s="60">
        <f t="shared" si="52"/>
        <v>10500</v>
      </c>
      <c r="AG160" s="60">
        <f t="shared" si="52"/>
        <v>12000</v>
      </c>
      <c r="AH160" s="60">
        <f t="shared" si="52"/>
        <v>13500</v>
      </c>
      <c r="AI160" s="60">
        <f t="shared" si="52"/>
        <v>15000</v>
      </c>
      <c r="AJ160" s="60">
        <f t="shared" si="52"/>
        <v>16500</v>
      </c>
      <c r="AK160" s="60">
        <f t="shared" si="52"/>
        <v>18000</v>
      </c>
      <c r="AL160" s="60">
        <f t="shared" si="52"/>
        <v>19500</v>
      </c>
      <c r="AM160" s="60">
        <f t="shared" si="52"/>
        <v>21000</v>
      </c>
      <c r="AN160" s="60">
        <f t="shared" si="52"/>
        <v>22500</v>
      </c>
      <c r="AO160" s="60">
        <f t="shared" si="52"/>
        <v>24000</v>
      </c>
      <c r="AP160" s="60">
        <f t="shared" si="52"/>
        <v>25500</v>
      </c>
      <c r="AQ160" s="60">
        <f t="shared" si="47"/>
        <v>27000</v>
      </c>
      <c r="AR160" s="60">
        <f t="shared" si="47"/>
        <v>28500</v>
      </c>
      <c r="AS160" s="60">
        <f t="shared" si="47"/>
        <v>30000</v>
      </c>
      <c r="AT160" s="60">
        <f t="shared" si="47"/>
        <v>31500</v>
      </c>
      <c r="AU160" s="60">
        <f t="shared" si="47"/>
        <v>33000</v>
      </c>
      <c r="AV160" s="60">
        <f>AU160+$D$22</f>
        <v>34500</v>
      </c>
      <c r="AW160" s="54">
        <v>22500</v>
      </c>
    </row>
    <row r="161" spans="2:49" x14ac:dyDescent="0.2">
      <c r="F161" s="574"/>
      <c r="G161" s="573"/>
      <c r="H161" s="56">
        <v>2</v>
      </c>
      <c r="I161" s="55">
        <v>3.5</v>
      </c>
      <c r="J161" s="59">
        <v>5.5</v>
      </c>
      <c r="K161" s="58">
        <v>30000</v>
      </c>
      <c r="L161" s="57">
        <v>6</v>
      </c>
      <c r="M161" s="56">
        <v>37500</v>
      </c>
      <c r="N161" s="56"/>
      <c r="O161" s="56"/>
      <c r="P161" s="56"/>
      <c r="Q161" s="56"/>
      <c r="R161" s="56"/>
      <c r="S161" s="56"/>
      <c r="T161" s="56"/>
      <c r="U161" s="56"/>
      <c r="V161" s="56"/>
      <c r="W161" s="56"/>
      <c r="X161" s="55"/>
      <c r="Y161" s="55"/>
      <c r="Z161" s="55"/>
      <c r="AA161" s="55"/>
      <c r="AB161" s="55"/>
      <c r="AC161" s="55"/>
      <c r="AD161" s="55"/>
      <c r="AE161" s="55"/>
      <c r="AF161" s="55"/>
      <c r="AG161" s="55"/>
      <c r="AH161" s="55"/>
      <c r="AI161" s="60">
        <v>3000</v>
      </c>
      <c r="AJ161" s="60">
        <f t="shared" ref="AJ161:AP161" si="53">AI161+$D$22</f>
        <v>4500</v>
      </c>
      <c r="AK161" s="60">
        <f t="shared" si="53"/>
        <v>6000</v>
      </c>
      <c r="AL161" s="60">
        <f t="shared" si="53"/>
        <v>7500</v>
      </c>
      <c r="AM161" s="60">
        <f t="shared" si="53"/>
        <v>9000</v>
      </c>
      <c r="AN161" s="60">
        <f t="shared" si="53"/>
        <v>10500</v>
      </c>
      <c r="AO161" s="60">
        <f t="shared" si="53"/>
        <v>12000</v>
      </c>
      <c r="AP161" s="60">
        <f t="shared" si="53"/>
        <v>13500</v>
      </c>
      <c r="AQ161" s="60">
        <f t="shared" si="47"/>
        <v>15000</v>
      </c>
      <c r="AR161" s="60">
        <f t="shared" si="47"/>
        <v>16500</v>
      </c>
      <c r="AS161" s="60">
        <f t="shared" si="47"/>
        <v>18000</v>
      </c>
      <c r="AT161" s="60">
        <f t="shared" si="47"/>
        <v>19500</v>
      </c>
      <c r="AU161" s="60">
        <f t="shared" si="47"/>
        <v>21000</v>
      </c>
      <c r="AV161" s="60">
        <f>AU161+$D$22</f>
        <v>22500</v>
      </c>
      <c r="AW161" s="54">
        <v>30000</v>
      </c>
    </row>
    <row r="162" spans="2:49" x14ac:dyDescent="0.2">
      <c r="F162" s="574"/>
      <c r="G162" s="573"/>
      <c r="H162" s="56">
        <v>2.6</v>
      </c>
      <c r="I162" s="55">
        <v>4.2</v>
      </c>
      <c r="J162" s="59"/>
      <c r="K162" s="58"/>
      <c r="L162" s="57">
        <v>6</v>
      </c>
      <c r="M162" s="56">
        <v>27000</v>
      </c>
      <c r="N162" s="56"/>
      <c r="O162" s="56"/>
      <c r="P162" s="56"/>
      <c r="Q162" s="56"/>
      <c r="R162" s="56"/>
      <c r="S162" s="56"/>
      <c r="T162" s="56"/>
      <c r="U162" s="56"/>
      <c r="V162" s="56"/>
      <c r="W162" s="56"/>
      <c r="X162" s="55"/>
      <c r="Y162" s="55"/>
      <c r="Z162" s="55"/>
      <c r="AA162" s="55"/>
      <c r="AB162" s="55"/>
      <c r="AC162" s="55"/>
      <c r="AD162" s="55"/>
      <c r="AE162" s="55"/>
      <c r="AF162" s="55"/>
      <c r="AG162" s="55"/>
      <c r="AH162" s="55"/>
      <c r="AI162" s="55"/>
      <c r="AJ162" s="55"/>
      <c r="AK162" s="55"/>
      <c r="AL162" s="55"/>
      <c r="AM162" s="55"/>
      <c r="AN162" s="55"/>
      <c r="AO162" s="55"/>
      <c r="AP162" s="60">
        <v>3000</v>
      </c>
      <c r="AQ162" s="60">
        <f t="shared" si="47"/>
        <v>4500</v>
      </c>
      <c r="AR162" s="60">
        <f t="shared" si="47"/>
        <v>6000</v>
      </c>
      <c r="AS162" s="60">
        <f t="shared" si="47"/>
        <v>7500</v>
      </c>
      <c r="AT162" s="60">
        <f t="shared" si="47"/>
        <v>9000</v>
      </c>
      <c r="AU162" s="60">
        <f t="shared" si="47"/>
        <v>10500</v>
      </c>
      <c r="AV162" s="60">
        <f>AU162+$D$22</f>
        <v>12000</v>
      </c>
      <c r="AW162" s="54">
        <v>39000</v>
      </c>
    </row>
    <row r="163" spans="2:49" x14ac:dyDescent="0.2">
      <c r="F163" s="574"/>
      <c r="G163" s="573">
        <v>80</v>
      </c>
      <c r="H163" s="56">
        <v>0.2</v>
      </c>
      <c r="I163" s="55">
        <v>1</v>
      </c>
      <c r="J163" s="59"/>
      <c r="K163" s="58"/>
      <c r="L163" s="57">
        <v>5</v>
      </c>
      <c r="M163" s="56">
        <v>60000</v>
      </c>
      <c r="N163" s="56">
        <v>9000</v>
      </c>
      <c r="O163" s="56">
        <f t="shared" ref="O163:AP163" si="54">N163+$D$22</f>
        <v>10500</v>
      </c>
      <c r="P163" s="56">
        <f t="shared" si="54"/>
        <v>12000</v>
      </c>
      <c r="Q163" s="56">
        <f t="shared" si="54"/>
        <v>13500</v>
      </c>
      <c r="R163" s="56">
        <f t="shared" si="54"/>
        <v>15000</v>
      </c>
      <c r="S163" s="56">
        <f t="shared" si="54"/>
        <v>16500</v>
      </c>
      <c r="T163" s="56">
        <f t="shared" si="54"/>
        <v>18000</v>
      </c>
      <c r="U163" s="56">
        <f t="shared" si="54"/>
        <v>19500</v>
      </c>
      <c r="V163" s="56">
        <f t="shared" si="54"/>
        <v>21000</v>
      </c>
      <c r="W163" s="56">
        <f t="shared" si="54"/>
        <v>22500</v>
      </c>
      <c r="X163" s="56">
        <f t="shared" si="54"/>
        <v>24000</v>
      </c>
      <c r="Y163" s="56">
        <f t="shared" si="54"/>
        <v>25500</v>
      </c>
      <c r="Z163" s="56">
        <f t="shared" si="54"/>
        <v>27000</v>
      </c>
      <c r="AA163" s="56">
        <f t="shared" si="54"/>
        <v>28500</v>
      </c>
      <c r="AB163" s="56">
        <f t="shared" si="54"/>
        <v>30000</v>
      </c>
      <c r="AC163" s="56">
        <f t="shared" si="54"/>
        <v>31500</v>
      </c>
      <c r="AD163" s="56">
        <f t="shared" si="54"/>
        <v>33000</v>
      </c>
      <c r="AE163" s="56">
        <f t="shared" si="54"/>
        <v>34500</v>
      </c>
      <c r="AF163" s="56">
        <f t="shared" si="54"/>
        <v>36000</v>
      </c>
      <c r="AG163" s="56">
        <f t="shared" si="54"/>
        <v>37500</v>
      </c>
      <c r="AH163" s="56">
        <f t="shared" si="54"/>
        <v>39000</v>
      </c>
      <c r="AI163" s="56">
        <f t="shared" si="54"/>
        <v>40500</v>
      </c>
      <c r="AJ163" s="56">
        <f t="shared" si="54"/>
        <v>42000</v>
      </c>
      <c r="AK163" s="56">
        <f t="shared" si="54"/>
        <v>43500</v>
      </c>
      <c r="AL163" s="56">
        <f t="shared" si="54"/>
        <v>45000</v>
      </c>
      <c r="AM163" s="56">
        <f t="shared" si="54"/>
        <v>46500</v>
      </c>
      <c r="AN163" s="56">
        <f t="shared" si="54"/>
        <v>48000</v>
      </c>
      <c r="AO163" s="56">
        <f t="shared" si="54"/>
        <v>49500</v>
      </c>
      <c r="AP163" s="56">
        <f t="shared" si="54"/>
        <v>51000</v>
      </c>
      <c r="AQ163" s="56">
        <f t="shared" si="47"/>
        <v>52500</v>
      </c>
      <c r="AR163" s="56">
        <f t="shared" si="47"/>
        <v>54000</v>
      </c>
      <c r="AS163" s="56">
        <f t="shared" si="47"/>
        <v>55500</v>
      </c>
      <c r="AT163" s="56">
        <f t="shared" si="47"/>
        <v>57000</v>
      </c>
      <c r="AU163" s="56">
        <f t="shared" si="47"/>
        <v>58500</v>
      </c>
      <c r="AV163" s="56">
        <f>AU163+$D$22</f>
        <v>60000</v>
      </c>
      <c r="AW163" s="54">
        <v>3000</v>
      </c>
    </row>
    <row r="164" spans="2:49" x14ac:dyDescent="0.2">
      <c r="F164" s="574"/>
      <c r="G164" s="573"/>
      <c r="H164" s="56">
        <v>0.4</v>
      </c>
      <c r="I164" s="55">
        <v>2</v>
      </c>
      <c r="J164" s="59">
        <v>2.4</v>
      </c>
      <c r="K164" s="58">
        <v>6000</v>
      </c>
      <c r="L164" s="57">
        <v>6</v>
      </c>
      <c r="M164" s="56">
        <v>60000</v>
      </c>
      <c r="N164" s="56"/>
      <c r="O164" s="56"/>
      <c r="P164" s="56"/>
      <c r="Q164" s="56"/>
      <c r="R164" s="56"/>
      <c r="S164" s="56"/>
      <c r="T164" s="56">
        <v>3000</v>
      </c>
      <c r="U164" s="56">
        <f t="shared" ref="U164:AP164" si="55">T164+$D$22</f>
        <v>4500</v>
      </c>
      <c r="V164" s="56">
        <f t="shared" si="55"/>
        <v>6000</v>
      </c>
      <c r="W164" s="56">
        <f t="shared" si="55"/>
        <v>7500</v>
      </c>
      <c r="X164" s="56">
        <f t="shared" si="55"/>
        <v>9000</v>
      </c>
      <c r="Y164" s="56">
        <f t="shared" si="55"/>
        <v>10500</v>
      </c>
      <c r="Z164" s="56">
        <f t="shared" si="55"/>
        <v>12000</v>
      </c>
      <c r="AA164" s="56">
        <f t="shared" si="55"/>
        <v>13500</v>
      </c>
      <c r="AB164" s="56">
        <f t="shared" si="55"/>
        <v>15000</v>
      </c>
      <c r="AC164" s="56">
        <f t="shared" si="55"/>
        <v>16500</v>
      </c>
      <c r="AD164" s="56">
        <f t="shared" si="55"/>
        <v>18000</v>
      </c>
      <c r="AE164" s="56">
        <f t="shared" si="55"/>
        <v>19500</v>
      </c>
      <c r="AF164" s="56">
        <f t="shared" si="55"/>
        <v>21000</v>
      </c>
      <c r="AG164" s="56">
        <f t="shared" si="55"/>
        <v>22500</v>
      </c>
      <c r="AH164" s="56">
        <f t="shared" si="55"/>
        <v>24000</v>
      </c>
      <c r="AI164" s="56">
        <f t="shared" si="55"/>
        <v>25500</v>
      </c>
      <c r="AJ164" s="56">
        <f t="shared" si="55"/>
        <v>27000</v>
      </c>
      <c r="AK164" s="56">
        <f t="shared" si="55"/>
        <v>28500</v>
      </c>
      <c r="AL164" s="56">
        <f t="shared" si="55"/>
        <v>30000</v>
      </c>
      <c r="AM164" s="56">
        <f t="shared" si="55"/>
        <v>31500</v>
      </c>
      <c r="AN164" s="56">
        <f t="shared" si="55"/>
        <v>33000</v>
      </c>
      <c r="AO164" s="56">
        <f t="shared" si="55"/>
        <v>34500</v>
      </c>
      <c r="AP164" s="56">
        <f t="shared" si="55"/>
        <v>36000</v>
      </c>
      <c r="AQ164" s="56">
        <f t="shared" si="47"/>
        <v>37500</v>
      </c>
      <c r="AR164" s="56">
        <f t="shared" si="47"/>
        <v>39000</v>
      </c>
      <c r="AS164" s="56">
        <f t="shared" si="47"/>
        <v>40500</v>
      </c>
      <c r="AT164" s="56">
        <f t="shared" si="47"/>
        <v>42000</v>
      </c>
      <c r="AU164" s="56">
        <f t="shared" si="47"/>
        <v>43500</v>
      </c>
      <c r="AV164" s="55">
        <v>45000</v>
      </c>
      <c r="AW164" s="54">
        <v>6000</v>
      </c>
    </row>
    <row r="165" spans="2:49" x14ac:dyDescent="0.2">
      <c r="B165" s="42" t="s">
        <v>26</v>
      </c>
      <c r="F165" s="574"/>
      <c r="G165" s="573"/>
      <c r="H165" s="56">
        <v>0.75</v>
      </c>
      <c r="I165" s="55">
        <v>1.4</v>
      </c>
      <c r="J165" s="59">
        <v>2.2000000000000002</v>
      </c>
      <c r="K165" s="58">
        <v>11250</v>
      </c>
      <c r="L165" s="57">
        <v>5.4</v>
      </c>
      <c r="M165" s="56">
        <v>60000</v>
      </c>
      <c r="N165" s="56">
        <v>3000</v>
      </c>
      <c r="O165" s="56">
        <f t="shared" ref="O165:T165" si="56">N165+$D$22</f>
        <v>4500</v>
      </c>
      <c r="P165" s="56">
        <f t="shared" si="56"/>
        <v>6000</v>
      </c>
      <c r="Q165" s="56">
        <f t="shared" si="56"/>
        <v>7500</v>
      </c>
      <c r="R165" s="56">
        <f t="shared" si="56"/>
        <v>9000</v>
      </c>
      <c r="S165" s="56">
        <f t="shared" si="56"/>
        <v>10500</v>
      </c>
      <c r="T165" s="56">
        <f t="shared" si="56"/>
        <v>12000</v>
      </c>
      <c r="U165" s="56">
        <f t="shared" ref="U165:AP165" si="57">T165+$D$22</f>
        <v>13500</v>
      </c>
      <c r="V165" s="56">
        <f t="shared" si="57"/>
        <v>15000</v>
      </c>
      <c r="W165" s="56">
        <f t="shared" si="57"/>
        <v>16500</v>
      </c>
      <c r="X165" s="56">
        <f t="shared" si="57"/>
        <v>18000</v>
      </c>
      <c r="Y165" s="56">
        <f t="shared" si="57"/>
        <v>19500</v>
      </c>
      <c r="Z165" s="56">
        <f t="shared" si="57"/>
        <v>21000</v>
      </c>
      <c r="AA165" s="56">
        <f t="shared" si="57"/>
        <v>22500</v>
      </c>
      <c r="AB165" s="56">
        <f t="shared" si="57"/>
        <v>24000</v>
      </c>
      <c r="AC165" s="56">
        <f t="shared" si="57"/>
        <v>25500</v>
      </c>
      <c r="AD165" s="56">
        <f t="shared" si="57"/>
        <v>27000</v>
      </c>
      <c r="AE165" s="56">
        <f t="shared" si="57"/>
        <v>28500</v>
      </c>
      <c r="AF165" s="56">
        <f t="shared" si="57"/>
        <v>30000</v>
      </c>
      <c r="AG165" s="56">
        <f t="shared" si="57"/>
        <v>31500</v>
      </c>
      <c r="AH165" s="56">
        <f t="shared" si="57"/>
        <v>33000</v>
      </c>
      <c r="AI165" s="56">
        <f t="shared" si="57"/>
        <v>34500</v>
      </c>
      <c r="AJ165" s="56">
        <f t="shared" si="57"/>
        <v>36000</v>
      </c>
      <c r="AK165" s="56">
        <f t="shared" si="57"/>
        <v>37500</v>
      </c>
      <c r="AL165" s="56">
        <f t="shared" si="57"/>
        <v>39000</v>
      </c>
      <c r="AM165" s="56">
        <f t="shared" si="57"/>
        <v>40500</v>
      </c>
      <c r="AN165" s="56">
        <f t="shared" si="57"/>
        <v>42000</v>
      </c>
      <c r="AO165" s="56">
        <f t="shared" si="57"/>
        <v>43500</v>
      </c>
      <c r="AP165" s="56">
        <f t="shared" si="57"/>
        <v>45000</v>
      </c>
      <c r="AQ165" s="56">
        <f t="shared" si="47"/>
        <v>46500</v>
      </c>
      <c r="AR165" s="56">
        <f t="shared" si="47"/>
        <v>48000</v>
      </c>
      <c r="AS165" s="56">
        <f t="shared" si="47"/>
        <v>49500</v>
      </c>
      <c r="AT165" s="56">
        <f t="shared" si="47"/>
        <v>51000</v>
      </c>
      <c r="AU165" s="56">
        <f t="shared" si="47"/>
        <v>52500</v>
      </c>
      <c r="AV165" s="55">
        <v>54000</v>
      </c>
      <c r="AW165" s="54">
        <v>11250</v>
      </c>
    </row>
    <row r="166" spans="2:49" x14ac:dyDescent="0.2">
      <c r="B166" s="43" t="s">
        <v>25</v>
      </c>
      <c r="F166" s="574"/>
      <c r="G166" s="573"/>
      <c r="H166" s="56">
        <v>1.5</v>
      </c>
      <c r="I166" s="55">
        <v>2.7</v>
      </c>
      <c r="J166" s="59">
        <v>4.2</v>
      </c>
      <c r="K166" s="58">
        <v>22500</v>
      </c>
      <c r="L166" s="57">
        <v>6</v>
      </c>
      <c r="M166" s="56">
        <v>49500</v>
      </c>
      <c r="N166" s="56"/>
      <c r="O166" s="56"/>
      <c r="P166" s="56"/>
      <c r="Q166" s="56"/>
      <c r="R166" s="56"/>
      <c r="S166" s="56"/>
      <c r="T166" s="56"/>
      <c r="U166" s="56"/>
      <c r="V166" s="56"/>
      <c r="W166" s="56"/>
      <c r="X166" s="55"/>
      <c r="Y166" s="55"/>
      <c r="Z166" s="55"/>
      <c r="AA166" s="60">
        <v>3000</v>
      </c>
      <c r="AB166" s="60">
        <f t="shared" ref="AB166:AP166" si="58">AA166+$D$22</f>
        <v>4500</v>
      </c>
      <c r="AC166" s="60">
        <f t="shared" si="58"/>
        <v>6000</v>
      </c>
      <c r="AD166" s="60">
        <f t="shared" si="58"/>
        <v>7500</v>
      </c>
      <c r="AE166" s="60">
        <f t="shared" si="58"/>
        <v>9000</v>
      </c>
      <c r="AF166" s="60">
        <f t="shared" si="58"/>
        <v>10500</v>
      </c>
      <c r="AG166" s="60">
        <f t="shared" si="58"/>
        <v>12000</v>
      </c>
      <c r="AH166" s="60">
        <f t="shared" si="58"/>
        <v>13500</v>
      </c>
      <c r="AI166" s="60">
        <f t="shared" si="58"/>
        <v>15000</v>
      </c>
      <c r="AJ166" s="60">
        <f t="shared" si="58"/>
        <v>16500</v>
      </c>
      <c r="AK166" s="60">
        <f t="shared" si="58"/>
        <v>18000</v>
      </c>
      <c r="AL166" s="60">
        <f t="shared" si="58"/>
        <v>19500</v>
      </c>
      <c r="AM166" s="60">
        <f t="shared" si="58"/>
        <v>21000</v>
      </c>
      <c r="AN166" s="60">
        <f t="shared" si="58"/>
        <v>22500</v>
      </c>
      <c r="AO166" s="60">
        <f t="shared" si="58"/>
        <v>24000</v>
      </c>
      <c r="AP166" s="60">
        <f t="shared" si="58"/>
        <v>25500</v>
      </c>
      <c r="AQ166" s="60">
        <f t="shared" si="47"/>
        <v>27000</v>
      </c>
      <c r="AR166" s="60">
        <f t="shared" si="47"/>
        <v>28500</v>
      </c>
      <c r="AS166" s="60">
        <f t="shared" si="47"/>
        <v>30000</v>
      </c>
      <c r="AT166" s="60">
        <f t="shared" si="47"/>
        <v>31500</v>
      </c>
      <c r="AU166" s="60">
        <f t="shared" si="47"/>
        <v>33000</v>
      </c>
      <c r="AV166" s="60">
        <f>AU166+$D$22</f>
        <v>34500</v>
      </c>
      <c r="AW166" s="54">
        <v>22500</v>
      </c>
    </row>
    <row r="167" spans="2:49" x14ac:dyDescent="0.2">
      <c r="B167" s="43"/>
      <c r="F167" s="574"/>
      <c r="G167" s="573"/>
      <c r="H167" s="56">
        <v>2</v>
      </c>
      <c r="I167" s="55">
        <v>3.5</v>
      </c>
      <c r="J167" s="59">
        <v>5.5</v>
      </c>
      <c r="K167" s="58">
        <v>30000</v>
      </c>
      <c r="L167" s="57">
        <v>6</v>
      </c>
      <c r="M167" s="56">
        <v>37500</v>
      </c>
      <c r="N167" s="56"/>
      <c r="O167" s="56"/>
      <c r="P167" s="56"/>
      <c r="Q167" s="56"/>
      <c r="R167" s="56"/>
      <c r="S167" s="56"/>
      <c r="T167" s="56"/>
      <c r="U167" s="56"/>
      <c r="V167" s="56"/>
      <c r="W167" s="56"/>
      <c r="X167" s="55"/>
      <c r="Y167" s="55"/>
      <c r="Z167" s="55"/>
      <c r="AA167" s="55"/>
      <c r="AB167" s="55"/>
      <c r="AC167" s="55"/>
      <c r="AD167" s="55"/>
      <c r="AE167" s="55"/>
      <c r="AF167" s="55"/>
      <c r="AG167" s="55"/>
      <c r="AH167" s="55"/>
      <c r="AI167" s="60">
        <v>3000</v>
      </c>
      <c r="AJ167" s="60">
        <f t="shared" ref="AJ167:AP167" si="59">AI167+$D$22</f>
        <v>4500</v>
      </c>
      <c r="AK167" s="60">
        <f t="shared" si="59"/>
        <v>6000</v>
      </c>
      <c r="AL167" s="60">
        <f t="shared" si="59"/>
        <v>7500</v>
      </c>
      <c r="AM167" s="60">
        <f t="shared" si="59"/>
        <v>9000</v>
      </c>
      <c r="AN167" s="60">
        <f t="shared" si="59"/>
        <v>10500</v>
      </c>
      <c r="AO167" s="60">
        <f t="shared" si="59"/>
        <v>12000</v>
      </c>
      <c r="AP167" s="60">
        <f t="shared" si="59"/>
        <v>13500</v>
      </c>
      <c r="AQ167" s="60">
        <f t="shared" si="47"/>
        <v>15000</v>
      </c>
      <c r="AR167" s="60">
        <f t="shared" si="47"/>
        <v>16500</v>
      </c>
      <c r="AS167" s="60">
        <f t="shared" si="47"/>
        <v>18000</v>
      </c>
      <c r="AT167" s="60">
        <f t="shared" si="47"/>
        <v>19500</v>
      </c>
      <c r="AU167" s="60">
        <f t="shared" si="47"/>
        <v>21000</v>
      </c>
      <c r="AV167" s="60">
        <f>AU167+$D$22</f>
        <v>22500</v>
      </c>
      <c r="AW167" s="54">
        <v>30000</v>
      </c>
    </row>
    <row r="168" spans="2:49" x14ac:dyDescent="0.2">
      <c r="B168" s="42" t="s">
        <v>24</v>
      </c>
      <c r="F168" s="574"/>
      <c r="G168" s="573"/>
      <c r="H168" s="56">
        <v>2.6</v>
      </c>
      <c r="I168" s="55">
        <v>4.2</v>
      </c>
      <c r="J168" s="59"/>
      <c r="K168" s="58"/>
      <c r="L168" s="57">
        <v>6</v>
      </c>
      <c r="M168" s="56">
        <v>27000</v>
      </c>
      <c r="N168" s="56"/>
      <c r="O168" s="56"/>
      <c r="P168" s="56"/>
      <c r="Q168" s="56"/>
      <c r="R168" s="56"/>
      <c r="S168" s="56"/>
      <c r="T168" s="56"/>
      <c r="U168" s="56"/>
      <c r="V168" s="56"/>
      <c r="W168" s="56"/>
      <c r="X168" s="55"/>
      <c r="Y168" s="55"/>
      <c r="Z168" s="55"/>
      <c r="AA168" s="55"/>
      <c r="AB168" s="55"/>
      <c r="AC168" s="55"/>
      <c r="AD168" s="55"/>
      <c r="AE168" s="55"/>
      <c r="AF168" s="55"/>
      <c r="AG168" s="55"/>
      <c r="AH168" s="55"/>
      <c r="AI168" s="55"/>
      <c r="AJ168" s="55"/>
      <c r="AK168" s="55"/>
      <c r="AL168" s="55"/>
      <c r="AM168" s="55"/>
      <c r="AN168" s="55"/>
      <c r="AO168" s="55"/>
      <c r="AP168" s="60">
        <v>3000</v>
      </c>
      <c r="AQ168" s="60">
        <f t="shared" si="47"/>
        <v>4500</v>
      </c>
      <c r="AR168" s="60">
        <f t="shared" si="47"/>
        <v>6000</v>
      </c>
      <c r="AS168" s="60">
        <f t="shared" si="47"/>
        <v>7500</v>
      </c>
      <c r="AT168" s="60">
        <f t="shared" si="47"/>
        <v>9000</v>
      </c>
      <c r="AU168" s="60">
        <f t="shared" si="47"/>
        <v>10500</v>
      </c>
      <c r="AV168" s="60">
        <f>AU168+$D$22</f>
        <v>12000</v>
      </c>
      <c r="AW168" s="54">
        <v>39000</v>
      </c>
    </row>
    <row r="169" spans="2:49" x14ac:dyDescent="0.2">
      <c r="B169" s="43" t="s">
        <v>23</v>
      </c>
      <c r="F169" s="574"/>
      <c r="G169" s="573" t="s">
        <v>21</v>
      </c>
      <c r="H169" s="56">
        <v>0.9</v>
      </c>
      <c r="I169" s="55">
        <v>1.9</v>
      </c>
      <c r="J169" s="59"/>
      <c r="K169" s="58"/>
      <c r="L169" s="57"/>
      <c r="M169" s="56"/>
      <c r="N169" s="56"/>
      <c r="O169" s="56"/>
      <c r="P169" s="56"/>
      <c r="Q169" s="56"/>
      <c r="R169" s="56"/>
      <c r="S169" s="56"/>
      <c r="T169" s="56"/>
      <c r="U169" s="56"/>
      <c r="V169" s="56"/>
      <c r="W169" s="56"/>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65"/>
    </row>
    <row r="170" spans="2:49" x14ac:dyDescent="0.2">
      <c r="F170" s="574"/>
      <c r="G170" s="573"/>
      <c r="H170" s="56">
        <v>1.2</v>
      </c>
      <c r="I170" s="55">
        <v>2.6</v>
      </c>
      <c r="J170" s="59"/>
      <c r="K170" s="58"/>
      <c r="L170" s="57"/>
      <c r="M170" s="56"/>
      <c r="N170" s="56"/>
      <c r="O170" s="56"/>
      <c r="P170" s="56"/>
      <c r="Q170" s="56"/>
      <c r="R170" s="56"/>
      <c r="S170" s="56"/>
      <c r="T170" s="56"/>
      <c r="U170" s="56"/>
      <c r="V170" s="56"/>
      <c r="W170" s="56"/>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4"/>
    </row>
    <row r="171" spans="2:49" x14ac:dyDescent="0.2">
      <c r="B171" s="43" t="s">
        <v>22</v>
      </c>
      <c r="F171" s="574"/>
      <c r="G171" s="573"/>
      <c r="H171" s="56">
        <v>1.8</v>
      </c>
      <c r="I171" s="55">
        <v>3.8</v>
      </c>
      <c r="J171" s="59"/>
      <c r="K171" s="58"/>
      <c r="L171" s="57"/>
      <c r="M171" s="56"/>
      <c r="N171" s="56"/>
      <c r="O171" s="56"/>
      <c r="P171" s="56"/>
      <c r="Q171" s="56"/>
      <c r="R171" s="56"/>
      <c r="S171" s="56"/>
      <c r="T171" s="56"/>
      <c r="U171" s="56"/>
      <c r="V171" s="56"/>
      <c r="W171" s="56"/>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4"/>
    </row>
    <row r="172" spans="2:49" x14ac:dyDescent="0.2">
      <c r="B172" s="43" t="s">
        <v>20</v>
      </c>
      <c r="F172" s="574"/>
      <c r="G172" s="573"/>
      <c r="H172" s="56">
        <v>2</v>
      </c>
      <c r="I172" s="55">
        <v>4.3</v>
      </c>
      <c r="J172" s="59"/>
      <c r="K172" s="58"/>
      <c r="L172" s="57"/>
      <c r="M172" s="56"/>
      <c r="N172" s="56"/>
      <c r="O172" s="56"/>
      <c r="P172" s="56"/>
      <c r="Q172" s="56"/>
      <c r="R172" s="56"/>
      <c r="S172" s="56"/>
      <c r="T172" s="56"/>
      <c r="U172" s="56"/>
      <c r="V172" s="56"/>
      <c r="W172" s="56"/>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4"/>
    </row>
    <row r="173" spans="2:49" x14ac:dyDescent="0.2">
      <c r="B173" s="64" t="s">
        <v>19</v>
      </c>
      <c r="F173" s="574">
        <v>3002</v>
      </c>
      <c r="G173" s="573">
        <v>40</v>
      </c>
      <c r="H173" s="56">
        <v>0.2</v>
      </c>
      <c r="I173" s="55">
        <v>1</v>
      </c>
      <c r="J173" s="59">
        <v>2.4</v>
      </c>
      <c r="K173" s="58">
        <v>12000</v>
      </c>
      <c r="L173" s="57">
        <v>3</v>
      </c>
      <c r="M173" s="56">
        <v>60000</v>
      </c>
      <c r="N173" s="56">
        <v>18000</v>
      </c>
      <c r="O173" s="56">
        <f t="shared" ref="O173:Z173" si="60">N173+$D$23</f>
        <v>21000</v>
      </c>
      <c r="P173" s="56">
        <f t="shared" si="60"/>
        <v>24000</v>
      </c>
      <c r="Q173" s="56">
        <f t="shared" si="60"/>
        <v>27000</v>
      </c>
      <c r="R173" s="56">
        <f t="shared" si="60"/>
        <v>30000</v>
      </c>
      <c r="S173" s="56">
        <f t="shared" si="60"/>
        <v>33000</v>
      </c>
      <c r="T173" s="56">
        <f t="shared" si="60"/>
        <v>36000</v>
      </c>
      <c r="U173" s="56">
        <f t="shared" si="60"/>
        <v>39000</v>
      </c>
      <c r="V173" s="56">
        <f t="shared" si="60"/>
        <v>42000</v>
      </c>
      <c r="W173" s="56">
        <f t="shared" si="60"/>
        <v>45000</v>
      </c>
      <c r="X173" s="56">
        <f t="shared" si="60"/>
        <v>48000</v>
      </c>
      <c r="Y173" s="56">
        <f t="shared" si="60"/>
        <v>51000</v>
      </c>
      <c r="Z173" s="56">
        <f t="shared" si="60"/>
        <v>54000</v>
      </c>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4">
        <v>6000</v>
      </c>
    </row>
    <row r="174" spans="2:49" x14ac:dyDescent="0.2">
      <c r="F174" s="574"/>
      <c r="G174" s="573"/>
      <c r="H174" s="56">
        <v>0.4</v>
      </c>
      <c r="I174" s="55">
        <v>2</v>
      </c>
      <c r="J174" s="59">
        <v>2.2000000000000002</v>
      </c>
      <c r="K174" s="58">
        <v>22500</v>
      </c>
      <c r="L174" s="57">
        <v>4</v>
      </c>
      <c r="M174" s="56">
        <v>60000</v>
      </c>
      <c r="N174" s="56"/>
      <c r="O174" s="56"/>
      <c r="P174" s="56"/>
      <c r="Q174" s="56"/>
      <c r="R174" s="56"/>
      <c r="S174" s="56"/>
      <c r="T174" s="56">
        <v>6000</v>
      </c>
      <c r="U174" s="56">
        <f t="shared" ref="U174:AC174" si="61">T174+$D$23</f>
        <v>9000</v>
      </c>
      <c r="V174" s="56">
        <f t="shared" si="61"/>
        <v>12000</v>
      </c>
      <c r="W174" s="56">
        <f t="shared" si="61"/>
        <v>15000</v>
      </c>
      <c r="X174" s="56">
        <f t="shared" si="61"/>
        <v>18000</v>
      </c>
      <c r="Y174" s="56">
        <f t="shared" si="61"/>
        <v>21000</v>
      </c>
      <c r="Z174" s="56">
        <f t="shared" si="61"/>
        <v>24000</v>
      </c>
      <c r="AA174" s="56">
        <f t="shared" si="61"/>
        <v>27000</v>
      </c>
      <c r="AB174" s="56">
        <f t="shared" si="61"/>
        <v>30000</v>
      </c>
      <c r="AC174" s="56">
        <f t="shared" si="61"/>
        <v>33000</v>
      </c>
      <c r="AD174" s="55">
        <v>36000</v>
      </c>
      <c r="AE174" s="56">
        <f t="shared" ref="AE174:AL174" si="62">AD174+$D$23</f>
        <v>39000</v>
      </c>
      <c r="AF174" s="56">
        <f t="shared" si="62"/>
        <v>42000</v>
      </c>
      <c r="AG174" s="56">
        <f t="shared" si="62"/>
        <v>45000</v>
      </c>
      <c r="AH174" s="56">
        <f t="shared" si="62"/>
        <v>48000</v>
      </c>
      <c r="AI174" s="56">
        <f t="shared" si="62"/>
        <v>51000</v>
      </c>
      <c r="AJ174" s="56">
        <f t="shared" si="62"/>
        <v>54000</v>
      </c>
      <c r="AK174" s="56">
        <f t="shared" si="62"/>
        <v>57000</v>
      </c>
      <c r="AL174" s="56">
        <f t="shared" si="62"/>
        <v>60000</v>
      </c>
      <c r="AM174" s="55"/>
      <c r="AN174" s="55"/>
      <c r="AO174" s="55"/>
      <c r="AP174" s="55"/>
      <c r="AQ174" s="55"/>
      <c r="AR174" s="55"/>
      <c r="AS174" s="55"/>
      <c r="AT174" s="55"/>
      <c r="AU174" s="55"/>
      <c r="AV174" s="55"/>
      <c r="AW174" s="54">
        <v>12000</v>
      </c>
    </row>
    <row r="175" spans="2:49" x14ac:dyDescent="0.2">
      <c r="B175" s="43" t="s">
        <v>18</v>
      </c>
      <c r="F175" s="574"/>
      <c r="G175" s="573"/>
      <c r="H175" s="56">
        <v>0.75</v>
      </c>
      <c r="I175" s="55">
        <v>1.4</v>
      </c>
      <c r="J175" s="59">
        <v>3.4</v>
      </c>
      <c r="K175" s="58">
        <v>30000</v>
      </c>
      <c r="L175" s="57">
        <v>3.4</v>
      </c>
      <c r="M175" s="56">
        <v>60000</v>
      </c>
      <c r="N175" s="56">
        <v>6000</v>
      </c>
      <c r="O175" s="56">
        <f t="shared" ref="O175:T175" si="63">N175+$D$23</f>
        <v>9000</v>
      </c>
      <c r="P175" s="56">
        <f t="shared" si="63"/>
        <v>12000</v>
      </c>
      <c r="Q175" s="56">
        <f t="shared" si="63"/>
        <v>15000</v>
      </c>
      <c r="R175" s="56">
        <f t="shared" si="63"/>
        <v>18000</v>
      </c>
      <c r="S175" s="56">
        <f t="shared" si="63"/>
        <v>21000</v>
      </c>
      <c r="T175" s="56">
        <f t="shared" si="63"/>
        <v>24000</v>
      </c>
      <c r="U175" s="56">
        <f t="shared" ref="U175:AC175" si="64">T175+$D$23</f>
        <v>27000</v>
      </c>
      <c r="V175" s="56">
        <f t="shared" si="64"/>
        <v>30000</v>
      </c>
      <c r="W175" s="56">
        <f t="shared" si="64"/>
        <v>33000</v>
      </c>
      <c r="X175" s="56">
        <f t="shared" si="64"/>
        <v>36000</v>
      </c>
      <c r="Y175" s="56">
        <f t="shared" si="64"/>
        <v>39000</v>
      </c>
      <c r="Z175" s="56">
        <f t="shared" si="64"/>
        <v>42000</v>
      </c>
      <c r="AA175" s="56">
        <f t="shared" si="64"/>
        <v>45000</v>
      </c>
      <c r="AB175" s="56">
        <f t="shared" si="64"/>
        <v>48000</v>
      </c>
      <c r="AC175" s="56">
        <f t="shared" si="64"/>
        <v>51000</v>
      </c>
      <c r="AD175" s="56">
        <f>AC175+$D$23</f>
        <v>54000</v>
      </c>
      <c r="AE175" s="55"/>
      <c r="AF175" s="55"/>
      <c r="AG175" s="55"/>
      <c r="AH175" s="55"/>
      <c r="AI175" s="55"/>
      <c r="AJ175" s="55"/>
      <c r="AK175" s="55"/>
      <c r="AL175" s="55"/>
      <c r="AM175" s="55"/>
      <c r="AN175" s="55"/>
      <c r="AO175" s="55"/>
      <c r="AP175" s="55"/>
      <c r="AQ175" s="55"/>
      <c r="AR175" s="55"/>
      <c r="AS175" s="55"/>
      <c r="AT175" s="55"/>
      <c r="AU175" s="55"/>
      <c r="AV175" s="55"/>
      <c r="AW175" s="54">
        <v>22500</v>
      </c>
    </row>
    <row r="176" spans="2:49" x14ac:dyDescent="0.2">
      <c r="B176" s="43" t="s">
        <v>17</v>
      </c>
      <c r="F176" s="574"/>
      <c r="G176" s="573"/>
      <c r="H176" s="56">
        <v>1</v>
      </c>
      <c r="I176" s="55">
        <v>2.4</v>
      </c>
      <c r="J176" s="59">
        <v>3.4</v>
      </c>
      <c r="K176" s="58">
        <v>39000</v>
      </c>
      <c r="L176" s="57">
        <v>4.4000000000000004</v>
      </c>
      <c r="M176" s="56">
        <v>60000</v>
      </c>
      <c r="N176" s="56"/>
      <c r="O176" s="56"/>
      <c r="P176" s="56"/>
      <c r="Q176" s="56"/>
      <c r="R176" s="56"/>
      <c r="S176" s="56"/>
      <c r="T176" s="56"/>
      <c r="U176" s="56"/>
      <c r="V176" s="56"/>
      <c r="W176" s="61">
        <v>3000</v>
      </c>
      <c r="X176" s="60">
        <f t="shared" ref="X176:AC178" si="65">W176+$D$23</f>
        <v>6000</v>
      </c>
      <c r="Y176" s="60">
        <f t="shared" si="65"/>
        <v>9000</v>
      </c>
      <c r="Z176" s="60">
        <f t="shared" si="65"/>
        <v>12000</v>
      </c>
      <c r="AA176" s="60">
        <f t="shared" si="65"/>
        <v>15000</v>
      </c>
      <c r="AB176" s="60">
        <f t="shared" si="65"/>
        <v>18000</v>
      </c>
      <c r="AC176" s="60">
        <f t="shared" si="65"/>
        <v>21000</v>
      </c>
      <c r="AD176" s="60">
        <f>AC176+$D$23</f>
        <v>24000</v>
      </c>
      <c r="AE176" s="60">
        <f t="shared" ref="AE176:AP176" si="66">AD176+$D$23</f>
        <v>27000</v>
      </c>
      <c r="AF176" s="60">
        <f t="shared" si="66"/>
        <v>30000</v>
      </c>
      <c r="AG176" s="60">
        <f t="shared" si="66"/>
        <v>33000</v>
      </c>
      <c r="AH176" s="60">
        <f t="shared" si="66"/>
        <v>36000</v>
      </c>
      <c r="AI176" s="60">
        <f t="shared" si="66"/>
        <v>39000</v>
      </c>
      <c r="AJ176" s="60">
        <f t="shared" si="66"/>
        <v>42000</v>
      </c>
      <c r="AK176" s="60">
        <f t="shared" si="66"/>
        <v>45000</v>
      </c>
      <c r="AL176" s="60">
        <f t="shared" si="66"/>
        <v>48000</v>
      </c>
      <c r="AM176" s="60">
        <f t="shared" si="66"/>
        <v>51000</v>
      </c>
      <c r="AN176" s="60">
        <f t="shared" si="66"/>
        <v>54000</v>
      </c>
      <c r="AO176" s="60">
        <f t="shared" si="66"/>
        <v>57000</v>
      </c>
      <c r="AP176" s="60">
        <f t="shared" si="66"/>
        <v>60000</v>
      </c>
      <c r="AQ176" s="55"/>
      <c r="AR176" s="55"/>
      <c r="AS176" s="55"/>
      <c r="AT176" s="55"/>
      <c r="AU176" s="55"/>
      <c r="AV176" s="55"/>
      <c r="AW176" s="54">
        <v>30000</v>
      </c>
    </row>
    <row r="177" spans="2:49" x14ac:dyDescent="0.2">
      <c r="B177" s="43" t="s">
        <v>16</v>
      </c>
      <c r="F177" s="574"/>
      <c r="G177" s="573"/>
      <c r="H177" s="56">
        <v>1.3</v>
      </c>
      <c r="I177" s="55">
        <v>2.1</v>
      </c>
      <c r="J177" s="59">
        <v>5.5</v>
      </c>
      <c r="K177" s="58">
        <v>60000</v>
      </c>
      <c r="L177" s="57">
        <v>4.0999999999999996</v>
      </c>
      <c r="M177" s="56">
        <v>60000</v>
      </c>
      <c r="N177" s="56"/>
      <c r="O177" s="56"/>
      <c r="P177" s="56"/>
      <c r="Q177" s="56"/>
      <c r="R177" s="56"/>
      <c r="S177" s="56"/>
      <c r="T177" s="61">
        <v>3000</v>
      </c>
      <c r="U177" s="60">
        <f t="shared" ref="U177:W181" si="67">T177+$D$23</f>
        <v>6000</v>
      </c>
      <c r="V177" s="60">
        <f t="shared" si="67"/>
        <v>9000</v>
      </c>
      <c r="W177" s="60">
        <f t="shared" si="67"/>
        <v>12000</v>
      </c>
      <c r="X177" s="60">
        <f t="shared" si="65"/>
        <v>15000</v>
      </c>
      <c r="Y177" s="60">
        <f t="shared" si="65"/>
        <v>18000</v>
      </c>
      <c r="Z177" s="60">
        <f t="shared" si="65"/>
        <v>21000</v>
      </c>
      <c r="AA177" s="60">
        <f t="shared" si="65"/>
        <v>24000</v>
      </c>
      <c r="AB177" s="60">
        <f t="shared" si="65"/>
        <v>27000</v>
      </c>
      <c r="AC177" s="60">
        <f t="shared" si="65"/>
        <v>30000</v>
      </c>
      <c r="AD177" s="60">
        <f>AC177+$D$23</f>
        <v>33000</v>
      </c>
      <c r="AE177" s="60">
        <f t="shared" ref="AE177:AM177" si="68">AD177+$D$23</f>
        <v>36000</v>
      </c>
      <c r="AF177" s="60">
        <f t="shared" si="68"/>
        <v>39000</v>
      </c>
      <c r="AG177" s="60">
        <f t="shared" si="68"/>
        <v>42000</v>
      </c>
      <c r="AH177" s="60">
        <f t="shared" si="68"/>
        <v>45000</v>
      </c>
      <c r="AI177" s="60">
        <f t="shared" si="68"/>
        <v>48000</v>
      </c>
      <c r="AJ177" s="60">
        <f t="shared" si="68"/>
        <v>51000</v>
      </c>
      <c r="AK177" s="60">
        <f t="shared" si="68"/>
        <v>54000</v>
      </c>
      <c r="AL177" s="60">
        <f t="shared" si="68"/>
        <v>57000</v>
      </c>
      <c r="AM177" s="60">
        <f t="shared" si="68"/>
        <v>60000</v>
      </c>
      <c r="AN177" s="55"/>
      <c r="AO177" s="55"/>
      <c r="AP177" s="55"/>
      <c r="AQ177" s="55"/>
      <c r="AR177" s="55"/>
      <c r="AS177" s="55"/>
      <c r="AT177" s="55"/>
      <c r="AU177" s="55"/>
      <c r="AV177" s="55"/>
      <c r="AW177" s="54">
        <v>39000</v>
      </c>
    </row>
    <row r="178" spans="2:49" x14ac:dyDescent="0.2">
      <c r="F178" s="574"/>
      <c r="G178" s="573"/>
      <c r="H178" s="56">
        <v>2</v>
      </c>
      <c r="I178" s="55">
        <v>3.5</v>
      </c>
      <c r="J178" s="59"/>
      <c r="K178" s="58"/>
      <c r="L178" s="57">
        <v>5.5</v>
      </c>
      <c r="M178" s="56">
        <v>60000</v>
      </c>
      <c r="N178" s="56"/>
      <c r="O178" s="56"/>
      <c r="P178" s="56"/>
      <c r="Q178" s="56"/>
      <c r="R178" s="56"/>
      <c r="S178" s="61">
        <v>3000</v>
      </c>
      <c r="T178" s="60">
        <f>S178+$D$23</f>
        <v>6000</v>
      </c>
      <c r="U178" s="60">
        <f t="shared" si="67"/>
        <v>9000</v>
      </c>
      <c r="V178" s="60">
        <f t="shared" si="67"/>
        <v>12000</v>
      </c>
      <c r="W178" s="60">
        <f t="shared" si="67"/>
        <v>15000</v>
      </c>
      <c r="X178" s="60">
        <f t="shared" si="65"/>
        <v>18000</v>
      </c>
      <c r="Y178" s="60">
        <f t="shared" si="65"/>
        <v>21000</v>
      </c>
      <c r="Z178" s="60">
        <f t="shared" si="65"/>
        <v>24000</v>
      </c>
      <c r="AA178" s="60">
        <f t="shared" si="65"/>
        <v>27000</v>
      </c>
      <c r="AB178" s="60">
        <f t="shared" si="65"/>
        <v>30000</v>
      </c>
      <c r="AC178" s="60">
        <f t="shared" si="65"/>
        <v>33000</v>
      </c>
      <c r="AD178" s="60">
        <f>AC178+$D$23</f>
        <v>36000</v>
      </c>
      <c r="AE178" s="60">
        <f t="shared" ref="AE178:AM178" si="69">AD178+$D$23</f>
        <v>39000</v>
      </c>
      <c r="AF178" s="60">
        <f t="shared" si="69"/>
        <v>42000</v>
      </c>
      <c r="AG178" s="60">
        <f t="shared" si="69"/>
        <v>45000</v>
      </c>
      <c r="AH178" s="60">
        <f t="shared" si="69"/>
        <v>48000</v>
      </c>
      <c r="AI178" s="60">
        <f t="shared" si="69"/>
        <v>51000</v>
      </c>
      <c r="AJ178" s="60">
        <f t="shared" si="69"/>
        <v>54000</v>
      </c>
      <c r="AK178" s="60">
        <f t="shared" si="69"/>
        <v>57000</v>
      </c>
      <c r="AL178" s="60">
        <f t="shared" si="69"/>
        <v>60000</v>
      </c>
      <c r="AM178" s="60">
        <f t="shared" si="69"/>
        <v>63000</v>
      </c>
      <c r="AN178" s="60">
        <f t="shared" ref="AN178:AV178" si="70">AM178+$D$23</f>
        <v>66000</v>
      </c>
      <c r="AO178" s="60">
        <f t="shared" si="70"/>
        <v>69000</v>
      </c>
      <c r="AP178" s="60">
        <f t="shared" si="70"/>
        <v>72000</v>
      </c>
      <c r="AQ178" s="60">
        <f t="shared" si="70"/>
        <v>75000</v>
      </c>
      <c r="AR178" s="60">
        <f t="shared" si="70"/>
        <v>78000</v>
      </c>
      <c r="AS178" s="60">
        <f t="shared" si="70"/>
        <v>81000</v>
      </c>
      <c r="AT178" s="60">
        <f t="shared" si="70"/>
        <v>84000</v>
      </c>
      <c r="AU178" s="60">
        <f t="shared" si="70"/>
        <v>87000</v>
      </c>
      <c r="AV178" s="60">
        <f t="shared" si="70"/>
        <v>90000</v>
      </c>
      <c r="AW178" s="54">
        <v>60000</v>
      </c>
    </row>
    <row r="179" spans="2:49" x14ac:dyDescent="0.2">
      <c r="B179" s="43" t="s">
        <v>15</v>
      </c>
      <c r="F179" s="574"/>
      <c r="G179" s="573">
        <v>60</v>
      </c>
      <c r="H179" s="56">
        <v>0.2</v>
      </c>
      <c r="I179" s="55">
        <v>1</v>
      </c>
      <c r="J179" s="59">
        <v>2.4</v>
      </c>
      <c r="K179" s="58">
        <v>12000</v>
      </c>
      <c r="L179" s="57">
        <v>3</v>
      </c>
      <c r="M179" s="56">
        <v>60000</v>
      </c>
      <c r="N179" s="56">
        <v>18000</v>
      </c>
      <c r="O179" s="56">
        <f>N179+$D$23</f>
        <v>21000</v>
      </c>
      <c r="P179" s="56">
        <f>O179+$D$23</f>
        <v>24000</v>
      </c>
      <c r="Q179" s="56">
        <f>P179+$D$23</f>
        <v>27000</v>
      </c>
      <c r="R179" s="56">
        <f>Q179+$D$23</f>
        <v>30000</v>
      </c>
      <c r="S179" s="56">
        <f>R179+$D$23</f>
        <v>33000</v>
      </c>
      <c r="T179" s="56">
        <f>S179+$D$23</f>
        <v>36000</v>
      </c>
      <c r="U179" s="56">
        <f t="shared" si="67"/>
        <v>39000</v>
      </c>
      <c r="V179" s="56">
        <f t="shared" si="67"/>
        <v>42000</v>
      </c>
      <c r="W179" s="56">
        <f t="shared" si="67"/>
        <v>45000</v>
      </c>
      <c r="X179" s="56">
        <f t="shared" ref="X179:Z190" si="71">W179+$D$23</f>
        <v>48000</v>
      </c>
      <c r="Y179" s="56">
        <f t="shared" si="71"/>
        <v>51000</v>
      </c>
      <c r="Z179" s="56">
        <f t="shared" si="71"/>
        <v>54000</v>
      </c>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4">
        <v>6000</v>
      </c>
    </row>
    <row r="180" spans="2:49" x14ac:dyDescent="0.2">
      <c r="B180" s="63" t="s">
        <v>14</v>
      </c>
      <c r="F180" s="574"/>
      <c r="G180" s="573"/>
      <c r="H180" s="56">
        <v>0.4</v>
      </c>
      <c r="I180" s="55">
        <v>2</v>
      </c>
      <c r="J180" s="59">
        <v>2.2000000000000002</v>
      </c>
      <c r="K180" s="58">
        <v>22500</v>
      </c>
      <c r="L180" s="57">
        <v>4</v>
      </c>
      <c r="M180" s="56">
        <v>60000</v>
      </c>
      <c r="N180" s="56"/>
      <c r="O180" s="56"/>
      <c r="P180" s="56"/>
      <c r="Q180" s="56"/>
      <c r="R180" s="56"/>
      <c r="S180" s="56"/>
      <c r="T180" s="56">
        <v>6000</v>
      </c>
      <c r="U180" s="56">
        <f t="shared" si="67"/>
        <v>9000</v>
      </c>
      <c r="V180" s="56">
        <f t="shared" si="67"/>
        <v>12000</v>
      </c>
      <c r="W180" s="56">
        <f t="shared" si="67"/>
        <v>15000</v>
      </c>
      <c r="X180" s="56">
        <f t="shared" si="71"/>
        <v>18000</v>
      </c>
      <c r="Y180" s="56">
        <f t="shared" si="71"/>
        <v>21000</v>
      </c>
      <c r="Z180" s="56">
        <f t="shared" si="71"/>
        <v>24000</v>
      </c>
      <c r="AA180" s="56">
        <f t="shared" ref="AA180:AL180" si="72">Z180+$D$23</f>
        <v>27000</v>
      </c>
      <c r="AB180" s="56">
        <f t="shared" si="72"/>
        <v>30000</v>
      </c>
      <c r="AC180" s="56">
        <f t="shared" si="72"/>
        <v>33000</v>
      </c>
      <c r="AD180" s="56">
        <f t="shared" si="72"/>
        <v>36000</v>
      </c>
      <c r="AE180" s="56">
        <f t="shared" si="72"/>
        <v>39000</v>
      </c>
      <c r="AF180" s="56">
        <f t="shared" si="72"/>
        <v>42000</v>
      </c>
      <c r="AG180" s="56">
        <f t="shared" si="72"/>
        <v>45000</v>
      </c>
      <c r="AH180" s="56">
        <f t="shared" si="72"/>
        <v>48000</v>
      </c>
      <c r="AI180" s="56">
        <f t="shared" si="72"/>
        <v>51000</v>
      </c>
      <c r="AJ180" s="56">
        <f t="shared" si="72"/>
        <v>54000</v>
      </c>
      <c r="AK180" s="56">
        <f t="shared" si="72"/>
        <v>57000</v>
      </c>
      <c r="AL180" s="56">
        <f t="shared" si="72"/>
        <v>60000</v>
      </c>
      <c r="AM180" s="55"/>
      <c r="AN180" s="55"/>
      <c r="AO180" s="55"/>
      <c r="AP180" s="55"/>
      <c r="AQ180" s="55"/>
      <c r="AR180" s="55"/>
      <c r="AS180" s="55"/>
      <c r="AT180" s="55"/>
      <c r="AU180" s="55"/>
      <c r="AV180" s="55"/>
      <c r="AW180" s="54">
        <v>12000</v>
      </c>
    </row>
    <row r="181" spans="2:49" x14ac:dyDescent="0.2">
      <c r="F181" s="574"/>
      <c r="G181" s="573"/>
      <c r="H181" s="56">
        <v>0.75</v>
      </c>
      <c r="I181" s="55">
        <v>1.4</v>
      </c>
      <c r="J181" s="59">
        <v>3.4</v>
      </c>
      <c r="K181" s="58">
        <v>30000</v>
      </c>
      <c r="L181" s="57">
        <v>3.4</v>
      </c>
      <c r="M181" s="56">
        <v>60000</v>
      </c>
      <c r="N181" s="56">
        <v>6000</v>
      </c>
      <c r="O181" s="56">
        <f t="shared" ref="O181:T181" si="73">N181+$D$23</f>
        <v>9000</v>
      </c>
      <c r="P181" s="56">
        <f t="shared" si="73"/>
        <v>12000</v>
      </c>
      <c r="Q181" s="56">
        <f t="shared" si="73"/>
        <v>15000</v>
      </c>
      <c r="R181" s="56">
        <f t="shared" si="73"/>
        <v>18000</v>
      </c>
      <c r="S181" s="56">
        <f t="shared" si="73"/>
        <v>21000</v>
      </c>
      <c r="T181" s="56">
        <f t="shared" si="73"/>
        <v>24000</v>
      </c>
      <c r="U181" s="56">
        <f t="shared" si="67"/>
        <v>27000</v>
      </c>
      <c r="V181" s="56">
        <f t="shared" si="67"/>
        <v>30000</v>
      </c>
      <c r="W181" s="56">
        <f t="shared" si="67"/>
        <v>33000</v>
      </c>
      <c r="X181" s="56">
        <f t="shared" si="71"/>
        <v>36000</v>
      </c>
      <c r="Y181" s="56">
        <f t="shared" si="71"/>
        <v>39000</v>
      </c>
      <c r="Z181" s="56">
        <f t="shared" si="71"/>
        <v>42000</v>
      </c>
      <c r="AA181" s="56">
        <f t="shared" ref="AA181:AC184" si="74">Z181+$D$23</f>
        <v>45000</v>
      </c>
      <c r="AB181" s="56">
        <f t="shared" si="74"/>
        <v>48000</v>
      </c>
      <c r="AC181" s="56">
        <f t="shared" si="74"/>
        <v>51000</v>
      </c>
      <c r="AD181" s="55">
        <v>54000</v>
      </c>
      <c r="AE181" s="55"/>
      <c r="AF181" s="55"/>
      <c r="AG181" s="55"/>
      <c r="AH181" s="55"/>
      <c r="AI181" s="55"/>
      <c r="AJ181" s="55"/>
      <c r="AK181" s="55"/>
      <c r="AL181" s="55"/>
      <c r="AM181" s="55"/>
      <c r="AN181" s="55"/>
      <c r="AO181" s="55"/>
      <c r="AP181" s="55"/>
      <c r="AQ181" s="55"/>
      <c r="AR181" s="55"/>
      <c r="AS181" s="55"/>
      <c r="AT181" s="55"/>
      <c r="AU181" s="55"/>
      <c r="AV181" s="55"/>
      <c r="AW181" s="54">
        <v>22500</v>
      </c>
    </row>
    <row r="182" spans="2:49" ht="12.75" customHeight="1" x14ac:dyDescent="0.2">
      <c r="B182" s="42" t="s">
        <v>13</v>
      </c>
      <c r="F182" s="574"/>
      <c r="G182" s="573"/>
      <c r="H182" s="56">
        <v>1</v>
      </c>
      <c r="I182" s="55">
        <v>2.4</v>
      </c>
      <c r="J182" s="59">
        <v>3.4</v>
      </c>
      <c r="K182" s="58">
        <v>39000</v>
      </c>
      <c r="L182" s="57">
        <v>4.4000000000000004</v>
      </c>
      <c r="M182" s="56">
        <v>60000</v>
      </c>
      <c r="N182" s="56"/>
      <c r="O182" s="56"/>
      <c r="P182" s="56"/>
      <c r="Q182" s="56"/>
      <c r="R182" s="56"/>
      <c r="S182" s="56"/>
      <c r="T182" s="56"/>
      <c r="U182" s="56"/>
      <c r="V182" s="56"/>
      <c r="W182" s="61">
        <v>3000</v>
      </c>
      <c r="X182" s="60">
        <f t="shared" si="71"/>
        <v>6000</v>
      </c>
      <c r="Y182" s="60">
        <f t="shared" si="71"/>
        <v>9000</v>
      </c>
      <c r="Z182" s="60">
        <f t="shared" si="71"/>
        <v>12000</v>
      </c>
      <c r="AA182" s="60">
        <f t="shared" si="74"/>
        <v>15000</v>
      </c>
      <c r="AB182" s="60">
        <f t="shared" si="74"/>
        <v>18000</v>
      </c>
      <c r="AC182" s="60">
        <f t="shared" si="74"/>
        <v>21000</v>
      </c>
      <c r="AD182" s="60">
        <f t="shared" ref="AD182:AP182" si="75">AC182+$D$23</f>
        <v>24000</v>
      </c>
      <c r="AE182" s="60">
        <f t="shared" si="75"/>
        <v>27000</v>
      </c>
      <c r="AF182" s="60">
        <f t="shared" si="75"/>
        <v>30000</v>
      </c>
      <c r="AG182" s="60">
        <f t="shared" si="75"/>
        <v>33000</v>
      </c>
      <c r="AH182" s="60">
        <f t="shared" si="75"/>
        <v>36000</v>
      </c>
      <c r="AI182" s="60">
        <f t="shared" si="75"/>
        <v>39000</v>
      </c>
      <c r="AJ182" s="60">
        <f t="shared" si="75"/>
        <v>42000</v>
      </c>
      <c r="AK182" s="60">
        <f t="shared" si="75"/>
        <v>45000</v>
      </c>
      <c r="AL182" s="60">
        <f t="shared" si="75"/>
        <v>48000</v>
      </c>
      <c r="AM182" s="60">
        <f t="shared" si="75"/>
        <v>51000</v>
      </c>
      <c r="AN182" s="60">
        <f t="shared" si="75"/>
        <v>54000</v>
      </c>
      <c r="AO182" s="60">
        <f t="shared" si="75"/>
        <v>57000</v>
      </c>
      <c r="AP182" s="60">
        <f t="shared" si="75"/>
        <v>60000</v>
      </c>
      <c r="AQ182" s="55"/>
      <c r="AR182" s="55"/>
      <c r="AS182" s="55"/>
      <c r="AT182" s="55"/>
      <c r="AU182" s="55"/>
      <c r="AV182" s="55"/>
      <c r="AW182" s="54">
        <v>30000</v>
      </c>
    </row>
    <row r="183" spans="2:49" x14ac:dyDescent="0.2">
      <c r="B183" s="46" t="s">
        <v>12</v>
      </c>
      <c r="F183" s="574"/>
      <c r="G183" s="573"/>
      <c r="H183" s="56">
        <v>1.3</v>
      </c>
      <c r="I183" s="55">
        <v>2.1</v>
      </c>
      <c r="J183" s="59">
        <v>5.5</v>
      </c>
      <c r="K183" s="58">
        <v>60000</v>
      </c>
      <c r="L183" s="57">
        <v>4.0999999999999996</v>
      </c>
      <c r="M183" s="56">
        <v>60000</v>
      </c>
      <c r="N183" s="56"/>
      <c r="O183" s="56"/>
      <c r="P183" s="56"/>
      <c r="Q183" s="56"/>
      <c r="R183" s="56"/>
      <c r="S183" s="56"/>
      <c r="T183" s="61">
        <v>3000</v>
      </c>
      <c r="U183" s="60">
        <f t="shared" ref="U183:W187" si="76">T183+$D$23</f>
        <v>6000</v>
      </c>
      <c r="V183" s="60">
        <f t="shared" si="76"/>
        <v>9000</v>
      </c>
      <c r="W183" s="60">
        <f t="shared" si="76"/>
        <v>12000</v>
      </c>
      <c r="X183" s="60">
        <f t="shared" si="71"/>
        <v>15000</v>
      </c>
      <c r="Y183" s="60">
        <f t="shared" si="71"/>
        <v>18000</v>
      </c>
      <c r="Z183" s="60">
        <f t="shared" si="71"/>
        <v>21000</v>
      </c>
      <c r="AA183" s="60">
        <f t="shared" si="74"/>
        <v>24000</v>
      </c>
      <c r="AB183" s="60">
        <f t="shared" si="74"/>
        <v>27000</v>
      </c>
      <c r="AC183" s="60">
        <f t="shared" si="74"/>
        <v>30000</v>
      </c>
      <c r="AD183" s="60">
        <f t="shared" ref="AD183:AM183" si="77">AC183+$D$23</f>
        <v>33000</v>
      </c>
      <c r="AE183" s="60">
        <f t="shared" si="77"/>
        <v>36000</v>
      </c>
      <c r="AF183" s="60">
        <f t="shared" si="77"/>
        <v>39000</v>
      </c>
      <c r="AG183" s="60">
        <f t="shared" si="77"/>
        <v>42000</v>
      </c>
      <c r="AH183" s="60">
        <f t="shared" si="77"/>
        <v>45000</v>
      </c>
      <c r="AI183" s="60">
        <f t="shared" si="77"/>
        <v>48000</v>
      </c>
      <c r="AJ183" s="60">
        <f t="shared" si="77"/>
        <v>51000</v>
      </c>
      <c r="AK183" s="60">
        <f t="shared" si="77"/>
        <v>54000</v>
      </c>
      <c r="AL183" s="60">
        <f t="shared" si="77"/>
        <v>57000</v>
      </c>
      <c r="AM183" s="60">
        <f t="shared" si="77"/>
        <v>60000</v>
      </c>
      <c r="AN183" s="55"/>
      <c r="AO183" s="55"/>
      <c r="AP183" s="55"/>
      <c r="AQ183" s="55"/>
      <c r="AR183" s="55"/>
      <c r="AS183" s="55"/>
      <c r="AT183" s="55"/>
      <c r="AU183" s="55"/>
      <c r="AV183" s="55"/>
      <c r="AW183" s="54">
        <v>39000</v>
      </c>
    </row>
    <row r="184" spans="2:49" ht="25.5" x14ac:dyDescent="0.2">
      <c r="B184" s="62" t="s">
        <v>11</v>
      </c>
      <c r="F184" s="574"/>
      <c r="G184" s="573"/>
      <c r="H184" s="56">
        <v>2</v>
      </c>
      <c r="I184" s="55">
        <v>3.5</v>
      </c>
      <c r="J184" s="59"/>
      <c r="K184" s="58"/>
      <c r="L184" s="57">
        <v>5.5</v>
      </c>
      <c r="M184" s="56">
        <v>60000</v>
      </c>
      <c r="N184" s="56"/>
      <c r="O184" s="56"/>
      <c r="P184" s="56"/>
      <c r="Q184" s="56"/>
      <c r="R184" s="56"/>
      <c r="S184" s="61">
        <v>3000</v>
      </c>
      <c r="T184" s="60">
        <f>S184+$D$23</f>
        <v>6000</v>
      </c>
      <c r="U184" s="60">
        <f t="shared" si="76"/>
        <v>9000</v>
      </c>
      <c r="V184" s="60">
        <f t="shared" si="76"/>
        <v>12000</v>
      </c>
      <c r="W184" s="60">
        <f t="shared" si="76"/>
        <v>15000</v>
      </c>
      <c r="X184" s="60">
        <f t="shared" si="71"/>
        <v>18000</v>
      </c>
      <c r="Y184" s="60">
        <f t="shared" si="71"/>
        <v>21000</v>
      </c>
      <c r="Z184" s="60">
        <f t="shared" si="71"/>
        <v>24000</v>
      </c>
      <c r="AA184" s="60">
        <f t="shared" si="74"/>
        <v>27000</v>
      </c>
      <c r="AB184" s="60">
        <f t="shared" si="74"/>
        <v>30000</v>
      </c>
      <c r="AC184" s="60">
        <f t="shared" si="74"/>
        <v>33000</v>
      </c>
      <c r="AD184" s="60">
        <f t="shared" ref="AD184:AM184" si="78">AC184+$D$23</f>
        <v>36000</v>
      </c>
      <c r="AE184" s="60">
        <f t="shared" si="78"/>
        <v>39000</v>
      </c>
      <c r="AF184" s="60">
        <f t="shared" si="78"/>
        <v>42000</v>
      </c>
      <c r="AG184" s="60">
        <f t="shared" si="78"/>
        <v>45000</v>
      </c>
      <c r="AH184" s="60">
        <f t="shared" si="78"/>
        <v>48000</v>
      </c>
      <c r="AI184" s="60">
        <f t="shared" si="78"/>
        <v>51000</v>
      </c>
      <c r="AJ184" s="60">
        <f t="shared" si="78"/>
        <v>54000</v>
      </c>
      <c r="AK184" s="60">
        <f t="shared" si="78"/>
        <v>57000</v>
      </c>
      <c r="AL184" s="60">
        <f t="shared" si="78"/>
        <v>60000</v>
      </c>
      <c r="AM184" s="60">
        <f t="shared" si="78"/>
        <v>63000</v>
      </c>
      <c r="AN184" s="60">
        <f t="shared" ref="AN184:AV184" si="79">AM184+$D$23</f>
        <v>66000</v>
      </c>
      <c r="AO184" s="60">
        <f t="shared" si="79"/>
        <v>69000</v>
      </c>
      <c r="AP184" s="60">
        <f t="shared" si="79"/>
        <v>72000</v>
      </c>
      <c r="AQ184" s="60">
        <f t="shared" si="79"/>
        <v>75000</v>
      </c>
      <c r="AR184" s="60">
        <f t="shared" si="79"/>
        <v>78000</v>
      </c>
      <c r="AS184" s="60">
        <f t="shared" si="79"/>
        <v>81000</v>
      </c>
      <c r="AT184" s="60">
        <f t="shared" si="79"/>
        <v>84000</v>
      </c>
      <c r="AU184" s="60">
        <f t="shared" si="79"/>
        <v>87000</v>
      </c>
      <c r="AV184" s="60">
        <f t="shared" si="79"/>
        <v>90000</v>
      </c>
      <c r="AW184" s="54">
        <v>60000</v>
      </c>
    </row>
    <row r="185" spans="2:49" x14ac:dyDescent="0.2">
      <c r="B185" s="43" t="s">
        <v>10</v>
      </c>
      <c r="F185" s="574"/>
      <c r="G185" s="573">
        <v>80</v>
      </c>
      <c r="H185" s="56">
        <v>0.2</v>
      </c>
      <c r="I185" s="55">
        <v>1</v>
      </c>
      <c r="J185" s="59">
        <v>2.4</v>
      </c>
      <c r="K185" s="58">
        <v>12000</v>
      </c>
      <c r="L185" s="57">
        <v>3</v>
      </c>
      <c r="M185" s="56">
        <v>60000</v>
      </c>
      <c r="N185" s="56">
        <v>18000</v>
      </c>
      <c r="O185" s="56">
        <f>N185+$D$23</f>
        <v>21000</v>
      </c>
      <c r="P185" s="56">
        <f>O185+$D$23</f>
        <v>24000</v>
      </c>
      <c r="Q185" s="56">
        <f>P185+$D$23</f>
        <v>27000</v>
      </c>
      <c r="R185" s="56">
        <f>Q185+$D$23</f>
        <v>30000</v>
      </c>
      <c r="S185" s="56">
        <f>R185+$D$23</f>
        <v>33000</v>
      </c>
      <c r="T185" s="56">
        <f>S185+$D$23</f>
        <v>36000</v>
      </c>
      <c r="U185" s="56">
        <f t="shared" si="76"/>
        <v>39000</v>
      </c>
      <c r="V185" s="56">
        <f t="shared" si="76"/>
        <v>42000</v>
      </c>
      <c r="W185" s="56">
        <f t="shared" si="76"/>
        <v>45000</v>
      </c>
      <c r="X185" s="56">
        <f t="shared" si="71"/>
        <v>48000</v>
      </c>
      <c r="Y185" s="56">
        <f t="shared" si="71"/>
        <v>51000</v>
      </c>
      <c r="Z185" s="56">
        <f t="shared" si="71"/>
        <v>54000</v>
      </c>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4">
        <v>6000</v>
      </c>
    </row>
    <row r="186" spans="2:49" x14ac:dyDescent="0.2">
      <c r="B186" s="46" t="s">
        <v>9</v>
      </c>
      <c r="F186" s="574"/>
      <c r="G186" s="573"/>
      <c r="H186" s="56">
        <v>0.4</v>
      </c>
      <c r="I186" s="55">
        <v>2</v>
      </c>
      <c r="J186" s="59">
        <v>2.2000000000000002</v>
      </c>
      <c r="K186" s="58">
        <v>22500</v>
      </c>
      <c r="L186" s="57">
        <v>4</v>
      </c>
      <c r="M186" s="56">
        <v>60000</v>
      </c>
      <c r="N186" s="56"/>
      <c r="O186" s="56"/>
      <c r="P186" s="56"/>
      <c r="Q186" s="56"/>
      <c r="R186" s="56"/>
      <c r="S186" s="56"/>
      <c r="T186" s="56">
        <v>6000</v>
      </c>
      <c r="U186" s="56">
        <f t="shared" si="76"/>
        <v>9000</v>
      </c>
      <c r="V186" s="56">
        <f t="shared" si="76"/>
        <v>12000</v>
      </c>
      <c r="W186" s="56">
        <f t="shared" si="76"/>
        <v>15000</v>
      </c>
      <c r="X186" s="56">
        <f t="shared" si="71"/>
        <v>18000</v>
      </c>
      <c r="Y186" s="56">
        <f t="shared" si="71"/>
        <v>21000</v>
      </c>
      <c r="Z186" s="56">
        <f t="shared" si="71"/>
        <v>24000</v>
      </c>
      <c r="AA186" s="56">
        <f t="shared" ref="AA186:AK186" si="80">Z186+$D$23</f>
        <v>27000</v>
      </c>
      <c r="AB186" s="56">
        <f t="shared" si="80"/>
        <v>30000</v>
      </c>
      <c r="AC186" s="56">
        <f t="shared" si="80"/>
        <v>33000</v>
      </c>
      <c r="AD186" s="56">
        <f t="shared" si="80"/>
        <v>36000</v>
      </c>
      <c r="AE186" s="56">
        <f t="shared" si="80"/>
        <v>39000</v>
      </c>
      <c r="AF186" s="56">
        <f t="shared" si="80"/>
        <v>42000</v>
      </c>
      <c r="AG186" s="56">
        <f t="shared" si="80"/>
        <v>45000</v>
      </c>
      <c r="AH186" s="56">
        <f t="shared" si="80"/>
        <v>48000</v>
      </c>
      <c r="AI186" s="56">
        <f t="shared" si="80"/>
        <v>51000</v>
      </c>
      <c r="AJ186" s="56">
        <f t="shared" si="80"/>
        <v>54000</v>
      </c>
      <c r="AK186" s="56">
        <f t="shared" si="80"/>
        <v>57000</v>
      </c>
      <c r="AL186" s="55">
        <v>60000</v>
      </c>
      <c r="AM186" s="55"/>
      <c r="AN186" s="55"/>
      <c r="AO186" s="55"/>
      <c r="AP186" s="55"/>
      <c r="AQ186" s="55"/>
      <c r="AR186" s="55"/>
      <c r="AS186" s="55"/>
      <c r="AT186" s="55"/>
      <c r="AU186" s="55"/>
      <c r="AV186" s="55"/>
      <c r="AW186" s="54">
        <v>12000</v>
      </c>
    </row>
    <row r="187" spans="2:49" x14ac:dyDescent="0.2">
      <c r="B187" s="42" t="s">
        <v>8</v>
      </c>
      <c r="F187" s="574"/>
      <c r="G187" s="573"/>
      <c r="H187" s="56">
        <v>0.75</v>
      </c>
      <c r="I187" s="55">
        <v>1.4</v>
      </c>
      <c r="J187" s="59">
        <v>3.4</v>
      </c>
      <c r="K187" s="58">
        <v>30000</v>
      </c>
      <c r="L187" s="57">
        <v>3.4</v>
      </c>
      <c r="M187" s="56">
        <v>60000</v>
      </c>
      <c r="N187" s="56">
        <v>6000</v>
      </c>
      <c r="O187" s="56">
        <f t="shared" ref="O187:T187" si="81">N187+$D$23</f>
        <v>9000</v>
      </c>
      <c r="P187" s="56">
        <f t="shared" si="81"/>
        <v>12000</v>
      </c>
      <c r="Q187" s="56">
        <f t="shared" si="81"/>
        <v>15000</v>
      </c>
      <c r="R187" s="56">
        <f t="shared" si="81"/>
        <v>18000</v>
      </c>
      <c r="S187" s="56">
        <f t="shared" si="81"/>
        <v>21000</v>
      </c>
      <c r="T187" s="56">
        <f t="shared" si="81"/>
        <v>24000</v>
      </c>
      <c r="U187" s="56">
        <f t="shared" si="76"/>
        <v>27000</v>
      </c>
      <c r="V187" s="56">
        <f t="shared" si="76"/>
        <v>30000</v>
      </c>
      <c r="W187" s="56">
        <f t="shared" si="76"/>
        <v>33000</v>
      </c>
      <c r="X187" s="56">
        <f t="shared" si="71"/>
        <v>36000</v>
      </c>
      <c r="Y187" s="56">
        <f t="shared" si="71"/>
        <v>39000</v>
      </c>
      <c r="Z187" s="56">
        <f t="shared" si="71"/>
        <v>42000</v>
      </c>
      <c r="AA187" s="56">
        <f t="shared" ref="AA187:AC190" si="82">Z187+$D$23</f>
        <v>45000</v>
      </c>
      <c r="AB187" s="56">
        <f t="shared" si="82"/>
        <v>48000</v>
      </c>
      <c r="AC187" s="56">
        <f t="shared" si="82"/>
        <v>51000</v>
      </c>
      <c r="AD187" s="55">
        <v>54000</v>
      </c>
      <c r="AE187" s="55"/>
      <c r="AF187" s="55"/>
      <c r="AG187" s="55"/>
      <c r="AH187" s="55"/>
      <c r="AI187" s="55"/>
      <c r="AJ187" s="55"/>
      <c r="AK187" s="55"/>
      <c r="AL187" s="55"/>
      <c r="AM187" s="55"/>
      <c r="AN187" s="55"/>
      <c r="AO187" s="55"/>
      <c r="AP187" s="55"/>
      <c r="AQ187" s="55"/>
      <c r="AR187" s="55"/>
      <c r="AS187" s="55"/>
      <c r="AT187" s="55"/>
      <c r="AU187" s="55"/>
      <c r="AV187" s="55"/>
      <c r="AW187" s="54">
        <v>22500</v>
      </c>
    </row>
    <row r="188" spans="2:49" x14ac:dyDescent="0.2">
      <c r="B188" s="42" t="s">
        <v>7</v>
      </c>
      <c r="F188" s="574"/>
      <c r="G188" s="573"/>
      <c r="H188" s="56">
        <v>1</v>
      </c>
      <c r="I188" s="55">
        <v>2.4</v>
      </c>
      <c r="J188" s="59">
        <v>3.4</v>
      </c>
      <c r="K188" s="58">
        <v>39000</v>
      </c>
      <c r="L188" s="57">
        <v>4.4000000000000004</v>
      </c>
      <c r="M188" s="56">
        <v>60000</v>
      </c>
      <c r="N188" s="56"/>
      <c r="O188" s="56"/>
      <c r="P188" s="56"/>
      <c r="Q188" s="56"/>
      <c r="R188" s="56"/>
      <c r="S188" s="56"/>
      <c r="T188" s="56"/>
      <c r="U188" s="56"/>
      <c r="V188" s="56"/>
      <c r="W188" s="61">
        <v>3000</v>
      </c>
      <c r="X188" s="60">
        <f t="shared" si="71"/>
        <v>6000</v>
      </c>
      <c r="Y188" s="60">
        <f t="shared" si="71"/>
        <v>9000</v>
      </c>
      <c r="Z188" s="60">
        <f t="shared" si="71"/>
        <v>12000</v>
      </c>
      <c r="AA188" s="60">
        <f t="shared" si="82"/>
        <v>15000</v>
      </c>
      <c r="AB188" s="60">
        <f t="shared" si="82"/>
        <v>18000</v>
      </c>
      <c r="AC188" s="60">
        <f t="shared" si="82"/>
        <v>21000</v>
      </c>
      <c r="AD188" s="60">
        <f t="shared" ref="AD188:AP188" si="83">AC188+$D$23</f>
        <v>24000</v>
      </c>
      <c r="AE188" s="60">
        <f t="shared" si="83"/>
        <v>27000</v>
      </c>
      <c r="AF188" s="60">
        <f t="shared" si="83"/>
        <v>30000</v>
      </c>
      <c r="AG188" s="60">
        <f t="shared" si="83"/>
        <v>33000</v>
      </c>
      <c r="AH188" s="60">
        <f t="shared" si="83"/>
        <v>36000</v>
      </c>
      <c r="AI188" s="60">
        <f t="shared" si="83"/>
        <v>39000</v>
      </c>
      <c r="AJ188" s="60">
        <f t="shared" si="83"/>
        <v>42000</v>
      </c>
      <c r="AK188" s="60">
        <f t="shared" si="83"/>
        <v>45000</v>
      </c>
      <c r="AL188" s="60">
        <f t="shared" si="83"/>
        <v>48000</v>
      </c>
      <c r="AM188" s="60">
        <f t="shared" si="83"/>
        <v>51000</v>
      </c>
      <c r="AN188" s="60">
        <f t="shared" si="83"/>
        <v>54000</v>
      </c>
      <c r="AO188" s="60">
        <f t="shared" si="83"/>
        <v>57000</v>
      </c>
      <c r="AP188" s="60">
        <f t="shared" si="83"/>
        <v>60000</v>
      </c>
      <c r="AQ188" s="55"/>
      <c r="AR188" s="55"/>
      <c r="AS188" s="55"/>
      <c r="AT188" s="55"/>
      <c r="AU188" s="55"/>
      <c r="AV188" s="55"/>
      <c r="AW188" s="54">
        <v>30000</v>
      </c>
    </row>
    <row r="189" spans="2:49" x14ac:dyDescent="0.2">
      <c r="B189" s="126" t="s">
        <v>835</v>
      </c>
      <c r="F189" s="574"/>
      <c r="G189" s="573"/>
      <c r="H189" s="56">
        <v>1.3</v>
      </c>
      <c r="I189" s="55">
        <v>2.1</v>
      </c>
      <c r="J189" s="59">
        <v>5.5</v>
      </c>
      <c r="K189" s="58">
        <v>60000</v>
      </c>
      <c r="L189" s="57">
        <v>4.0999999999999996</v>
      </c>
      <c r="M189" s="56">
        <v>60000</v>
      </c>
      <c r="N189" s="56"/>
      <c r="O189" s="56"/>
      <c r="P189" s="56"/>
      <c r="Q189" s="56"/>
      <c r="R189" s="56"/>
      <c r="S189" s="56"/>
      <c r="T189" s="61">
        <v>3000</v>
      </c>
      <c r="U189" s="60">
        <f t="shared" ref="U189:W190" si="84">T189+$D$23</f>
        <v>6000</v>
      </c>
      <c r="V189" s="60">
        <f t="shared" si="84"/>
        <v>9000</v>
      </c>
      <c r="W189" s="60">
        <f t="shared" si="84"/>
        <v>12000</v>
      </c>
      <c r="X189" s="60">
        <f t="shared" si="71"/>
        <v>15000</v>
      </c>
      <c r="Y189" s="60">
        <f t="shared" si="71"/>
        <v>18000</v>
      </c>
      <c r="Z189" s="60">
        <f t="shared" si="71"/>
        <v>21000</v>
      </c>
      <c r="AA189" s="60">
        <f t="shared" si="82"/>
        <v>24000</v>
      </c>
      <c r="AB189" s="60">
        <f t="shared" si="82"/>
        <v>27000</v>
      </c>
      <c r="AC189" s="60">
        <f t="shared" si="82"/>
        <v>30000</v>
      </c>
      <c r="AD189" s="60">
        <f t="shared" ref="AD189:AM189" si="85">AC189+$D$23</f>
        <v>33000</v>
      </c>
      <c r="AE189" s="60">
        <f t="shared" si="85"/>
        <v>36000</v>
      </c>
      <c r="AF189" s="60">
        <f t="shared" si="85"/>
        <v>39000</v>
      </c>
      <c r="AG189" s="60">
        <f t="shared" si="85"/>
        <v>42000</v>
      </c>
      <c r="AH189" s="60">
        <f t="shared" si="85"/>
        <v>45000</v>
      </c>
      <c r="AI189" s="60">
        <f t="shared" si="85"/>
        <v>48000</v>
      </c>
      <c r="AJ189" s="60">
        <f t="shared" si="85"/>
        <v>51000</v>
      </c>
      <c r="AK189" s="60">
        <f t="shared" si="85"/>
        <v>54000</v>
      </c>
      <c r="AL189" s="60">
        <f t="shared" si="85"/>
        <v>57000</v>
      </c>
      <c r="AM189" s="60">
        <f t="shared" si="85"/>
        <v>60000</v>
      </c>
      <c r="AN189" s="55"/>
      <c r="AO189" s="55"/>
      <c r="AP189" s="55"/>
      <c r="AQ189" s="55"/>
      <c r="AR189" s="55"/>
      <c r="AS189" s="55"/>
      <c r="AT189" s="55"/>
      <c r="AU189" s="55"/>
      <c r="AV189" s="55"/>
      <c r="AW189" s="54">
        <v>39000</v>
      </c>
    </row>
    <row r="190" spans="2:49" x14ac:dyDescent="0.2">
      <c r="B190" s="43" t="s">
        <v>6</v>
      </c>
      <c r="F190" s="574"/>
      <c r="G190" s="573"/>
      <c r="H190" s="56">
        <v>2</v>
      </c>
      <c r="I190" s="55">
        <v>3.5</v>
      </c>
      <c r="J190" s="59"/>
      <c r="K190" s="58"/>
      <c r="L190" s="57">
        <v>5.5</v>
      </c>
      <c r="M190" s="56">
        <v>60000</v>
      </c>
      <c r="N190" s="56"/>
      <c r="O190" s="56"/>
      <c r="P190" s="56"/>
      <c r="Q190" s="56"/>
      <c r="R190" s="56"/>
      <c r="S190" s="61">
        <v>3000</v>
      </c>
      <c r="T190" s="60">
        <f>S190+$D$23</f>
        <v>6000</v>
      </c>
      <c r="U190" s="60">
        <f t="shared" si="84"/>
        <v>9000</v>
      </c>
      <c r="V190" s="60">
        <f t="shared" si="84"/>
        <v>12000</v>
      </c>
      <c r="W190" s="60">
        <f t="shared" si="84"/>
        <v>15000</v>
      </c>
      <c r="X190" s="60">
        <f t="shared" si="71"/>
        <v>18000</v>
      </c>
      <c r="Y190" s="60">
        <f t="shared" si="71"/>
        <v>21000</v>
      </c>
      <c r="Z190" s="60">
        <f t="shared" si="71"/>
        <v>24000</v>
      </c>
      <c r="AA190" s="60">
        <f t="shared" si="82"/>
        <v>27000</v>
      </c>
      <c r="AB190" s="60">
        <f t="shared" si="82"/>
        <v>30000</v>
      </c>
      <c r="AC190" s="60">
        <f t="shared" si="82"/>
        <v>33000</v>
      </c>
      <c r="AD190" s="60">
        <f t="shared" ref="AD190:AM190" si="86">AC190+$D$23</f>
        <v>36000</v>
      </c>
      <c r="AE190" s="60">
        <f t="shared" si="86"/>
        <v>39000</v>
      </c>
      <c r="AF190" s="60">
        <f t="shared" si="86"/>
        <v>42000</v>
      </c>
      <c r="AG190" s="60">
        <f t="shared" si="86"/>
        <v>45000</v>
      </c>
      <c r="AH190" s="60">
        <f t="shared" si="86"/>
        <v>48000</v>
      </c>
      <c r="AI190" s="60">
        <f t="shared" si="86"/>
        <v>51000</v>
      </c>
      <c r="AJ190" s="60">
        <f t="shared" si="86"/>
        <v>54000</v>
      </c>
      <c r="AK190" s="60">
        <f t="shared" si="86"/>
        <v>57000</v>
      </c>
      <c r="AL190" s="60">
        <f t="shared" si="86"/>
        <v>60000</v>
      </c>
      <c r="AM190" s="60">
        <f t="shared" si="86"/>
        <v>63000</v>
      </c>
      <c r="AN190" s="60">
        <f t="shared" ref="AN190:AV190" si="87">AM190+$D$23</f>
        <v>66000</v>
      </c>
      <c r="AO190" s="60">
        <f t="shared" si="87"/>
        <v>69000</v>
      </c>
      <c r="AP190" s="60">
        <f t="shared" si="87"/>
        <v>72000</v>
      </c>
      <c r="AQ190" s="60">
        <f t="shared" si="87"/>
        <v>75000</v>
      </c>
      <c r="AR190" s="60">
        <f t="shared" si="87"/>
        <v>78000</v>
      </c>
      <c r="AS190" s="60">
        <f t="shared" si="87"/>
        <v>81000</v>
      </c>
      <c r="AT190" s="60">
        <f t="shared" si="87"/>
        <v>84000</v>
      </c>
      <c r="AU190" s="60">
        <f t="shared" si="87"/>
        <v>87000</v>
      </c>
      <c r="AV190" s="60">
        <f t="shared" si="87"/>
        <v>90000</v>
      </c>
      <c r="AW190" s="54">
        <v>60000</v>
      </c>
    </row>
    <row r="191" spans="2:49" x14ac:dyDescent="0.2">
      <c r="F191" s="574"/>
      <c r="G191" s="573">
        <v>100</v>
      </c>
      <c r="H191" s="56">
        <v>0.9</v>
      </c>
      <c r="I191" s="55">
        <v>1.9</v>
      </c>
      <c r="J191" s="59"/>
      <c r="K191" s="58"/>
      <c r="L191" s="57"/>
      <c r="M191" s="56"/>
      <c r="N191" s="56"/>
      <c r="O191" s="56"/>
      <c r="P191" s="56"/>
      <c r="Q191" s="56"/>
      <c r="R191" s="56"/>
      <c r="S191" s="56"/>
      <c r="T191" s="56"/>
      <c r="U191" s="56"/>
      <c r="V191" s="56"/>
      <c r="W191" s="56"/>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4"/>
    </row>
    <row r="192" spans="2:49" x14ac:dyDescent="0.2">
      <c r="B192" s="46" t="s">
        <v>5</v>
      </c>
      <c r="F192" s="574"/>
      <c r="G192" s="573"/>
      <c r="H192" s="56">
        <v>1.2</v>
      </c>
      <c r="I192" s="55">
        <v>2.6</v>
      </c>
      <c r="J192" s="59"/>
      <c r="K192" s="58"/>
      <c r="L192" s="57"/>
      <c r="M192" s="56"/>
      <c r="N192" s="56"/>
      <c r="O192" s="56"/>
      <c r="P192" s="56"/>
      <c r="Q192" s="56"/>
      <c r="R192" s="56"/>
      <c r="S192" s="56"/>
      <c r="T192" s="56"/>
      <c r="U192" s="56"/>
      <c r="V192" s="56"/>
      <c r="W192" s="56"/>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4"/>
    </row>
    <row r="193" spans="2:49" x14ac:dyDescent="0.2">
      <c r="B193" s="43" t="s">
        <v>1</v>
      </c>
      <c r="F193" s="574"/>
      <c r="G193" s="573"/>
      <c r="H193" s="56">
        <v>1.8</v>
      </c>
      <c r="I193" s="55">
        <v>3.8</v>
      </c>
      <c r="J193" s="59"/>
      <c r="K193" s="58"/>
      <c r="L193" s="57"/>
      <c r="M193" s="56"/>
      <c r="N193" s="56"/>
      <c r="O193" s="56"/>
      <c r="P193" s="56"/>
      <c r="Q193" s="56"/>
      <c r="R193" s="56"/>
      <c r="S193" s="56"/>
      <c r="T193" s="56"/>
      <c r="U193" s="56"/>
      <c r="V193" s="56"/>
      <c r="W193" s="56"/>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4"/>
    </row>
    <row r="194" spans="2:49" ht="13.5" thickBot="1" x14ac:dyDescent="0.25">
      <c r="B194" s="43" t="s">
        <v>4</v>
      </c>
      <c r="F194" s="575"/>
      <c r="G194" s="576"/>
      <c r="H194" s="50">
        <v>2</v>
      </c>
      <c r="I194" s="49">
        <v>4.3</v>
      </c>
      <c r="J194" s="53"/>
      <c r="K194" s="52"/>
      <c r="L194" s="51"/>
      <c r="M194" s="50"/>
      <c r="N194" s="50"/>
      <c r="O194" s="50"/>
      <c r="P194" s="50"/>
      <c r="Q194" s="50"/>
      <c r="R194" s="50"/>
      <c r="S194" s="50"/>
      <c r="T194" s="50"/>
      <c r="U194" s="50"/>
      <c r="V194" s="50"/>
      <c r="W194" s="50"/>
      <c r="X194" s="49"/>
      <c r="Y194" s="49"/>
      <c r="Z194" s="49"/>
      <c r="AA194" s="49"/>
      <c r="AB194" s="49"/>
      <c r="AC194" s="49"/>
      <c r="AD194" s="49"/>
      <c r="AE194" s="49"/>
      <c r="AF194" s="49"/>
      <c r="AG194" s="49"/>
      <c r="AH194" s="49"/>
      <c r="AI194" s="49"/>
      <c r="AJ194" s="49"/>
      <c r="AK194" s="49"/>
      <c r="AL194" s="49"/>
      <c r="AM194" s="49"/>
      <c r="AN194" s="49"/>
      <c r="AO194" s="49"/>
      <c r="AP194" s="49"/>
      <c r="AQ194" s="49"/>
      <c r="AR194" s="49"/>
      <c r="AS194" s="49"/>
      <c r="AT194" s="49"/>
      <c r="AU194" s="49"/>
      <c r="AV194" s="49"/>
      <c r="AW194" s="48"/>
    </row>
    <row r="195" spans="2:49" x14ac:dyDescent="0.2">
      <c r="B195" s="43" t="s">
        <v>3</v>
      </c>
    </row>
    <row r="196" spans="2:49" x14ac:dyDescent="0.2">
      <c r="B196" s="46" t="s">
        <v>2</v>
      </c>
    </row>
    <row r="197" spans="2:49" x14ac:dyDescent="0.2">
      <c r="B197" s="43" t="s">
        <v>1</v>
      </c>
    </row>
    <row r="198" spans="2:49" x14ac:dyDescent="0.2">
      <c r="B198" s="43" t="s">
        <v>0</v>
      </c>
    </row>
    <row r="199" spans="2:49" x14ac:dyDescent="0.2">
      <c r="B199" s="43" t="s">
        <v>1299</v>
      </c>
    </row>
    <row r="201" spans="2:49" x14ac:dyDescent="0.2">
      <c r="B201" s="46" t="s">
        <v>1298</v>
      </c>
    </row>
    <row r="202" spans="2:49" x14ac:dyDescent="0.2">
      <c r="B202" s="42" t="s">
        <v>1297</v>
      </c>
    </row>
    <row r="203" spans="2:49" x14ac:dyDescent="0.2">
      <c r="B203" s="42" t="s">
        <v>1296</v>
      </c>
    </row>
    <row r="204" spans="2:49" x14ac:dyDescent="0.2">
      <c r="B204" s="42" t="s">
        <v>1295</v>
      </c>
    </row>
    <row r="206" spans="2:49" x14ac:dyDescent="0.2">
      <c r="B206" s="46" t="s">
        <v>1294</v>
      </c>
    </row>
    <row r="208" spans="2:49" ht="15.75" x14ac:dyDescent="0.25">
      <c r="B208" s="47" t="s">
        <v>1293</v>
      </c>
    </row>
    <row r="209" spans="2:2" x14ac:dyDescent="0.2">
      <c r="B209" s="43" t="s">
        <v>1292</v>
      </c>
    </row>
    <row r="211" spans="2:2" x14ac:dyDescent="0.2">
      <c r="B211" s="46" t="s">
        <v>1291</v>
      </c>
    </row>
    <row r="212" spans="2:2" x14ac:dyDescent="0.2">
      <c r="B212" s="43" t="s">
        <v>1290</v>
      </c>
    </row>
    <row r="213" spans="2:2" x14ac:dyDescent="0.2">
      <c r="B213" s="43" t="s">
        <v>1289</v>
      </c>
    </row>
    <row r="214" spans="2:2" x14ac:dyDescent="0.2">
      <c r="B214" s="43" t="s">
        <v>1288</v>
      </c>
    </row>
    <row r="215" spans="2:2" x14ac:dyDescent="0.2">
      <c r="B215" s="43" t="s">
        <v>1287</v>
      </c>
    </row>
    <row r="216" spans="2:2" x14ac:dyDescent="0.2">
      <c r="B216" s="43" t="s">
        <v>1286</v>
      </c>
    </row>
    <row r="217" spans="2:2" x14ac:dyDescent="0.2">
      <c r="B217" s="43" t="s">
        <v>1285</v>
      </c>
    </row>
    <row r="218" spans="2:2" x14ac:dyDescent="0.2">
      <c r="B218" s="43" t="s">
        <v>1284</v>
      </c>
    </row>
    <row r="219" spans="2:2" x14ac:dyDescent="0.2">
      <c r="B219" s="43" t="s">
        <v>1283</v>
      </c>
    </row>
    <row r="220" spans="2:2" x14ac:dyDescent="0.2">
      <c r="B220" s="43" t="s">
        <v>1282</v>
      </c>
    </row>
    <row r="221" spans="2:2" x14ac:dyDescent="0.2">
      <c r="B221" s="43" t="s">
        <v>1281</v>
      </c>
    </row>
    <row r="222" spans="2:2" x14ac:dyDescent="0.2">
      <c r="B222" s="43" t="s">
        <v>1280</v>
      </c>
    </row>
    <row r="223" spans="2:2" x14ac:dyDescent="0.2">
      <c r="B223" s="43" t="s">
        <v>1279</v>
      </c>
    </row>
    <row r="224" spans="2:2" x14ac:dyDescent="0.2">
      <c r="B224" s="43" t="s">
        <v>1278</v>
      </c>
    </row>
    <row r="225" spans="2:2" x14ac:dyDescent="0.2">
      <c r="B225" s="43" t="s">
        <v>1277</v>
      </c>
    </row>
    <row r="226" spans="2:2" x14ac:dyDescent="0.2">
      <c r="B226" s="43" t="s">
        <v>1276</v>
      </c>
    </row>
    <row r="227" spans="2:2" x14ac:dyDescent="0.2">
      <c r="B227" s="43" t="s">
        <v>1275</v>
      </c>
    </row>
    <row r="228" spans="2:2" x14ac:dyDescent="0.2">
      <c r="B228" s="43" t="s">
        <v>1274</v>
      </c>
    </row>
    <row r="229" spans="2:2" x14ac:dyDescent="0.2">
      <c r="B229" s="43" t="s">
        <v>1273</v>
      </c>
    </row>
    <row r="230" spans="2:2" x14ac:dyDescent="0.2">
      <c r="B230" s="43" t="s">
        <v>1272</v>
      </c>
    </row>
    <row r="231" spans="2:2" x14ac:dyDescent="0.2">
      <c r="B231" s="43" t="s">
        <v>1271</v>
      </c>
    </row>
    <row r="232" spans="2:2" x14ac:dyDescent="0.2">
      <c r="B232" s="43" t="s">
        <v>1270</v>
      </c>
    </row>
    <row r="233" spans="2:2" x14ac:dyDescent="0.2">
      <c r="B233" s="43" t="s">
        <v>1269</v>
      </c>
    </row>
    <row r="234" spans="2:2" x14ac:dyDescent="0.2">
      <c r="B234" s="43" t="s">
        <v>1268</v>
      </c>
    </row>
    <row r="236" spans="2:2" ht="25.5" x14ac:dyDescent="0.2">
      <c r="B236" s="45" t="s">
        <v>1267</v>
      </c>
    </row>
    <row r="237" spans="2:2" x14ac:dyDescent="0.2">
      <c r="B237" s="44" t="s">
        <v>1266</v>
      </c>
    </row>
    <row r="238" spans="2:2" x14ac:dyDescent="0.2">
      <c r="B238" s="43" t="s">
        <v>1417</v>
      </c>
    </row>
    <row r="239" spans="2:2" x14ac:dyDescent="0.2">
      <c r="B239" s="43" t="s">
        <v>1418</v>
      </c>
    </row>
    <row r="240" spans="2:2" x14ac:dyDescent="0.2">
      <c r="B240" s="44" t="s">
        <v>1265</v>
      </c>
    </row>
    <row r="241" spans="2:2" x14ac:dyDescent="0.2">
      <c r="B241" s="43" t="s">
        <v>1419</v>
      </c>
    </row>
    <row r="243" spans="2:2" x14ac:dyDescent="0.2">
      <c r="B243" s="43" t="s">
        <v>1264</v>
      </c>
    </row>
  </sheetData>
  <mergeCells count="60">
    <mergeCell ref="G53:G58"/>
    <mergeCell ref="F4:AW4"/>
    <mergeCell ref="G31:G36"/>
    <mergeCell ref="G25:G30"/>
    <mergeCell ref="G19:G24"/>
    <mergeCell ref="F7:F15"/>
    <mergeCell ref="F75:F96"/>
    <mergeCell ref="G93:G96"/>
    <mergeCell ref="G87:G92"/>
    <mergeCell ref="F51:F74"/>
    <mergeCell ref="G71:G74"/>
    <mergeCell ref="BB5:BF5"/>
    <mergeCell ref="H5:I5"/>
    <mergeCell ref="L5:AV5"/>
    <mergeCell ref="G37:G39"/>
    <mergeCell ref="G40:G45"/>
    <mergeCell ref="G81:G86"/>
    <mergeCell ref="G75:G80"/>
    <mergeCell ref="G51:G52"/>
    <mergeCell ref="G65:G70"/>
    <mergeCell ref="G59:G64"/>
    <mergeCell ref="F37:F50"/>
    <mergeCell ref="AX5:BA5"/>
    <mergeCell ref="F16:F24"/>
    <mergeCell ref="G16:G18"/>
    <mergeCell ref="J5:K5"/>
    <mergeCell ref="AW5:AW6"/>
    <mergeCell ref="F25:F36"/>
    <mergeCell ref="G10:G15"/>
    <mergeCell ref="G7:G9"/>
    <mergeCell ref="G46:G50"/>
    <mergeCell ref="G105:G107"/>
    <mergeCell ref="F135:F148"/>
    <mergeCell ref="G135:G137"/>
    <mergeCell ref="F114:F122"/>
    <mergeCell ref="F123:F134"/>
    <mergeCell ref="G123:G128"/>
    <mergeCell ref="G144:G148"/>
    <mergeCell ref="G114:G116"/>
    <mergeCell ref="G117:G122"/>
    <mergeCell ref="G151:G156"/>
    <mergeCell ref="G138:G143"/>
    <mergeCell ref="G129:G134"/>
    <mergeCell ref="F102:AW102"/>
    <mergeCell ref="H103:I103"/>
    <mergeCell ref="J103:K103"/>
    <mergeCell ref="L103:AV103"/>
    <mergeCell ref="AW103:AW104"/>
    <mergeCell ref="G108:G113"/>
    <mergeCell ref="F105:F113"/>
    <mergeCell ref="G163:G168"/>
    <mergeCell ref="G169:G172"/>
    <mergeCell ref="F149:F172"/>
    <mergeCell ref="G157:G162"/>
    <mergeCell ref="F173:F194"/>
    <mergeCell ref="G173:G178"/>
    <mergeCell ref="G179:G184"/>
    <mergeCell ref="G185:G190"/>
    <mergeCell ref="G191:G194"/>
    <mergeCell ref="G149:G150"/>
  </mergeCells>
  <phoneticPr fontId="33" type="noConversion"/>
  <pageMargins left="0.75" right="0.75" top="1" bottom="1" header="0.5" footer="0.5"/>
  <pageSetup paperSize="9"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3399"/>
  </sheetPr>
  <dimension ref="A1:T125"/>
  <sheetViews>
    <sheetView topLeftCell="A3" zoomScale="80" zoomScaleNormal="80" workbookViewId="0">
      <selection activeCell="L30" sqref="L30"/>
    </sheetView>
  </sheetViews>
  <sheetFormatPr defaultRowHeight="12" x14ac:dyDescent="0.2"/>
  <cols>
    <col min="1" max="1" width="31" style="447" customWidth="1"/>
    <col min="2" max="2" width="24.7109375" style="447" customWidth="1"/>
    <col min="3" max="3" width="22.85546875" style="447" customWidth="1"/>
    <col min="4" max="4" width="14.28515625" style="447" customWidth="1"/>
    <col min="5" max="5" width="16.85546875" style="447" customWidth="1"/>
    <col min="6" max="6" width="17.42578125" style="447" customWidth="1"/>
    <col min="7" max="7" width="7.7109375" style="447" customWidth="1"/>
    <col min="8" max="8" width="5.28515625" style="447" customWidth="1"/>
    <col min="9" max="9" width="13.42578125" style="447" customWidth="1"/>
    <col min="10" max="10" width="16.7109375" style="447" customWidth="1"/>
    <col min="11" max="11" width="22.28515625" style="447" customWidth="1"/>
    <col min="12" max="12" width="16.140625" style="447" bestFit="1" customWidth="1"/>
    <col min="13" max="13" width="19.140625" style="447" customWidth="1"/>
    <col min="14" max="14" width="14.140625" style="447" bestFit="1" customWidth="1"/>
    <col min="15" max="15" width="15.85546875" style="447" customWidth="1"/>
    <col min="16" max="16" width="16.140625" style="447" bestFit="1" customWidth="1"/>
    <col min="17" max="18" width="13.140625" style="447" bestFit="1" customWidth="1"/>
    <col min="19" max="19" width="14.140625" style="447" bestFit="1" customWidth="1"/>
    <col min="20" max="16384" width="9.140625" style="447"/>
  </cols>
  <sheetData>
    <row r="1" spans="1:13" s="460" customFormat="1" x14ac:dyDescent="0.2">
      <c r="A1" s="460" t="s">
        <v>1682</v>
      </c>
    </row>
    <row r="2" spans="1:13" s="460" customFormat="1" x14ac:dyDescent="0.2">
      <c r="A2" s="460" t="s">
        <v>1681</v>
      </c>
    </row>
    <row r="3" spans="1:13" s="460" customFormat="1" x14ac:dyDescent="0.2">
      <c r="A3" s="460" t="s">
        <v>1680</v>
      </c>
    </row>
    <row r="4" spans="1:13" s="460" customFormat="1" x14ac:dyDescent="0.2">
      <c r="A4" s="460" t="s">
        <v>1679</v>
      </c>
    </row>
    <row r="5" spans="1:13" s="460" customFormat="1" x14ac:dyDescent="0.2">
      <c r="A5" s="460" t="s">
        <v>1678</v>
      </c>
    </row>
    <row r="6" spans="1:13" s="460" customFormat="1" x14ac:dyDescent="0.2">
      <c r="A6" s="460" t="s">
        <v>1677</v>
      </c>
    </row>
    <row r="7" spans="1:13" s="460" customFormat="1" x14ac:dyDescent="0.2">
      <c r="A7" s="460" t="s">
        <v>1676</v>
      </c>
    </row>
    <row r="8" spans="1:13" s="460" customFormat="1" x14ac:dyDescent="0.2">
      <c r="A8" s="460" t="s">
        <v>1675</v>
      </c>
    </row>
    <row r="10" spans="1:13" x14ac:dyDescent="0.2">
      <c r="A10" s="496" t="s">
        <v>1674</v>
      </c>
      <c r="B10" s="495"/>
      <c r="C10" s="495"/>
      <c r="D10" s="495"/>
      <c r="E10" s="495"/>
      <c r="F10" s="495"/>
      <c r="G10" s="495"/>
      <c r="H10" s="495"/>
    </row>
    <row r="11" spans="1:13" x14ac:dyDescent="0.2">
      <c r="A11" s="496" t="s">
        <v>1673</v>
      </c>
      <c r="B11" s="495"/>
      <c r="C11" s="495"/>
      <c r="D11" s="495"/>
      <c r="E11" s="495"/>
      <c r="F11" s="495"/>
      <c r="G11" s="495"/>
      <c r="H11" s="495"/>
    </row>
    <row r="12" spans="1:13" x14ac:dyDescent="0.2">
      <c r="A12" s="496" t="s">
        <v>1672</v>
      </c>
      <c r="B12" s="495"/>
      <c r="C12" s="495"/>
      <c r="D12" s="495"/>
      <c r="E12" s="495"/>
      <c r="F12" s="495"/>
      <c r="G12" s="495"/>
      <c r="H12" s="495"/>
    </row>
    <row r="13" spans="1:13" x14ac:dyDescent="0.2">
      <c r="A13" s="496" t="s">
        <v>1671</v>
      </c>
      <c r="B13" s="495"/>
      <c r="C13" s="495"/>
      <c r="D13" s="495"/>
      <c r="E13" s="495"/>
      <c r="F13" s="495"/>
      <c r="G13" s="495"/>
      <c r="H13" s="495"/>
    </row>
    <row r="16" spans="1:13" x14ac:dyDescent="0.2">
      <c r="A16" s="447" t="s">
        <v>2367</v>
      </c>
      <c r="J16" s="450" t="s">
        <v>1670</v>
      </c>
      <c r="K16" s="450"/>
      <c r="L16" s="450"/>
      <c r="M16" s="450"/>
    </row>
    <row r="17" spans="1:20" x14ac:dyDescent="0.2">
      <c r="J17" s="447" t="str">
        <f>FluidString($J$21:$J$48,K$21:K$48)</f>
        <v>AMMONIA;99,63;C6+44164;0,2;neopentane;0,02;2,2-dimethylbutane ;0,035;2-methylpentane    ;0,015;3-methylpentane    ;0,055;cyclopentane       ;0,045</v>
      </c>
    </row>
    <row r="18" spans="1:20" ht="12.75" thickBot="1" x14ac:dyDescent="0.25">
      <c r="B18" s="460" t="s">
        <v>1584</v>
      </c>
      <c r="C18" s="460"/>
    </row>
    <row r="19" spans="1:20" x14ac:dyDescent="0.2">
      <c r="B19" s="475" t="s">
        <v>1615</v>
      </c>
      <c r="C19" s="474" t="s">
        <v>1204</v>
      </c>
      <c r="J19" s="460" t="s">
        <v>703</v>
      </c>
      <c r="K19" s="460" t="s">
        <v>1669</v>
      </c>
      <c r="L19" s="494" t="s">
        <v>1668</v>
      </c>
    </row>
    <row r="20" spans="1:20" ht="12.75" thickBot="1" x14ac:dyDescent="0.25">
      <c r="B20" s="473" t="str">
        <f>GetUnits("T")</f>
        <v>F</v>
      </c>
      <c r="C20" s="472" t="str">
        <f>GetUnits("P")</f>
        <v>psia</v>
      </c>
      <c r="J20" s="460" t="s">
        <v>1522</v>
      </c>
      <c r="K20" s="460" t="s">
        <v>1667</v>
      </c>
      <c r="L20" s="494" t="s">
        <v>1666</v>
      </c>
    </row>
    <row r="21" spans="1:20" ht="12.75" thickBot="1" x14ac:dyDescent="0.25">
      <c r="B21" s="493">
        <f>(SELECTION!R16*9/5)+32</f>
        <v>93.2</v>
      </c>
      <c r="C21" s="492">
        <f>SELECTION!R14*14.405</f>
        <v>288.09999999999997</v>
      </c>
      <c r="J21" s="488" t="str">
        <f>SELECTION!E10</f>
        <v>AMMONIA</v>
      </c>
      <c r="K21" s="487">
        <f>100-SUM(K22:K48)</f>
        <v>99.63</v>
      </c>
      <c r="L21" s="488">
        <f t="shared" ref="L21:L41" si="0">Comp($J$17,$J21)</f>
        <v>0</v>
      </c>
      <c r="O21" s="447" t="s">
        <v>1665</v>
      </c>
    </row>
    <row r="22" spans="1:20" x14ac:dyDescent="0.2">
      <c r="J22" s="480" t="s">
        <v>1664</v>
      </c>
      <c r="K22" s="481">
        <v>0</v>
      </c>
      <c r="L22" s="480">
        <f t="shared" si="0"/>
        <v>0</v>
      </c>
      <c r="O22" s="447" t="s">
        <v>1663</v>
      </c>
    </row>
    <row r="23" spans="1:20" ht="12.75" thickBot="1" x14ac:dyDescent="0.25">
      <c r="B23" s="460" t="s">
        <v>1662</v>
      </c>
      <c r="C23" s="460"/>
      <c r="D23" s="460"/>
      <c r="E23" s="460"/>
      <c r="I23" s="477"/>
      <c r="J23" s="480" t="s">
        <v>883</v>
      </c>
      <c r="K23" s="481">
        <v>0</v>
      </c>
      <c r="L23" s="480">
        <f t="shared" si="0"/>
        <v>0</v>
      </c>
      <c r="O23" s="447" t="s">
        <v>1661</v>
      </c>
    </row>
    <row r="24" spans="1:20" ht="13.5" thickBot="1" x14ac:dyDescent="0.25">
      <c r="B24" s="460" t="s">
        <v>1613</v>
      </c>
      <c r="C24" s="460" t="s">
        <v>1612</v>
      </c>
      <c r="D24" s="460" t="s">
        <v>1660</v>
      </c>
      <c r="E24" s="460"/>
      <c r="F24"/>
      <c r="G24"/>
      <c r="I24" s="477"/>
      <c r="J24" s="480" t="s">
        <v>1659</v>
      </c>
      <c r="K24" s="481">
        <v>0</v>
      </c>
      <c r="L24" s="480">
        <f t="shared" si="0"/>
        <v>0</v>
      </c>
      <c r="O24" s="491" t="s">
        <v>1522</v>
      </c>
      <c r="P24" s="490" t="s">
        <v>1646</v>
      </c>
      <c r="Q24" s="490" t="s">
        <v>1643</v>
      </c>
      <c r="R24" s="490" t="s">
        <v>1641</v>
      </c>
      <c r="S24" s="490" t="s">
        <v>1639</v>
      </c>
      <c r="T24" s="489" t="s">
        <v>1637</v>
      </c>
    </row>
    <row r="25" spans="1:20" ht="12.75" x14ac:dyDescent="0.2">
      <c r="A25" s="457" t="s">
        <v>1199</v>
      </c>
      <c r="B25" s="459">
        <f>DDetail($J$17,$B$21,$C$21)</f>
        <v>0.81811199999999995</v>
      </c>
      <c r="C25" s="487">
        <f>DGERG($J$17,$B$21,$C$21)</f>
        <v>0.81803400000000004</v>
      </c>
      <c r="D25" s="458">
        <f>DGross($J$17,$B$21,$C$21)</f>
        <v>0.81829099999999999</v>
      </c>
      <c r="E25" s="450" t="str">
        <f>GetUnits("D")</f>
        <v>lbm/ft^3</v>
      </c>
      <c r="F25"/>
      <c r="G25"/>
      <c r="I25" s="477"/>
      <c r="J25" s="480" t="s">
        <v>1658</v>
      </c>
      <c r="K25" s="481">
        <v>0</v>
      </c>
      <c r="L25" s="480">
        <f t="shared" si="0"/>
        <v>0</v>
      </c>
      <c r="O25" s="488" t="s">
        <v>1657</v>
      </c>
      <c r="P25" s="487">
        <v>0.6</v>
      </c>
      <c r="Q25" s="487">
        <v>0.3</v>
      </c>
      <c r="R25" s="487">
        <v>0.1</v>
      </c>
      <c r="S25" s="487"/>
      <c r="T25" s="458"/>
    </row>
    <row r="26" spans="1:20" ht="12.75" x14ac:dyDescent="0.2">
      <c r="A26" s="457" t="s">
        <v>1577</v>
      </c>
      <c r="B26" s="455">
        <f>ZDetail($J$17,$B$21,$C$21)</f>
        <v>0.96862300000000001</v>
      </c>
      <c r="C26" s="447">
        <f>ZGERG($J$17,$B$21,$C$21)</f>
        <v>0.96868799999999999</v>
      </c>
      <c r="D26" s="454">
        <f>ZGross($J$17,$B$21,$C$21)</f>
        <v>0.96841100000000002</v>
      </c>
      <c r="E26" s="450"/>
      <c r="F26"/>
      <c r="G26"/>
      <c r="I26" s="477"/>
      <c r="J26" s="480" t="s">
        <v>1656</v>
      </c>
      <c r="K26" s="481">
        <v>0</v>
      </c>
      <c r="L26" s="480">
        <f t="shared" si="0"/>
        <v>0</v>
      </c>
      <c r="O26" s="480" t="s">
        <v>1655</v>
      </c>
      <c r="P26" s="447">
        <v>0.6</v>
      </c>
      <c r="Q26" s="447">
        <v>0.3</v>
      </c>
      <c r="R26" s="447">
        <v>0.1</v>
      </c>
      <c r="T26" s="454"/>
    </row>
    <row r="27" spans="1:20" ht="12.75" x14ac:dyDescent="0.2">
      <c r="A27" s="457" t="s">
        <v>1654</v>
      </c>
      <c r="B27" s="455">
        <f>PDetail($J$17,$B$21,B25)</f>
        <v>288.10000000000002</v>
      </c>
      <c r="C27" s="447">
        <f>PGERG($J$17,$B$21,C25)</f>
        <v>288.10000000000002</v>
      </c>
      <c r="D27" s="454">
        <f>PGross($J$17,$B$21,D25)</f>
        <v>288.10000000000002</v>
      </c>
      <c r="E27" s="450" t="str">
        <f>GetUnits("P")</f>
        <v>psia</v>
      </c>
      <c r="F27"/>
      <c r="G27"/>
      <c r="I27" s="477"/>
      <c r="J27" s="480" t="s">
        <v>1653</v>
      </c>
      <c r="K27" s="481">
        <v>0</v>
      </c>
      <c r="L27" s="480">
        <f t="shared" si="0"/>
        <v>0</v>
      </c>
      <c r="O27" s="480" t="s">
        <v>1652</v>
      </c>
      <c r="P27" s="447">
        <v>0.6</v>
      </c>
      <c r="Q27" s="447">
        <v>0.4</v>
      </c>
      <c r="T27" s="454"/>
    </row>
    <row r="28" spans="1:20" ht="12.75" x14ac:dyDescent="0.2">
      <c r="A28" s="457" t="s">
        <v>1595</v>
      </c>
      <c r="B28" s="455">
        <f>WDetail($J$17,$B$21,$C$21)</f>
        <v>1459.41</v>
      </c>
      <c r="C28" s="447">
        <f>WGERG($J$17,$B$21,$C$21)</f>
        <v>1459.57</v>
      </c>
      <c r="D28" s="454"/>
      <c r="E28" s="450" t="str">
        <f>GetUnits("W")</f>
        <v>ft/s</v>
      </c>
      <c r="F28"/>
      <c r="G28"/>
      <c r="I28" s="477"/>
      <c r="J28" s="480" t="s">
        <v>1651</v>
      </c>
      <c r="K28" s="481">
        <v>0</v>
      </c>
      <c r="L28" s="480">
        <f t="shared" si="0"/>
        <v>0</v>
      </c>
      <c r="O28" s="480" t="s">
        <v>1650</v>
      </c>
      <c r="P28" s="447">
        <v>0.5</v>
      </c>
      <c r="Q28" s="447">
        <v>0.5</v>
      </c>
      <c r="T28" s="454"/>
    </row>
    <row r="29" spans="1:20" x14ac:dyDescent="0.2">
      <c r="A29" s="457" t="s">
        <v>1649</v>
      </c>
      <c r="B29" s="455">
        <f>MmDetail($J$17)</f>
        <v>16.319700000000001</v>
      </c>
      <c r="C29" s="447">
        <f>MmGERG($J$17)</f>
        <v>16.319199999999999</v>
      </c>
      <c r="D29" s="454">
        <f>MmGross($J$17)</f>
        <v>16.319700000000001</v>
      </c>
      <c r="E29" s="450" t="s">
        <v>1575</v>
      </c>
      <c r="I29" s="477"/>
      <c r="J29" s="480" t="s">
        <v>1648</v>
      </c>
      <c r="K29" s="481">
        <v>0</v>
      </c>
      <c r="L29" s="480">
        <f t="shared" si="0"/>
        <v>6.5000000000000002E-2</v>
      </c>
      <c r="O29" s="480" t="s">
        <v>1625</v>
      </c>
      <c r="P29" s="447">
        <v>0.4</v>
      </c>
      <c r="Q29" s="447">
        <v>0.4</v>
      </c>
      <c r="R29" s="447">
        <v>0.1</v>
      </c>
      <c r="S29" s="447">
        <v>0.06</v>
      </c>
      <c r="T29" s="454">
        <v>0.04</v>
      </c>
    </row>
    <row r="30" spans="1:20" ht="12.75" thickBot="1" x14ac:dyDescent="0.25">
      <c r="A30" s="457" t="s">
        <v>1647</v>
      </c>
      <c r="B30" s="455"/>
      <c r="D30" s="454">
        <f>PropGross("RD",$J$17,0,0)</f>
        <v>0.56440400000000002</v>
      </c>
      <c r="E30" s="450"/>
      <c r="I30" s="477"/>
      <c r="J30" s="480" t="s">
        <v>1646</v>
      </c>
      <c r="K30" s="481">
        <v>0</v>
      </c>
      <c r="L30" s="480">
        <f t="shared" si="0"/>
        <v>0.18500000000000003</v>
      </c>
      <c r="O30" s="478" t="s">
        <v>1645</v>
      </c>
      <c r="P30" s="486">
        <v>0.5</v>
      </c>
      <c r="Q30" s="486">
        <v>0.2</v>
      </c>
      <c r="R30" s="486">
        <v>0.2</v>
      </c>
      <c r="S30" s="486">
        <v>0.1</v>
      </c>
      <c r="T30" s="451"/>
    </row>
    <row r="31" spans="1:20" ht="12.75" thickBot="1" x14ac:dyDescent="0.25">
      <c r="A31" s="457" t="s">
        <v>1644</v>
      </c>
      <c r="B31" s="452"/>
      <c r="C31" s="486"/>
      <c r="D31" s="451">
        <f>PropGross("HV",$J$17,0,0)</f>
        <v>1029.25</v>
      </c>
      <c r="E31" s="450" t="str">
        <f>GetUnits("HV")</f>
        <v>BTU/ft^3</v>
      </c>
      <c r="I31" s="477"/>
      <c r="J31" s="480" t="s">
        <v>1643</v>
      </c>
      <c r="K31" s="481">
        <v>0</v>
      </c>
      <c r="L31" s="480">
        <f t="shared" si="0"/>
        <v>8.0000000000000029E-2</v>
      </c>
    </row>
    <row r="32" spans="1:20" ht="12.75" thickBot="1" x14ac:dyDescent="0.25">
      <c r="B32" s="483"/>
      <c r="C32" s="460"/>
      <c r="D32" s="483" t="s">
        <v>1642</v>
      </c>
      <c r="E32" s="460"/>
      <c r="I32" s="477"/>
      <c r="J32" s="480" t="s">
        <v>1641</v>
      </c>
      <c r="K32" s="481">
        <v>0</v>
      </c>
      <c r="L32" s="480">
        <f t="shared" si="0"/>
        <v>2.0000000000000007E-2</v>
      </c>
    </row>
    <row r="33" spans="1:15" x14ac:dyDescent="0.2">
      <c r="B33" s="460"/>
      <c r="C33" s="483" t="s">
        <v>1640</v>
      </c>
      <c r="D33" s="485">
        <f>(B25-C25)/C25</f>
        <v>9.5350560001065322E-5</v>
      </c>
      <c r="E33" s="460"/>
      <c r="I33" s="477"/>
      <c r="J33" s="480" t="s">
        <v>1639</v>
      </c>
      <c r="K33" s="481">
        <v>0</v>
      </c>
      <c r="L33" s="480">
        <f t="shared" si="0"/>
        <v>1.2000000000000002E-2</v>
      </c>
    </row>
    <row r="34" spans="1:15" x14ac:dyDescent="0.2">
      <c r="B34" s="460"/>
      <c r="C34" s="483" t="s">
        <v>1638</v>
      </c>
      <c r="D34" s="484">
        <f>(D25-C25)/C25</f>
        <v>3.1416787077303838E-4</v>
      </c>
      <c r="E34" s="460"/>
      <c r="I34" s="477"/>
      <c r="J34" s="480" t="s">
        <v>1637</v>
      </c>
      <c r="K34" s="481">
        <v>0</v>
      </c>
      <c r="L34" s="480">
        <f t="shared" si="0"/>
        <v>8.0000000000000002E-3</v>
      </c>
    </row>
    <row r="35" spans="1:15" ht="12.75" thickBot="1" x14ac:dyDescent="0.25">
      <c r="B35" s="460"/>
      <c r="C35" s="483" t="s">
        <v>1636</v>
      </c>
      <c r="D35" s="482">
        <f>(D25-B25)/B25</f>
        <v>2.1879644840809112E-4</v>
      </c>
      <c r="E35" s="460"/>
      <c r="J35" s="480" t="s">
        <v>1635</v>
      </c>
      <c r="K35" s="481">
        <v>0</v>
      </c>
      <c r="L35" s="480">
        <f t="shared" si="0"/>
        <v>0</v>
      </c>
    </row>
    <row r="36" spans="1:15" ht="12.75" x14ac:dyDescent="0.2">
      <c r="B36" s="460"/>
      <c r="C36" s="460"/>
      <c r="D36" s="460"/>
      <c r="E36" s="460"/>
      <c r="J36" s="480" t="s">
        <v>1634</v>
      </c>
      <c r="K36" s="481">
        <v>0</v>
      </c>
      <c r="L36" s="480">
        <f t="shared" si="0"/>
        <v>0</v>
      </c>
      <c r="O36"/>
    </row>
    <row r="37" spans="1:15" ht="12.75" x14ac:dyDescent="0.2">
      <c r="A37" s="476" t="s">
        <v>1633</v>
      </c>
      <c r="J37" s="480" t="s">
        <v>1632</v>
      </c>
      <c r="K37" s="481">
        <v>0</v>
      </c>
      <c r="L37" s="480">
        <f t="shared" si="0"/>
        <v>0</v>
      </c>
      <c r="N37"/>
      <c r="O37"/>
    </row>
    <row r="38" spans="1:15" ht="12.75" x14ac:dyDescent="0.2">
      <c r="A38" s="476" t="s">
        <v>1631</v>
      </c>
      <c r="J38" s="480" t="s">
        <v>1630</v>
      </c>
      <c r="K38" s="481">
        <v>0</v>
      </c>
      <c r="L38" s="480">
        <f t="shared" si="0"/>
        <v>0</v>
      </c>
      <c r="N38"/>
      <c r="O38"/>
    </row>
    <row r="39" spans="1:15" ht="12.75" x14ac:dyDescent="0.2">
      <c r="A39" s="476" t="s">
        <v>1629</v>
      </c>
      <c r="J39" s="480" t="s">
        <v>951</v>
      </c>
      <c r="K39" s="481">
        <v>0</v>
      </c>
      <c r="L39" s="480">
        <f t="shared" si="0"/>
        <v>0</v>
      </c>
      <c r="N39"/>
      <c r="O39"/>
    </row>
    <row r="40" spans="1:15" x14ac:dyDescent="0.2">
      <c r="J40" s="480" t="s">
        <v>1628</v>
      </c>
      <c r="K40" s="481">
        <v>0</v>
      </c>
      <c r="L40" s="480">
        <f t="shared" si="0"/>
        <v>0</v>
      </c>
    </row>
    <row r="41" spans="1:15" x14ac:dyDescent="0.2">
      <c r="J41" s="480" t="s">
        <v>1627</v>
      </c>
      <c r="K41" s="481">
        <v>0</v>
      </c>
      <c r="L41" s="480">
        <f t="shared" si="0"/>
        <v>0</v>
      </c>
    </row>
    <row r="42" spans="1:15" x14ac:dyDescent="0.2">
      <c r="J42" s="480"/>
      <c r="K42" s="481"/>
      <c r="L42" s="480"/>
    </row>
    <row r="43" spans="1:15" x14ac:dyDescent="0.2">
      <c r="I43" s="466" t="s">
        <v>1626</v>
      </c>
      <c r="J43" s="480" t="s">
        <v>1625</v>
      </c>
      <c r="K43" s="481">
        <v>0.2</v>
      </c>
      <c r="L43" s="480">
        <f t="shared" ref="L43:L48" si="1">Comp($J$17,$J43)</f>
        <v>0</v>
      </c>
    </row>
    <row r="44" spans="1:15" ht="12.75" x14ac:dyDescent="0.2">
      <c r="I44" s="466" t="s">
        <v>1624</v>
      </c>
      <c r="J44" s="480" t="s">
        <v>1623</v>
      </c>
      <c r="K44" s="481">
        <v>0.02</v>
      </c>
      <c r="L44" s="480">
        <f t="shared" si="1"/>
        <v>0</v>
      </c>
      <c r="N44"/>
    </row>
    <row r="45" spans="1:15" x14ac:dyDescent="0.2">
      <c r="J45" s="480" t="s">
        <v>1622</v>
      </c>
      <c r="K45" s="481">
        <v>3.5000000000000003E-2</v>
      </c>
      <c r="L45" s="480">
        <f t="shared" si="1"/>
        <v>0</v>
      </c>
    </row>
    <row r="46" spans="1:15" x14ac:dyDescent="0.2">
      <c r="J46" s="480" t="s">
        <v>1621</v>
      </c>
      <c r="K46" s="481">
        <v>1.4999999999999999E-2</v>
      </c>
      <c r="L46" s="480">
        <f t="shared" si="1"/>
        <v>0</v>
      </c>
    </row>
    <row r="47" spans="1:15" x14ac:dyDescent="0.2">
      <c r="J47" s="480" t="s">
        <v>1620</v>
      </c>
      <c r="K47" s="481">
        <v>5.5E-2</v>
      </c>
      <c r="L47" s="480">
        <f t="shared" si="1"/>
        <v>0</v>
      </c>
    </row>
    <row r="48" spans="1:15" ht="12.75" thickBot="1" x14ac:dyDescent="0.25">
      <c r="J48" s="478" t="s">
        <v>1619</v>
      </c>
      <c r="K48" s="479">
        <v>4.4999999999999998E-2</v>
      </c>
      <c r="L48" s="478">
        <f t="shared" si="1"/>
        <v>0</v>
      </c>
      <c r="M48" s="477" t="s">
        <v>1618</v>
      </c>
      <c r="N48" s="477">
        <f>SUM(L21:L48)</f>
        <v>0.37000000000000005</v>
      </c>
    </row>
    <row r="49" spans="1:12" ht="12.75" x14ac:dyDescent="0.2">
      <c r="I49" s="444"/>
      <c r="J49" s="476" t="s">
        <v>1617</v>
      </c>
    </row>
    <row r="50" spans="1:12" ht="12.75" x14ac:dyDescent="0.2">
      <c r="I50" s="444"/>
      <c r="J50" s="476" t="s">
        <v>1616</v>
      </c>
    </row>
    <row r="51" spans="1:12" ht="12.75" x14ac:dyDescent="0.2">
      <c r="I51" s="444"/>
      <c r="J51" s="476"/>
    </row>
    <row r="52" spans="1:12" ht="12.75" x14ac:dyDescent="0.2">
      <c r="I52" s="444"/>
    </row>
    <row r="53" spans="1:12" ht="13.5" thickBot="1" x14ac:dyDescent="0.25">
      <c r="B53" s="460" t="s">
        <v>1584</v>
      </c>
      <c r="C53" s="460"/>
      <c r="E53" s="460" t="s">
        <v>1584</v>
      </c>
      <c r="F53" s="460"/>
      <c r="I53" s="444"/>
    </row>
    <row r="54" spans="1:12" ht="12.75" x14ac:dyDescent="0.2">
      <c r="B54" s="475" t="s">
        <v>1615</v>
      </c>
      <c r="C54" s="474" t="s">
        <v>1204</v>
      </c>
      <c r="E54" s="475" t="s">
        <v>1615</v>
      </c>
      <c r="F54" s="474" t="s">
        <v>1204</v>
      </c>
      <c r="I54" s="444"/>
    </row>
    <row r="55" spans="1:12" ht="12.75" thickBot="1" x14ac:dyDescent="0.25">
      <c r="B55" s="473" t="str">
        <f>GetUnits("T")</f>
        <v>F</v>
      </c>
      <c r="C55" s="472" t="str">
        <f>GetUnits("P")</f>
        <v>psia</v>
      </c>
      <c r="E55" s="473" t="str">
        <f>GetUnits("T")</f>
        <v>F</v>
      </c>
      <c r="F55" s="472" t="str">
        <f>GetUnits("P")</f>
        <v>psia</v>
      </c>
    </row>
    <row r="56" spans="1:12" ht="12.75" thickBot="1" x14ac:dyDescent="0.25">
      <c r="B56" s="471">
        <f>B21</f>
        <v>93.2</v>
      </c>
      <c r="C56" s="470">
        <f>C21</f>
        <v>288.09999999999997</v>
      </c>
      <c r="E56" s="447">
        <f>B21</f>
        <v>93.2</v>
      </c>
      <c r="F56" s="447">
        <f>C21</f>
        <v>288.09999999999997</v>
      </c>
    </row>
    <row r="59" spans="1:12" x14ac:dyDescent="0.2">
      <c r="B59" s="460" t="s">
        <v>1614</v>
      </c>
      <c r="C59" s="460"/>
      <c r="E59" s="460" t="s">
        <v>1614</v>
      </c>
      <c r="F59" s="460"/>
      <c r="I59" s="466"/>
      <c r="J59" s="466"/>
    </row>
    <row r="60" spans="1:12" ht="12.75" thickBot="1" x14ac:dyDescent="0.25">
      <c r="B60" s="460" t="s">
        <v>1613</v>
      </c>
      <c r="C60" s="460" t="s">
        <v>1612</v>
      </c>
      <c r="E60" s="460" t="s">
        <v>1613</v>
      </c>
      <c r="F60" s="460" t="s">
        <v>1612</v>
      </c>
      <c r="I60" s="466"/>
      <c r="J60" s="466"/>
      <c r="K60" s="466"/>
      <c r="L60" s="466"/>
    </row>
    <row r="61" spans="1:12" ht="12.75" x14ac:dyDescent="0.2">
      <c r="A61" s="457" t="s">
        <v>1576</v>
      </c>
      <c r="B61" s="459">
        <f t="shared" ref="B61:B75" si="2">PropDetail($D61,$J$17,$B$56,$C$56)</f>
        <v>16.319700000000001</v>
      </c>
      <c r="C61" s="458">
        <f t="shared" ref="C61:C75" si="3">PropGERG($D61,$J$17,$B$56,$C$56)</f>
        <v>16.319199999999999</v>
      </c>
      <c r="D61" s="469" t="s">
        <v>1611</v>
      </c>
      <c r="E61" s="459">
        <f t="shared" ref="E61:E75" si="4">PropDetail($D61,$J$17,$E$56,$F$56)</f>
        <v>16.319700000000001</v>
      </c>
      <c r="F61" s="458">
        <f t="shared" ref="F61:F75" si="5">PropGERG($D61,$J$17,$E$56,$F$56)</f>
        <v>16.319199999999999</v>
      </c>
      <c r="G61" s="468" t="str">
        <f t="shared" ref="G61:G75" si="6">GetUnits($D61)</f>
        <v>lbm/lbmol</v>
      </c>
      <c r="H61" s="468"/>
      <c r="I61" s="466"/>
      <c r="J61" s="466"/>
      <c r="K61" s="466"/>
      <c r="L61" s="466"/>
    </row>
    <row r="62" spans="1:12" ht="12.75" x14ac:dyDescent="0.2">
      <c r="A62" s="457" t="s">
        <v>1199</v>
      </c>
      <c r="B62" s="455">
        <f t="shared" si="2"/>
        <v>0.81811199999999995</v>
      </c>
      <c r="C62" s="454">
        <f t="shared" si="3"/>
        <v>0.81803400000000004</v>
      </c>
      <c r="D62" s="469" t="s">
        <v>1610</v>
      </c>
      <c r="E62" s="455">
        <f t="shared" si="4"/>
        <v>0.81811199999999995</v>
      </c>
      <c r="F62" s="454">
        <f t="shared" si="5"/>
        <v>0.81803400000000004</v>
      </c>
      <c r="G62" s="468" t="str">
        <f t="shared" si="6"/>
        <v>lbm/ft^3</v>
      </c>
      <c r="H62" s="468"/>
      <c r="I62" s="466"/>
      <c r="J62" s="466"/>
      <c r="K62" s="466"/>
      <c r="L62" s="466"/>
    </row>
    <row r="63" spans="1:12" ht="12.75" x14ac:dyDescent="0.2">
      <c r="A63" s="457" t="s">
        <v>1609</v>
      </c>
      <c r="B63" s="455">
        <f t="shared" si="2"/>
        <v>0.96862300000000001</v>
      </c>
      <c r="C63" s="454">
        <f t="shared" si="3"/>
        <v>0.96868799999999999</v>
      </c>
      <c r="D63" s="469" t="s">
        <v>1577</v>
      </c>
      <c r="E63" s="455">
        <f t="shared" si="4"/>
        <v>0.96862300000000001</v>
      </c>
      <c r="F63" s="454">
        <f t="shared" si="5"/>
        <v>0.96868799999999999</v>
      </c>
      <c r="G63" s="468" t="str">
        <f t="shared" si="6"/>
        <v>-</v>
      </c>
      <c r="H63" s="468"/>
      <c r="I63" s="466"/>
      <c r="J63" s="466"/>
      <c r="K63" s="466"/>
      <c r="L63" s="466"/>
    </row>
    <row r="64" spans="1:12" ht="12.75" x14ac:dyDescent="0.2">
      <c r="A64" s="457" t="s">
        <v>1608</v>
      </c>
      <c r="B64" s="455">
        <f t="shared" si="2"/>
        <v>341.32100000000003</v>
      </c>
      <c r="C64" s="454">
        <f t="shared" si="3"/>
        <v>341.36500000000001</v>
      </c>
      <c r="D64" s="469" t="s">
        <v>1607</v>
      </c>
      <c r="E64" s="455">
        <f t="shared" si="4"/>
        <v>341.32100000000003</v>
      </c>
      <c r="F64" s="454">
        <f t="shared" si="5"/>
        <v>341.36500000000001</v>
      </c>
      <c r="G64" s="468" t="str">
        <f t="shared" si="6"/>
        <v>psia/(lbm/ft^3)</v>
      </c>
      <c r="H64" s="468"/>
      <c r="I64" s="466"/>
      <c r="J64" s="466"/>
      <c r="K64" s="466"/>
      <c r="L64" s="466"/>
    </row>
    <row r="65" spans="1:12" ht="12.75" x14ac:dyDescent="0.2">
      <c r="A65" s="457" t="s">
        <v>1606</v>
      </c>
      <c r="B65" s="455">
        <f t="shared" si="2"/>
        <v>-25.066400000000002</v>
      </c>
      <c r="C65" s="454">
        <f t="shared" si="3"/>
        <v>-25.078299999999999</v>
      </c>
      <c r="D65" s="469" t="s">
        <v>1605</v>
      </c>
      <c r="E65" s="455">
        <f t="shared" si="4"/>
        <v>-25.066400000000002</v>
      </c>
      <c r="F65" s="454">
        <f t="shared" si="5"/>
        <v>-25.078299999999999</v>
      </c>
      <c r="G65" s="468" t="str">
        <f t="shared" si="6"/>
        <v>psia/(lbm/ft^3)^2</v>
      </c>
      <c r="H65" s="468"/>
      <c r="I65" s="466"/>
      <c r="J65" s="466"/>
      <c r="K65" s="466"/>
      <c r="L65" s="466"/>
    </row>
    <row r="66" spans="1:12" ht="12.75" x14ac:dyDescent="0.2">
      <c r="A66" s="457" t="s">
        <v>1604</v>
      </c>
      <c r="B66" s="455">
        <f t="shared" si="2"/>
        <v>0.56851300000000005</v>
      </c>
      <c r="C66" s="454">
        <f t="shared" si="3"/>
        <v>0.56831100000000001</v>
      </c>
      <c r="D66" s="469" t="s">
        <v>1603</v>
      </c>
      <c r="E66" s="455">
        <f t="shared" si="4"/>
        <v>0.56851300000000005</v>
      </c>
      <c r="F66" s="454">
        <f t="shared" si="5"/>
        <v>0.56831100000000001</v>
      </c>
      <c r="G66" s="468" t="str">
        <f t="shared" si="6"/>
        <v>psia/F</v>
      </c>
      <c r="H66" s="468"/>
      <c r="I66" s="466"/>
      <c r="J66" s="466"/>
      <c r="K66" s="466"/>
      <c r="L66" s="466"/>
    </row>
    <row r="67" spans="1:12" ht="12.75" x14ac:dyDescent="0.2">
      <c r="A67" s="457" t="s">
        <v>1602</v>
      </c>
      <c r="B67" s="455">
        <f t="shared" si="2"/>
        <v>-64.66</v>
      </c>
      <c r="C67" s="454">
        <f t="shared" si="3"/>
        <v>-64.636300000000006</v>
      </c>
      <c r="D67" s="469" t="s">
        <v>1601</v>
      </c>
      <c r="E67" s="455">
        <f t="shared" si="4"/>
        <v>-64.66</v>
      </c>
      <c r="F67" s="454">
        <f t="shared" si="5"/>
        <v>-64.636300000000006</v>
      </c>
      <c r="G67" s="468" t="str">
        <f t="shared" si="6"/>
        <v>BTU/lbm</v>
      </c>
      <c r="H67" s="468"/>
      <c r="I67" s="466"/>
      <c r="J67" s="466"/>
      <c r="K67" s="466"/>
      <c r="L67" s="466"/>
    </row>
    <row r="68" spans="1:12" ht="12.75" x14ac:dyDescent="0.2">
      <c r="A68" s="457" t="s">
        <v>1193</v>
      </c>
      <c r="B68" s="455">
        <f t="shared" si="2"/>
        <v>0.505664</v>
      </c>
      <c r="C68" s="454">
        <f t="shared" si="3"/>
        <v>0.53561999999999999</v>
      </c>
      <c r="D68" s="469" t="s">
        <v>1600</v>
      </c>
      <c r="E68" s="455">
        <f t="shared" si="4"/>
        <v>0.505664</v>
      </c>
      <c r="F68" s="454">
        <f t="shared" si="5"/>
        <v>0.53561999999999999</v>
      </c>
      <c r="G68" s="468" t="str">
        <f t="shared" si="6"/>
        <v>BTU/lbm</v>
      </c>
      <c r="H68" s="468"/>
      <c r="I68" s="466"/>
      <c r="J68" s="466"/>
      <c r="K68" s="466"/>
      <c r="L68" s="466"/>
    </row>
    <row r="69" spans="1:12" ht="12.75" x14ac:dyDescent="0.2">
      <c r="A69" s="457" t="s">
        <v>1171</v>
      </c>
      <c r="B69" s="455">
        <f t="shared" si="2"/>
        <v>-0.35353400000000001</v>
      </c>
      <c r="C69" s="454">
        <f t="shared" si="3"/>
        <v>-0.35349999999999998</v>
      </c>
      <c r="D69" s="469" t="s">
        <v>1599</v>
      </c>
      <c r="E69" s="455">
        <f t="shared" si="4"/>
        <v>-0.35353400000000001</v>
      </c>
      <c r="F69" s="454">
        <f t="shared" si="5"/>
        <v>-0.35349999999999998</v>
      </c>
      <c r="G69" s="468" t="str">
        <f t="shared" si="6"/>
        <v>BTU/lbm-R</v>
      </c>
      <c r="H69" s="468"/>
      <c r="I69" s="466"/>
      <c r="J69" s="466"/>
      <c r="K69" s="466"/>
      <c r="L69" s="466"/>
    </row>
    <row r="70" spans="1:12" ht="12.75" x14ac:dyDescent="0.2">
      <c r="A70" s="457" t="s">
        <v>1598</v>
      </c>
      <c r="B70" s="455">
        <f t="shared" si="2"/>
        <v>0.41729300000000003</v>
      </c>
      <c r="C70" s="454">
        <f t="shared" si="3"/>
        <v>0.41687600000000002</v>
      </c>
      <c r="D70" s="469" t="s">
        <v>613</v>
      </c>
      <c r="E70" s="455">
        <f t="shared" si="4"/>
        <v>0.41729300000000003</v>
      </c>
      <c r="F70" s="454">
        <f t="shared" si="5"/>
        <v>0.41687600000000002</v>
      </c>
      <c r="G70" s="468" t="str">
        <f t="shared" si="6"/>
        <v>BTU/lbm-R</v>
      </c>
      <c r="H70" s="468"/>
      <c r="I70" s="466"/>
      <c r="J70" s="466"/>
      <c r="K70" s="466"/>
      <c r="L70" s="466"/>
    </row>
    <row r="71" spans="1:12" ht="12.75" x14ac:dyDescent="0.2">
      <c r="A71" s="457" t="s">
        <v>1597</v>
      </c>
      <c r="B71" s="455">
        <f t="shared" si="2"/>
        <v>0.56203899999999996</v>
      </c>
      <c r="C71" s="454">
        <f t="shared" si="3"/>
        <v>0.561527</v>
      </c>
      <c r="D71" s="469" t="s">
        <v>1596</v>
      </c>
      <c r="E71" s="455">
        <f t="shared" si="4"/>
        <v>0.56203899999999996</v>
      </c>
      <c r="F71" s="454">
        <f t="shared" si="5"/>
        <v>0.561527</v>
      </c>
      <c r="G71" s="468" t="str">
        <f t="shared" si="6"/>
        <v>BTU/lbm-R</v>
      </c>
      <c r="H71" s="468"/>
      <c r="I71" s="466"/>
      <c r="J71" s="466"/>
      <c r="K71" s="466"/>
      <c r="L71" s="466"/>
    </row>
    <row r="72" spans="1:12" ht="12.75" x14ac:dyDescent="0.2">
      <c r="A72" s="457" t="s">
        <v>1595</v>
      </c>
      <c r="B72" s="455">
        <f t="shared" si="2"/>
        <v>1459.41</v>
      </c>
      <c r="C72" s="454">
        <f t="shared" si="3"/>
        <v>1459.57</v>
      </c>
      <c r="D72" s="469" t="s">
        <v>1594</v>
      </c>
      <c r="E72" s="455">
        <f t="shared" si="4"/>
        <v>1459.41</v>
      </c>
      <c r="F72" s="454">
        <f t="shared" si="5"/>
        <v>1459.57</v>
      </c>
      <c r="G72" s="468" t="str">
        <f t="shared" si="6"/>
        <v>ft/s</v>
      </c>
      <c r="H72" s="468"/>
      <c r="I72" s="466"/>
      <c r="J72" s="466"/>
      <c r="K72" s="466"/>
      <c r="L72" s="466"/>
    </row>
    <row r="73" spans="1:12" ht="12.75" x14ac:dyDescent="0.2">
      <c r="A73" s="457" t="s">
        <v>1593</v>
      </c>
      <c r="B73" s="455">
        <f t="shared" si="2"/>
        <v>195.964</v>
      </c>
      <c r="C73" s="454">
        <f t="shared" si="3"/>
        <v>195.97499999999999</v>
      </c>
      <c r="D73" s="469" t="s">
        <v>1592</v>
      </c>
      <c r="E73" s="455">
        <f t="shared" si="4"/>
        <v>195.964</v>
      </c>
      <c r="F73" s="454">
        <f t="shared" si="5"/>
        <v>195.97499999999999</v>
      </c>
      <c r="G73" s="468" t="str">
        <f t="shared" si="6"/>
        <v>BTU/lbm</v>
      </c>
      <c r="H73" s="468"/>
      <c r="I73" s="466"/>
      <c r="J73" s="466"/>
      <c r="K73" s="466"/>
      <c r="L73" s="466"/>
    </row>
    <row r="74" spans="1:12" ht="12.75" x14ac:dyDescent="0.2">
      <c r="A74" s="457" t="s">
        <v>1591</v>
      </c>
      <c r="B74" s="455">
        <f t="shared" si="2"/>
        <v>5.0551800000000001E-2</v>
      </c>
      <c r="C74" s="454">
        <f t="shared" si="3"/>
        <v>5.0426199999999997E-2</v>
      </c>
      <c r="D74" s="469" t="s">
        <v>1590</v>
      </c>
      <c r="E74" s="455">
        <f t="shared" si="4"/>
        <v>5.0551800000000001E-2</v>
      </c>
      <c r="F74" s="454">
        <f t="shared" si="5"/>
        <v>5.0426199999999997E-2</v>
      </c>
      <c r="G74" s="468" t="str">
        <f t="shared" si="6"/>
        <v>F/psia</v>
      </c>
      <c r="H74" s="468"/>
      <c r="I74" s="466"/>
      <c r="J74" s="466"/>
      <c r="K74" s="466"/>
      <c r="L74" s="466"/>
    </row>
    <row r="75" spans="1:12" ht="13.5" thickBot="1" x14ac:dyDescent="0.25">
      <c r="A75" s="457" t="s">
        <v>1589</v>
      </c>
      <c r="B75" s="452">
        <f t="shared" si="2"/>
        <v>1.3054399999999999</v>
      </c>
      <c r="C75" s="451">
        <f t="shared" si="3"/>
        <v>1.3056000000000001</v>
      </c>
      <c r="D75" s="469" t="s">
        <v>1588</v>
      </c>
      <c r="E75" s="452">
        <f t="shared" si="4"/>
        <v>1.3054399999999999</v>
      </c>
      <c r="F75" s="451">
        <f t="shared" si="5"/>
        <v>1.3056000000000001</v>
      </c>
      <c r="G75" s="468" t="str">
        <f t="shared" si="6"/>
        <v>-</v>
      </c>
      <c r="H75" s="468"/>
      <c r="I75" s="466"/>
      <c r="J75" s="466"/>
      <c r="K75" s="466"/>
      <c r="L75" s="466"/>
    </row>
    <row r="76" spans="1:12" ht="12.75" x14ac:dyDescent="0.2">
      <c r="A76" s="447" t="s">
        <v>1587</v>
      </c>
      <c r="H76" s="444"/>
    </row>
    <row r="77" spans="1:12" x14ac:dyDescent="0.2">
      <c r="A77" s="447" t="s">
        <v>1586</v>
      </c>
    </row>
    <row r="82" spans="1:4" x14ac:dyDescent="0.2">
      <c r="B82" s="467" t="s">
        <v>1585</v>
      </c>
      <c r="C82" s="466"/>
    </row>
    <row r="83" spans="1:4" ht="12.75" thickBot="1" x14ac:dyDescent="0.25">
      <c r="A83" s="465"/>
      <c r="B83" s="460" t="s">
        <v>1584</v>
      </c>
    </row>
    <row r="84" spans="1:4" x14ac:dyDescent="0.2">
      <c r="A84" s="456" t="s">
        <v>1194</v>
      </c>
      <c r="B84" s="464">
        <f>B21</f>
        <v>93.2</v>
      </c>
      <c r="C84" s="450" t="str">
        <f>GetUnits("T")</f>
        <v>F</v>
      </c>
    </row>
    <row r="85" spans="1:4" x14ac:dyDescent="0.2">
      <c r="A85" s="457" t="s">
        <v>1204</v>
      </c>
      <c r="B85" s="463">
        <f>C21</f>
        <v>288.09999999999997</v>
      </c>
      <c r="C85" s="450" t="str">
        <f>GetUnits("P")</f>
        <v>psia</v>
      </c>
    </row>
    <row r="86" spans="1:4" x14ac:dyDescent="0.2">
      <c r="A86" s="457" t="s">
        <v>1583</v>
      </c>
      <c r="B86" s="462">
        <f>K22</f>
        <v>0</v>
      </c>
      <c r="C86" s="450"/>
    </row>
    <row r="87" spans="1:4" x14ac:dyDescent="0.2">
      <c r="A87" s="457" t="s">
        <v>1582</v>
      </c>
      <c r="B87" s="462">
        <f>K23</f>
        <v>0</v>
      </c>
      <c r="C87" s="450"/>
    </row>
    <row r="88" spans="1:4" x14ac:dyDescent="0.2">
      <c r="A88" s="457" t="s">
        <v>1581</v>
      </c>
      <c r="B88" s="462">
        <f>D30</f>
        <v>0.56440400000000002</v>
      </c>
      <c r="C88" s="450"/>
    </row>
    <row r="89" spans="1:4" ht="12.75" thickBot="1" x14ac:dyDescent="0.25">
      <c r="A89" s="457" t="s">
        <v>1580</v>
      </c>
      <c r="B89" s="461">
        <f>D31</f>
        <v>1029.25</v>
      </c>
      <c r="C89" s="450" t="str">
        <f>GetUnits("HV")</f>
        <v>BTU/ft^3</v>
      </c>
    </row>
    <row r="91" spans="1:4" ht="12.75" thickBot="1" x14ac:dyDescent="0.25">
      <c r="B91" s="460" t="s">
        <v>1579</v>
      </c>
      <c r="C91" s="460" t="s">
        <v>1578</v>
      </c>
    </row>
    <row r="92" spans="1:4" x14ac:dyDescent="0.2">
      <c r="A92" s="457" t="s">
        <v>1199</v>
      </c>
      <c r="B92" s="459" t="str">
        <f>DGross1($B$84,$B$85,$B$87,$B$88,$B$89)</f>
        <v>Negative nitrogen value in GROSS method 1 setup</v>
      </c>
      <c r="C92" s="458">
        <f>DGross2($B$84,$B$85,$B$86,$B$87,$B$88)</f>
        <v>0.81827399999999995</v>
      </c>
      <c r="D92" s="450" t="str">
        <f>GetUnits("D")</f>
        <v>lbm/ft^3</v>
      </c>
    </row>
    <row r="93" spans="1:4" x14ac:dyDescent="0.2">
      <c r="A93" s="457" t="s">
        <v>1577</v>
      </c>
      <c r="B93" s="455" t="str">
        <f>ZGross1($B$84,$B$85,$B$87,$B$88,$B$89)</f>
        <v>Negative nitrogen value in GROSS method 1 setup</v>
      </c>
      <c r="C93" s="454">
        <f>ZGross2($B$84,$B$85,$B$86,$B$87,$B$88)</f>
        <v>0.96843199999999996</v>
      </c>
      <c r="D93" s="450"/>
    </row>
    <row r="94" spans="1:4" x14ac:dyDescent="0.2">
      <c r="A94" s="457" t="s">
        <v>1204</v>
      </c>
      <c r="B94" s="455" t="str">
        <f>PropGross1("P",$B$84,$B$85,$B$87,$B$88,$B$89)</f>
        <v>Negative nitrogen value in GROSS method 1 setup</v>
      </c>
      <c r="C94" s="454">
        <f>PropGross2("P",$B$84,$B$85,$B$86,$B$87,$B$88)</f>
        <v>288.10000000000002</v>
      </c>
      <c r="D94" s="450" t="str">
        <f>GetUnits("P")</f>
        <v>psia</v>
      </c>
    </row>
    <row r="95" spans="1:4" x14ac:dyDescent="0.2">
      <c r="A95" s="457" t="s">
        <v>1576</v>
      </c>
      <c r="B95" s="455" t="str">
        <f>PropGross1("Mm",$B$84,$B$85,$B$87,$B$88,$B$89)</f>
        <v>Negative nitrogen value in GROSS method 1 setup</v>
      </c>
      <c r="C95" s="454">
        <f>PropGross2("Mm",$B$84,$B$85,$B$86,$B$87,$B$88)</f>
        <v>16.319800000000001</v>
      </c>
      <c r="D95" s="450" t="s">
        <v>1575</v>
      </c>
    </row>
    <row r="96" spans="1:4" x14ac:dyDescent="0.2">
      <c r="A96" s="457" t="s">
        <v>1574</v>
      </c>
      <c r="B96" s="455" t="str">
        <f>PropGross1("RD",$B$84,$B$85,$B$87,$B$88,$B$89)</f>
        <v>Negative nitrogen value in GROSS method 1 setup</v>
      </c>
      <c r="C96" s="454">
        <f>PropGross2("RD",$B$84,$B$85,$B$86,$B$87,$B$88)</f>
        <v>0.56440400000000002</v>
      </c>
      <c r="D96" s="450"/>
    </row>
    <row r="97" spans="1:13" x14ac:dyDescent="0.2">
      <c r="A97" s="456" t="s">
        <v>1573</v>
      </c>
      <c r="B97" s="455" t="str">
        <f>PropGross1("HN",$B$84,$B$85,$B$87,$B$88,$B$89)</f>
        <v>Negative nitrogen value in GROSS method 1 setup</v>
      </c>
      <c r="C97" s="454">
        <f>PropGross2("HN",$B$84,$B$85,$B$86,$B$87,$B$88)</f>
        <v>388800</v>
      </c>
      <c r="D97" s="450" t="str">
        <f>GetUnits("HN")</f>
        <v>BTU/lbmol</v>
      </c>
    </row>
    <row r="98" spans="1:13" x14ac:dyDescent="0.2">
      <c r="A98" s="453" t="s">
        <v>1572</v>
      </c>
      <c r="B98" s="455" t="str">
        <f>PropGross1("MHN",$B$84,$B$85,$B$87,$B$88,$B$89)</f>
        <v>Negative nitrogen value in GROSS method 1 setup</v>
      </c>
      <c r="C98" s="454">
        <f>PropGross2("MHN",$B$84,$B$86,$B$86,$B$87,$B$88)</f>
        <v>23.823899999999998</v>
      </c>
      <c r="D98" s="450" t="str">
        <f>GetUnits("MHN")</f>
        <v>BTU/lbm</v>
      </c>
    </row>
    <row r="99" spans="1:13" ht="12.75" thickBot="1" x14ac:dyDescent="0.25">
      <c r="A99" s="453" t="s">
        <v>1571</v>
      </c>
      <c r="B99" s="452" t="str">
        <f>PropGross1("HV",$B$84,$B$85,$B$87,$B$88,$B$89)</f>
        <v>Negative nitrogen value in GROSS method 1 setup</v>
      </c>
      <c r="C99" s="451">
        <f>PropGross2("HV",$B$84,$B$85,$B$86,$B$87,$B$88)</f>
        <v>1029.03</v>
      </c>
      <c r="D99" s="450" t="str">
        <f>GetUnits("HV")</f>
        <v>BTU/ft^3</v>
      </c>
    </row>
    <row r="101" spans="1:13" x14ac:dyDescent="0.2">
      <c r="A101" s="447" t="s">
        <v>1570</v>
      </c>
    </row>
    <row r="102" spans="1:13" x14ac:dyDescent="0.2">
      <c r="A102" s="447" t="s">
        <v>1569</v>
      </c>
    </row>
    <row r="103" spans="1:13" x14ac:dyDescent="0.2">
      <c r="A103" s="447" t="s">
        <v>1568</v>
      </c>
    </row>
    <row r="104" spans="1:13" x14ac:dyDescent="0.2">
      <c r="A104" s="447" t="s">
        <v>1567</v>
      </c>
    </row>
    <row r="107" spans="1:13" ht="12.75" x14ac:dyDescent="0.2">
      <c r="I107" s="444"/>
    </row>
    <row r="108" spans="1:13" ht="12.75" x14ac:dyDescent="0.2">
      <c r="I108" s="444"/>
    </row>
    <row r="109" spans="1:13" ht="12.75" x14ac:dyDescent="0.2">
      <c r="I109" s="444"/>
      <c r="J109" s="448"/>
      <c r="L109" s="448"/>
    </row>
    <row r="110" spans="1:13" ht="12.75" x14ac:dyDescent="0.2">
      <c r="I110" s="444"/>
      <c r="J110" s="448"/>
      <c r="L110" s="448"/>
    </row>
    <row r="111" spans="1:13" ht="12.75" x14ac:dyDescent="0.2">
      <c r="I111" s="449"/>
      <c r="K111" s="449"/>
      <c r="M111" s="449"/>
    </row>
    <row r="112" spans="1:13" ht="12.75" x14ac:dyDescent="0.2">
      <c r="I112" s="449"/>
      <c r="K112" s="449"/>
      <c r="M112" s="449"/>
    </row>
    <row r="113" spans="9:13" ht="12.75" x14ac:dyDescent="0.2">
      <c r="I113" s="444"/>
      <c r="J113" s="448"/>
      <c r="K113" s="448"/>
      <c r="L113" s="448"/>
      <c r="M113" s="448"/>
    </row>
    <row r="114" spans="9:13" ht="12.75" x14ac:dyDescent="0.2">
      <c r="I114" s="444"/>
      <c r="J114" s="448"/>
      <c r="K114" s="448"/>
      <c r="L114" s="448"/>
      <c r="M114" s="448"/>
    </row>
    <row r="115" spans="9:13" ht="12.75" x14ac:dyDescent="0.2">
      <c r="I115" s="444"/>
      <c r="J115" s="448"/>
      <c r="K115" s="448"/>
      <c r="L115" s="448"/>
      <c r="M115" s="448"/>
    </row>
    <row r="116" spans="9:13" ht="12.75" x14ac:dyDescent="0.2">
      <c r="I116" s="444"/>
      <c r="J116" s="448"/>
      <c r="K116" s="448"/>
      <c r="L116" s="448"/>
      <c r="M116" s="448"/>
    </row>
    <row r="117" spans="9:13" ht="12.75" x14ac:dyDescent="0.2">
      <c r="I117" s="444"/>
      <c r="J117" s="448"/>
      <c r="K117" s="448"/>
      <c r="L117" s="448"/>
      <c r="M117" s="448"/>
    </row>
    <row r="118" spans="9:13" ht="12.75" x14ac:dyDescent="0.2">
      <c r="I118" s="444"/>
      <c r="J118" s="448"/>
      <c r="K118" s="448"/>
      <c r="L118" s="448"/>
      <c r="M118" s="448"/>
    </row>
    <row r="119" spans="9:13" ht="12.75" x14ac:dyDescent="0.2">
      <c r="I119" s="444"/>
      <c r="J119" s="448"/>
      <c r="K119" s="448"/>
      <c r="L119" s="448"/>
      <c r="M119" s="448"/>
    </row>
    <row r="120" spans="9:13" ht="12.75" x14ac:dyDescent="0.2">
      <c r="I120" s="444"/>
      <c r="J120" s="448"/>
      <c r="K120" s="448"/>
      <c r="L120" s="448"/>
      <c r="M120" s="448"/>
    </row>
    <row r="121" spans="9:13" ht="12.75" x14ac:dyDescent="0.2">
      <c r="I121" s="444"/>
      <c r="J121" s="448"/>
      <c r="K121" s="448"/>
      <c r="L121" s="448"/>
      <c r="M121" s="448"/>
    </row>
    <row r="122" spans="9:13" ht="12.75" x14ac:dyDescent="0.2">
      <c r="I122" s="444"/>
      <c r="J122" s="448"/>
      <c r="K122" s="448"/>
      <c r="L122" s="448"/>
      <c r="M122" s="448"/>
    </row>
    <row r="123" spans="9:13" ht="12.75" x14ac:dyDescent="0.2">
      <c r="I123" s="444"/>
      <c r="K123" s="448"/>
    </row>
    <row r="124" spans="9:13" ht="12.75" x14ac:dyDescent="0.2">
      <c r="I124" s="444"/>
      <c r="K124" s="448"/>
    </row>
    <row r="125" spans="9:13" ht="12.75" x14ac:dyDescent="0.2">
      <c r="I125" s="444"/>
      <c r="K125" s="448"/>
    </row>
  </sheetData>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00B0F0"/>
  </sheetPr>
  <dimension ref="A1:IV996"/>
  <sheetViews>
    <sheetView topLeftCell="F1" workbookViewId="0">
      <pane xSplit="3" ySplit="2" topLeftCell="I9" activePane="bottomRight" state="frozen"/>
      <selection activeCell="B143" sqref="B143"/>
      <selection pane="topRight" activeCell="B143" sqref="B143"/>
      <selection pane="bottomLeft" activeCell="B143" sqref="B143"/>
      <selection pane="bottomRight" activeCell="S14" sqref="S14"/>
    </sheetView>
  </sheetViews>
  <sheetFormatPr defaultRowHeight="12.75" x14ac:dyDescent="0.2"/>
  <cols>
    <col min="1" max="1" width="5.85546875" style="42" hidden="1" customWidth="1"/>
    <col min="2" max="2" width="8" style="42" hidden="1" customWidth="1"/>
    <col min="3" max="3" width="9.5703125" style="42" hidden="1" customWidth="1"/>
    <col min="4" max="4" width="12" style="42" hidden="1" customWidth="1"/>
    <col min="5" max="5" width="10.42578125" style="42" hidden="1" customWidth="1"/>
    <col min="6" max="6" width="5.7109375" style="42" customWidth="1"/>
    <col min="7" max="7" width="17.85546875" style="42" customWidth="1"/>
    <col min="8" max="8" width="21.5703125" style="42" customWidth="1"/>
    <col min="9" max="9" width="6.42578125" style="42" bestFit="1" customWidth="1"/>
    <col min="10" max="10" width="8.28515625" style="42" bestFit="1" customWidth="1"/>
    <col min="11" max="11" width="11.28515625" style="42" customWidth="1"/>
    <col min="12" max="12" width="7.5703125" style="42" customWidth="1"/>
    <col min="13" max="13" width="9.140625" style="42" bestFit="1"/>
    <col min="14" max="14" width="9.85546875" style="42" bestFit="1" customWidth="1"/>
    <col min="15" max="15" width="7" style="42" bestFit="1" customWidth="1"/>
    <col min="16" max="16" width="10.140625" style="42" bestFit="1" customWidth="1"/>
    <col min="17" max="17" width="8.85546875" style="42" bestFit="1" customWidth="1"/>
    <col min="18" max="18" width="8" style="42" bestFit="1" customWidth="1"/>
    <col min="19" max="20" width="11.42578125" style="42" bestFit="1" customWidth="1"/>
    <col min="21" max="21" width="12.140625" style="42" bestFit="1" customWidth="1"/>
    <col min="22" max="23" width="8.140625" style="42" hidden="1" customWidth="1"/>
    <col min="24" max="24" width="7.140625" style="42" hidden="1" customWidth="1"/>
    <col min="25" max="26" width="8.140625" style="42" hidden="1" customWidth="1"/>
    <col min="27" max="27" width="6.85546875" style="42" hidden="1" customWidth="1"/>
    <col min="28" max="29" width="8.140625" style="42" hidden="1" customWidth="1"/>
    <col min="30" max="30" width="6.85546875" style="42" hidden="1" customWidth="1"/>
    <col min="31" max="32" width="8.140625" style="42" hidden="1" customWidth="1"/>
    <col min="33" max="33" width="7" style="42" hidden="1" customWidth="1"/>
    <col min="34" max="34" width="9.140625" style="42" bestFit="1"/>
    <col min="35" max="16384" width="9.140625" style="42"/>
  </cols>
  <sheetData>
    <row r="1" spans="1:34" ht="13.5" thickBot="1" x14ac:dyDescent="0.25"/>
    <row r="2" spans="1:34" ht="33.75" customHeight="1" x14ac:dyDescent="0.2">
      <c r="A2" s="280"/>
      <c r="B2" s="280"/>
      <c r="C2" s="845" t="s">
        <v>762</v>
      </c>
      <c r="D2" s="846"/>
      <c r="E2" s="280"/>
      <c r="F2" s="280"/>
      <c r="G2" s="280"/>
      <c r="H2" s="317" t="s">
        <v>924</v>
      </c>
      <c r="I2" s="317" t="s">
        <v>943</v>
      </c>
      <c r="J2" s="317" t="s">
        <v>925</v>
      </c>
      <c r="K2" s="317" t="s">
        <v>660</v>
      </c>
      <c r="L2" s="317" t="s">
        <v>955</v>
      </c>
      <c r="M2" s="317" t="s">
        <v>954</v>
      </c>
      <c r="N2" s="317" t="s">
        <v>947</v>
      </c>
      <c r="O2" s="317" t="s">
        <v>926</v>
      </c>
      <c r="P2" s="317" t="s">
        <v>927</v>
      </c>
      <c r="Q2" s="317" t="s">
        <v>928</v>
      </c>
      <c r="R2" s="317" t="s">
        <v>929</v>
      </c>
      <c r="S2" s="317" t="s">
        <v>958</v>
      </c>
      <c r="T2" s="317" t="s">
        <v>942</v>
      </c>
      <c r="U2" s="317" t="s">
        <v>953</v>
      </c>
      <c r="V2" s="317" t="s">
        <v>930</v>
      </c>
      <c r="W2" s="317" t="s">
        <v>931</v>
      </c>
      <c r="X2" s="317" t="s">
        <v>932</v>
      </c>
      <c r="Y2" s="317" t="s">
        <v>933</v>
      </c>
      <c r="Z2" s="317" t="s">
        <v>934</v>
      </c>
      <c r="AA2" s="317" t="s">
        <v>935</v>
      </c>
      <c r="AB2" s="317" t="s">
        <v>936</v>
      </c>
      <c r="AC2" s="317" t="s">
        <v>937</v>
      </c>
      <c r="AD2" s="317" t="s">
        <v>938</v>
      </c>
      <c r="AE2" s="317" t="s">
        <v>939</v>
      </c>
      <c r="AF2" s="317" t="s">
        <v>940</v>
      </c>
      <c r="AG2" s="317" t="s">
        <v>941</v>
      </c>
      <c r="AH2" s="317" t="s">
        <v>956</v>
      </c>
    </row>
    <row r="3" spans="1:34" ht="13.5" thickBot="1" x14ac:dyDescent="0.25">
      <c r="A3" s="274"/>
      <c r="B3" s="150"/>
      <c r="C3" s="847"/>
      <c r="D3" s="848"/>
      <c r="E3" s="277"/>
      <c r="F3" s="277"/>
      <c r="G3" s="277"/>
      <c r="H3" s="318" t="s">
        <v>758</v>
      </c>
      <c r="I3" s="318" t="s">
        <v>944</v>
      </c>
      <c r="J3" s="318" t="s">
        <v>946</v>
      </c>
      <c r="K3" s="323" t="s">
        <v>753</v>
      </c>
      <c r="L3" s="319"/>
      <c r="M3" s="319"/>
      <c r="N3" s="330">
        <v>26.04</v>
      </c>
      <c r="O3" s="318"/>
      <c r="P3" s="321">
        <v>1.2270000000000001</v>
      </c>
      <c r="Q3" s="318"/>
      <c r="R3" s="318"/>
      <c r="S3" s="318"/>
      <c r="T3" s="325">
        <v>1.1715</v>
      </c>
      <c r="U3" s="318"/>
      <c r="V3" s="318"/>
      <c r="W3" s="318"/>
      <c r="X3" s="318"/>
      <c r="Y3" s="318"/>
      <c r="Z3" s="318"/>
      <c r="AA3" s="318"/>
      <c r="AB3" s="318"/>
      <c r="AC3" s="318"/>
      <c r="AD3" s="318"/>
      <c r="AE3" s="318"/>
      <c r="AF3" s="318"/>
      <c r="AG3" s="318"/>
      <c r="AH3" s="318"/>
    </row>
    <row r="4" spans="1:34" ht="15" x14ac:dyDescent="0.2">
      <c r="A4" s="150"/>
      <c r="B4" s="150"/>
      <c r="C4" s="843" t="s">
        <v>761</v>
      </c>
      <c r="D4" s="844"/>
      <c r="E4" s="274"/>
      <c r="F4" s="274"/>
      <c r="G4" s="274"/>
      <c r="H4" s="318" t="s">
        <v>873</v>
      </c>
      <c r="I4" s="318" t="s">
        <v>945</v>
      </c>
      <c r="J4" s="318"/>
      <c r="K4" s="318" t="s">
        <v>753</v>
      </c>
      <c r="L4" s="320">
        <v>37.69</v>
      </c>
      <c r="M4" s="320">
        <v>-140.69999999999999</v>
      </c>
      <c r="N4" s="322">
        <v>28.963000000000001</v>
      </c>
      <c r="O4" s="326">
        <v>0.8</v>
      </c>
      <c r="P4" s="322">
        <v>1.4019999999999999</v>
      </c>
      <c r="Q4" s="318" t="s">
        <v>874</v>
      </c>
      <c r="R4" s="318" t="s">
        <v>875</v>
      </c>
      <c r="S4" s="318">
        <v>1.21</v>
      </c>
      <c r="T4" s="325">
        <v>1.2929999999999999</v>
      </c>
      <c r="U4" s="323">
        <v>-195</v>
      </c>
      <c r="V4" s="318">
        <v>1</v>
      </c>
      <c r="W4" s="318">
        <v>0.5</v>
      </c>
      <c r="X4" s="318">
        <v>30</v>
      </c>
      <c r="Y4" s="318">
        <v>5</v>
      </c>
      <c r="Z4" s="318">
        <v>4.5</v>
      </c>
      <c r="AA4" s="318">
        <v>30</v>
      </c>
      <c r="AB4" s="318">
        <v>10</v>
      </c>
      <c r="AC4" s="318">
        <v>9.5</v>
      </c>
      <c r="AD4" s="318">
        <v>30</v>
      </c>
      <c r="AE4" s="318">
        <v>20</v>
      </c>
      <c r="AF4" s="318">
        <v>19.5</v>
      </c>
      <c r="AG4" s="318">
        <v>30</v>
      </c>
      <c r="AH4" s="327">
        <v>49.893000000000001</v>
      </c>
    </row>
    <row r="5" spans="1:34" x14ac:dyDescent="0.2">
      <c r="A5" s="274"/>
      <c r="B5" s="273"/>
      <c r="C5" s="279" t="s">
        <v>760</v>
      </c>
      <c r="D5" s="278" t="s">
        <v>759</v>
      </c>
      <c r="E5" s="272"/>
      <c r="F5" s="272"/>
      <c r="G5" s="272"/>
      <c r="H5" s="318" t="s">
        <v>876</v>
      </c>
      <c r="I5" s="318" t="s">
        <v>945</v>
      </c>
      <c r="J5" s="323" t="s">
        <v>948</v>
      </c>
      <c r="K5" s="323" t="s">
        <v>957</v>
      </c>
      <c r="L5" s="320">
        <v>113.47</v>
      </c>
      <c r="M5" s="320">
        <v>132.35</v>
      </c>
      <c r="N5" s="320">
        <v>17.03</v>
      </c>
      <c r="O5" s="326">
        <v>0.63900000000000001</v>
      </c>
      <c r="P5" s="322">
        <v>1.3169999999999999</v>
      </c>
      <c r="Q5" s="318" t="s">
        <v>874</v>
      </c>
      <c r="R5" s="318" t="s">
        <v>875</v>
      </c>
      <c r="S5" s="325">
        <v>584</v>
      </c>
      <c r="T5" s="325">
        <v>0.77200000000000002</v>
      </c>
      <c r="U5" s="318">
        <v>-0.15</v>
      </c>
      <c r="V5" s="318">
        <v>1</v>
      </c>
      <c r="W5" s="318">
        <v>0.5</v>
      </c>
      <c r="X5" s="318">
        <v>30</v>
      </c>
      <c r="Y5" s="318">
        <v>5</v>
      </c>
      <c r="Z5" s="318">
        <v>4.5</v>
      </c>
      <c r="AA5" s="318">
        <v>30</v>
      </c>
      <c r="AB5" s="318">
        <v>10</v>
      </c>
      <c r="AC5" s="318">
        <v>9.5</v>
      </c>
      <c r="AD5" s="318">
        <v>30</v>
      </c>
      <c r="AE5" s="318">
        <v>20</v>
      </c>
      <c r="AF5" s="318">
        <v>19.5</v>
      </c>
      <c r="AG5" s="318">
        <v>30</v>
      </c>
      <c r="AH5" s="327">
        <v>39.8521</v>
      </c>
    </row>
    <row r="6" spans="1:34" x14ac:dyDescent="0.2">
      <c r="A6" s="274"/>
      <c r="B6" s="273"/>
      <c r="C6" s="267">
        <v>1</v>
      </c>
      <c r="D6" s="269">
        <v>99.635000000000005</v>
      </c>
      <c r="E6" s="272"/>
      <c r="F6" s="272"/>
      <c r="G6" s="272"/>
      <c r="H6" s="318" t="s">
        <v>877</v>
      </c>
      <c r="I6" s="318" t="s">
        <v>945</v>
      </c>
      <c r="J6" s="318" t="s">
        <v>878</v>
      </c>
      <c r="K6" s="318" t="s">
        <v>753</v>
      </c>
      <c r="L6" s="320">
        <v>48.69</v>
      </c>
      <c r="M6" s="320">
        <v>-122.35</v>
      </c>
      <c r="N6" s="320">
        <v>39.950000000000003</v>
      </c>
      <c r="O6" s="326">
        <v>1.37</v>
      </c>
      <c r="P6" s="322">
        <v>1.6479999999999999</v>
      </c>
      <c r="Q6" s="318" t="s">
        <v>874</v>
      </c>
      <c r="R6" s="318" t="s">
        <v>875</v>
      </c>
      <c r="S6" s="318"/>
      <c r="T6" s="325">
        <v>1.784</v>
      </c>
      <c r="U6" s="318">
        <v>-183.15</v>
      </c>
      <c r="V6" s="318">
        <v>1</v>
      </c>
      <c r="W6" s="318">
        <v>0.5</v>
      </c>
      <c r="X6" s="318">
        <v>30</v>
      </c>
      <c r="Y6" s="318">
        <v>5</v>
      </c>
      <c r="Z6" s="318">
        <v>4.5</v>
      </c>
      <c r="AA6" s="318">
        <v>30</v>
      </c>
      <c r="AB6" s="318">
        <v>10</v>
      </c>
      <c r="AC6" s="318">
        <v>9.5</v>
      </c>
      <c r="AD6" s="318">
        <v>30</v>
      </c>
      <c r="AE6" s="318">
        <v>20</v>
      </c>
      <c r="AF6" s="318">
        <v>19.5</v>
      </c>
      <c r="AG6" s="318">
        <v>30</v>
      </c>
      <c r="AH6" s="327">
        <v>85.441800000000001</v>
      </c>
    </row>
    <row r="7" spans="1:34" x14ac:dyDescent="0.2">
      <c r="A7" s="274"/>
      <c r="B7" s="273"/>
      <c r="C7" s="266">
        <v>1.1000000000000001</v>
      </c>
      <c r="D7" s="276">
        <v>102.32</v>
      </c>
      <c r="E7" s="272"/>
      <c r="F7" s="272"/>
      <c r="G7" s="272"/>
      <c r="H7" s="318" t="s">
        <v>879</v>
      </c>
      <c r="I7" s="318" t="s">
        <v>945</v>
      </c>
      <c r="J7" s="318" t="s">
        <v>880</v>
      </c>
      <c r="K7" s="318" t="s">
        <v>1170</v>
      </c>
      <c r="L7" s="320">
        <v>48.89</v>
      </c>
      <c r="M7" s="320">
        <v>289</v>
      </c>
      <c r="N7" s="320">
        <v>78.11</v>
      </c>
      <c r="O7" s="326">
        <v>0.88500000000000001</v>
      </c>
      <c r="P7" s="321">
        <v>1.1100000000000001</v>
      </c>
      <c r="Q7" s="318" t="s">
        <v>874</v>
      </c>
      <c r="R7" s="318" t="s">
        <v>875</v>
      </c>
      <c r="S7" s="325">
        <v>861.9</v>
      </c>
      <c r="T7" s="318"/>
      <c r="U7" s="318">
        <v>15.74</v>
      </c>
      <c r="V7" s="318">
        <v>1</v>
      </c>
      <c r="W7" s="318">
        <v>0.5</v>
      </c>
      <c r="X7" s="318">
        <v>30</v>
      </c>
      <c r="Y7" s="318">
        <v>5</v>
      </c>
      <c r="Z7" s="318">
        <v>4.5</v>
      </c>
      <c r="AA7" s="318">
        <v>30</v>
      </c>
      <c r="AB7" s="318">
        <v>10</v>
      </c>
      <c r="AC7" s="318">
        <v>9.5</v>
      </c>
      <c r="AD7" s="318">
        <v>30</v>
      </c>
      <c r="AE7" s="318">
        <v>20</v>
      </c>
      <c r="AF7" s="318">
        <v>19.5</v>
      </c>
      <c r="AG7" s="318">
        <v>30</v>
      </c>
      <c r="AH7" s="327">
        <v>55.194200000000002</v>
      </c>
    </row>
    <row r="8" spans="1:34" x14ac:dyDescent="0.2">
      <c r="A8" s="274"/>
      <c r="B8" s="273"/>
      <c r="C8" s="267">
        <v>1.2</v>
      </c>
      <c r="D8" s="276">
        <v>104.81</v>
      </c>
      <c r="E8" s="272"/>
      <c r="F8" s="272"/>
      <c r="G8" s="272"/>
      <c r="H8" s="318" t="s">
        <v>881</v>
      </c>
      <c r="I8" s="318" t="s">
        <v>945</v>
      </c>
      <c r="J8" s="323" t="s">
        <v>902</v>
      </c>
      <c r="K8" s="318" t="s">
        <v>1170</v>
      </c>
      <c r="L8" s="320">
        <v>38</v>
      </c>
      <c r="M8" s="320">
        <v>152.05000000000001</v>
      </c>
      <c r="N8" s="320">
        <v>58.12</v>
      </c>
      <c r="O8" s="326">
        <v>0.57899999999999996</v>
      </c>
      <c r="P8" s="322">
        <v>1.1100000000000001</v>
      </c>
      <c r="Q8" s="318" t="s">
        <v>874</v>
      </c>
      <c r="R8" s="318" t="s">
        <v>875</v>
      </c>
      <c r="S8" s="318">
        <v>579</v>
      </c>
      <c r="T8" s="318"/>
      <c r="U8" s="318">
        <v>19.850000000000001</v>
      </c>
      <c r="V8" s="318">
        <v>1</v>
      </c>
      <c r="W8" s="318">
        <v>0.5</v>
      </c>
      <c r="X8" s="318">
        <v>30</v>
      </c>
      <c r="Y8" s="318">
        <v>5</v>
      </c>
      <c r="Z8" s="318">
        <v>4.5</v>
      </c>
      <c r="AA8" s="318">
        <v>30</v>
      </c>
      <c r="AB8" s="318">
        <v>10</v>
      </c>
      <c r="AC8" s="318">
        <v>9.5</v>
      </c>
      <c r="AD8" s="318">
        <v>30</v>
      </c>
      <c r="AE8" s="318">
        <v>20</v>
      </c>
      <c r="AF8" s="318">
        <v>19.5</v>
      </c>
      <c r="AG8" s="318">
        <v>30</v>
      </c>
      <c r="AH8" s="327">
        <v>36.110100000000003</v>
      </c>
    </row>
    <row r="9" spans="1:34" x14ac:dyDescent="0.2">
      <c r="A9" s="274"/>
      <c r="B9" s="273"/>
      <c r="C9" s="266">
        <v>1.3</v>
      </c>
      <c r="D9" s="276">
        <v>107.14</v>
      </c>
      <c r="E9" s="272"/>
      <c r="F9" s="272"/>
      <c r="G9" s="272"/>
      <c r="H9" s="318" t="s">
        <v>882</v>
      </c>
      <c r="I9" s="318" t="s">
        <v>945</v>
      </c>
      <c r="J9" s="318" t="s">
        <v>883</v>
      </c>
      <c r="K9" s="318" t="s">
        <v>753</v>
      </c>
      <c r="L9" s="320">
        <v>73.78</v>
      </c>
      <c r="M9" s="320">
        <v>30.95</v>
      </c>
      <c r="N9" s="320">
        <v>44.01</v>
      </c>
      <c r="O9" s="326">
        <v>0.78</v>
      </c>
      <c r="P9" s="322">
        <v>1.2929999999999999</v>
      </c>
      <c r="Q9" s="318" t="s">
        <v>874</v>
      </c>
      <c r="R9" s="318" t="s">
        <v>875</v>
      </c>
      <c r="S9" s="318"/>
      <c r="T9" s="325">
        <v>1.9770000000000001</v>
      </c>
      <c r="U9" s="318">
        <v>19.850000000000001</v>
      </c>
      <c r="V9" s="318">
        <v>1</v>
      </c>
      <c r="W9" s="318">
        <v>0.5</v>
      </c>
      <c r="X9" s="318">
        <v>30</v>
      </c>
      <c r="Y9" s="318">
        <v>5</v>
      </c>
      <c r="Z9" s="318">
        <v>4.5</v>
      </c>
      <c r="AA9" s="318">
        <v>30</v>
      </c>
      <c r="AB9" s="318">
        <v>10</v>
      </c>
      <c r="AC9" s="318">
        <v>9.5</v>
      </c>
      <c r="AD9" s="318">
        <v>30</v>
      </c>
      <c r="AE9" s="318">
        <v>20</v>
      </c>
      <c r="AF9" s="318">
        <v>19.5</v>
      </c>
      <c r="AG9" s="318">
        <v>30</v>
      </c>
      <c r="AH9" s="327">
        <v>48.645699999999998</v>
      </c>
    </row>
    <row r="10" spans="1:34" x14ac:dyDescent="0.2">
      <c r="A10" s="274"/>
      <c r="B10" s="273"/>
      <c r="C10" s="267">
        <v>1.4</v>
      </c>
      <c r="D10" s="276">
        <v>109.32</v>
      </c>
      <c r="E10" s="272"/>
      <c r="F10" s="272"/>
      <c r="G10" s="272"/>
      <c r="H10" s="318" t="s">
        <v>884</v>
      </c>
      <c r="I10" s="318" t="s">
        <v>945</v>
      </c>
      <c r="J10" s="318" t="s">
        <v>883</v>
      </c>
      <c r="K10" s="318" t="s">
        <v>753</v>
      </c>
      <c r="L10" s="320">
        <v>34.99</v>
      </c>
      <c r="M10" s="320">
        <v>-140.26</v>
      </c>
      <c r="N10" s="320">
        <v>28.01</v>
      </c>
      <c r="O10" s="326">
        <v>0.80300000000000005</v>
      </c>
      <c r="P10" s="322">
        <v>1.401</v>
      </c>
      <c r="Q10" s="318" t="s">
        <v>874</v>
      </c>
      <c r="R10" s="318" t="s">
        <v>875</v>
      </c>
      <c r="S10" s="318"/>
      <c r="T10" s="325">
        <v>1.2504999999999999</v>
      </c>
      <c r="U10" s="318">
        <v>-192.15</v>
      </c>
      <c r="V10" s="318">
        <v>1</v>
      </c>
      <c r="W10" s="318">
        <v>0.5</v>
      </c>
      <c r="X10" s="318">
        <v>30</v>
      </c>
      <c r="Y10" s="318">
        <v>5</v>
      </c>
      <c r="Z10" s="318">
        <v>4.5</v>
      </c>
      <c r="AA10" s="318">
        <v>30</v>
      </c>
      <c r="AB10" s="318">
        <v>10</v>
      </c>
      <c r="AC10" s="318">
        <v>9.5</v>
      </c>
      <c r="AD10" s="318">
        <v>30</v>
      </c>
      <c r="AE10" s="318">
        <v>20</v>
      </c>
      <c r="AF10" s="318">
        <v>19.5</v>
      </c>
      <c r="AG10" s="318">
        <v>30</v>
      </c>
      <c r="AH10" s="327">
        <v>50.080100000000002</v>
      </c>
    </row>
    <row r="11" spans="1:34" x14ac:dyDescent="0.2">
      <c r="A11" s="274"/>
      <c r="B11" s="273"/>
      <c r="C11" s="266">
        <v>1.5</v>
      </c>
      <c r="D11" s="269">
        <v>111.38</v>
      </c>
      <c r="E11" s="272"/>
      <c r="F11" s="272"/>
      <c r="G11" s="272"/>
      <c r="H11" s="318" t="s">
        <v>885</v>
      </c>
      <c r="I11" s="318" t="s">
        <v>945</v>
      </c>
      <c r="J11" s="318" t="s">
        <v>886</v>
      </c>
      <c r="K11" s="318" t="s">
        <v>753</v>
      </c>
      <c r="L11" s="320">
        <v>79.78</v>
      </c>
      <c r="M11" s="320">
        <v>143.75</v>
      </c>
      <c r="N11" s="320">
        <v>70.91</v>
      </c>
      <c r="O11" s="326">
        <v>1.56</v>
      </c>
      <c r="P11" s="322">
        <v>1.34</v>
      </c>
      <c r="Q11" s="318" t="s">
        <v>874</v>
      </c>
      <c r="R11" s="318" t="s">
        <v>875</v>
      </c>
      <c r="S11" s="318"/>
      <c r="T11" s="325">
        <v>3.17</v>
      </c>
      <c r="U11" s="318">
        <v>-34.04</v>
      </c>
      <c r="V11" s="318">
        <v>1</v>
      </c>
      <c r="W11" s="318">
        <v>0.5</v>
      </c>
      <c r="X11" s="318">
        <v>30</v>
      </c>
      <c r="Y11" s="318">
        <v>5</v>
      </c>
      <c r="Z11" s="318">
        <v>4.5</v>
      </c>
      <c r="AA11" s="318">
        <v>30</v>
      </c>
      <c r="AB11" s="318">
        <v>10</v>
      </c>
      <c r="AC11" s="318">
        <v>9.5</v>
      </c>
      <c r="AD11" s="318">
        <v>30</v>
      </c>
      <c r="AE11" s="318">
        <v>20</v>
      </c>
      <c r="AF11" s="318">
        <v>19.5</v>
      </c>
      <c r="AG11" s="318">
        <v>30</v>
      </c>
      <c r="AH11" s="327">
        <v>97.291399999999996</v>
      </c>
    </row>
    <row r="12" spans="1:34" x14ac:dyDescent="0.2">
      <c r="A12" s="274"/>
      <c r="B12" s="273"/>
      <c r="C12" s="267">
        <v>1.6</v>
      </c>
      <c r="D12" s="276">
        <v>113.32</v>
      </c>
      <c r="E12" s="272"/>
      <c r="F12" s="272"/>
      <c r="G12" s="272"/>
      <c r="H12" s="318" t="s">
        <v>887</v>
      </c>
      <c r="I12" s="318" t="s">
        <v>945</v>
      </c>
      <c r="J12" s="318"/>
      <c r="K12" s="318" t="s">
        <v>1170</v>
      </c>
      <c r="L12" s="320">
        <v>33.299999999999997</v>
      </c>
      <c r="M12" s="320">
        <v>499</v>
      </c>
      <c r="N12" s="320">
        <v>165.97</v>
      </c>
      <c r="O12" s="326">
        <v>0.87</v>
      </c>
      <c r="P12" s="321">
        <v>1.05</v>
      </c>
      <c r="Q12" s="318" t="s">
        <v>874</v>
      </c>
      <c r="R12" s="318" t="s">
        <v>875</v>
      </c>
      <c r="S12" s="318">
        <v>870</v>
      </c>
      <c r="T12" s="318"/>
      <c r="U12" s="318">
        <v>260.18</v>
      </c>
      <c r="V12" s="318">
        <v>1</v>
      </c>
      <c r="W12" s="318">
        <v>0.5</v>
      </c>
      <c r="X12" s="318">
        <v>30</v>
      </c>
      <c r="Y12" s="318">
        <v>5</v>
      </c>
      <c r="Z12" s="318">
        <v>4.5</v>
      </c>
      <c r="AA12" s="318">
        <v>30</v>
      </c>
      <c r="AB12" s="318">
        <v>10</v>
      </c>
      <c r="AC12" s="318">
        <v>9.5</v>
      </c>
      <c r="AD12" s="318">
        <v>30</v>
      </c>
      <c r="AE12" s="318">
        <v>20</v>
      </c>
      <c r="AF12" s="318">
        <v>19.5</v>
      </c>
      <c r="AG12" s="318">
        <v>30</v>
      </c>
      <c r="AH12" s="327">
        <v>54.258699999999997</v>
      </c>
    </row>
    <row r="13" spans="1:34" x14ac:dyDescent="0.2">
      <c r="A13" s="274"/>
      <c r="B13" s="273"/>
      <c r="C13" s="266">
        <v>1.7</v>
      </c>
      <c r="D13" s="276">
        <v>115.17</v>
      </c>
      <c r="E13" s="272"/>
      <c r="F13" s="272"/>
      <c r="G13" s="272"/>
      <c r="H13" s="318" t="s">
        <v>888</v>
      </c>
      <c r="I13" s="318" t="s">
        <v>945</v>
      </c>
      <c r="J13" s="318" t="s">
        <v>889</v>
      </c>
      <c r="K13" s="318" t="s">
        <v>753</v>
      </c>
      <c r="L13" s="320">
        <v>48.79</v>
      </c>
      <c r="M13" s="320">
        <v>32.24</v>
      </c>
      <c r="N13" s="320">
        <v>30.07</v>
      </c>
      <c r="O13" s="326">
        <v>0.55000000000000004</v>
      </c>
      <c r="P13" s="322">
        <v>1.2</v>
      </c>
      <c r="Q13" s="318" t="s">
        <v>874</v>
      </c>
      <c r="R13" s="318" t="s">
        <v>875</v>
      </c>
      <c r="S13" s="318"/>
      <c r="T13" s="325">
        <v>1.355</v>
      </c>
      <c r="U13" s="318">
        <v>-90.15</v>
      </c>
      <c r="V13" s="318">
        <v>1</v>
      </c>
      <c r="W13" s="318">
        <v>0.5</v>
      </c>
      <c r="X13" s="318">
        <v>30</v>
      </c>
      <c r="Y13" s="318">
        <v>5</v>
      </c>
      <c r="Z13" s="318">
        <v>4.5</v>
      </c>
      <c r="AA13" s="318">
        <v>30</v>
      </c>
      <c r="AB13" s="318">
        <v>10</v>
      </c>
      <c r="AC13" s="318">
        <v>9.5</v>
      </c>
      <c r="AD13" s="318">
        <v>30</v>
      </c>
      <c r="AE13" s="318">
        <v>20</v>
      </c>
      <c r="AF13" s="318">
        <v>19.5</v>
      </c>
      <c r="AG13" s="318">
        <v>30</v>
      </c>
      <c r="AH13" s="327">
        <v>34.301499999999997</v>
      </c>
    </row>
    <row r="14" spans="1:34" x14ac:dyDescent="0.2">
      <c r="A14" s="274"/>
      <c r="B14" s="273"/>
      <c r="C14" s="267">
        <v>1.8</v>
      </c>
      <c r="D14" s="276">
        <v>116.94</v>
      </c>
      <c r="E14" s="150"/>
      <c r="F14" s="150"/>
      <c r="G14" s="150"/>
      <c r="H14" s="318" t="s">
        <v>890</v>
      </c>
      <c r="I14" s="318" t="s">
        <v>945</v>
      </c>
      <c r="J14" s="318" t="s">
        <v>891</v>
      </c>
      <c r="K14" s="318" t="s">
        <v>753</v>
      </c>
      <c r="L14" s="320">
        <v>50.39</v>
      </c>
      <c r="M14" s="320">
        <v>9.24</v>
      </c>
      <c r="N14" s="320">
        <v>28.05</v>
      </c>
      <c r="O14" s="326">
        <v>0.57999999999999996</v>
      </c>
      <c r="P14" s="321">
        <v>1.24</v>
      </c>
      <c r="Q14" s="318" t="s">
        <v>874</v>
      </c>
      <c r="R14" s="318" t="s">
        <v>875</v>
      </c>
      <c r="S14" s="318"/>
      <c r="T14" s="325">
        <v>1.2609999999999999</v>
      </c>
      <c r="U14" s="318">
        <v>-110.15</v>
      </c>
      <c r="V14" s="318">
        <v>1</v>
      </c>
      <c r="W14" s="318">
        <v>0.5</v>
      </c>
      <c r="X14" s="318">
        <v>30</v>
      </c>
      <c r="Y14" s="318">
        <v>5</v>
      </c>
      <c r="Z14" s="318">
        <v>4.5</v>
      </c>
      <c r="AA14" s="318">
        <v>30</v>
      </c>
      <c r="AB14" s="318">
        <v>10</v>
      </c>
      <c r="AC14" s="318">
        <v>9.5</v>
      </c>
      <c r="AD14" s="318">
        <v>30</v>
      </c>
      <c r="AE14" s="318">
        <v>20</v>
      </c>
      <c r="AF14" s="318">
        <v>19.5</v>
      </c>
      <c r="AG14" s="318">
        <v>30</v>
      </c>
      <c r="AH14" s="327">
        <v>36.172499999999999</v>
      </c>
    </row>
    <row r="15" spans="1:34" x14ac:dyDescent="0.2">
      <c r="A15" s="274"/>
      <c r="B15" s="273"/>
      <c r="C15" s="266">
        <v>1.9</v>
      </c>
      <c r="D15" s="270">
        <v>118.62</v>
      </c>
      <c r="E15" s="150"/>
      <c r="F15" s="150"/>
      <c r="G15" s="150"/>
      <c r="H15" s="318" t="s">
        <v>892</v>
      </c>
      <c r="I15" s="318" t="s">
        <v>945</v>
      </c>
      <c r="J15" s="318" t="s">
        <v>893</v>
      </c>
      <c r="K15" s="318" t="s">
        <v>753</v>
      </c>
      <c r="L15" s="320">
        <v>52.19</v>
      </c>
      <c r="M15" s="320">
        <v>-128.87</v>
      </c>
      <c r="N15" s="320">
        <v>38</v>
      </c>
      <c r="O15" s="326">
        <v>1.51</v>
      </c>
      <c r="P15" s="321">
        <v>1.36</v>
      </c>
      <c r="Q15" s="318" t="s">
        <v>874</v>
      </c>
      <c r="R15" s="318" t="s">
        <v>875</v>
      </c>
      <c r="S15" s="318"/>
      <c r="T15" s="325">
        <v>1.7</v>
      </c>
      <c r="U15" s="318">
        <v>-188.15</v>
      </c>
      <c r="V15" s="318">
        <v>1</v>
      </c>
      <c r="W15" s="318">
        <v>0.5</v>
      </c>
      <c r="X15" s="318">
        <v>30</v>
      </c>
      <c r="Y15" s="318">
        <v>5</v>
      </c>
      <c r="Z15" s="318">
        <v>4.5</v>
      </c>
      <c r="AA15" s="318">
        <v>30</v>
      </c>
      <c r="AB15" s="318">
        <v>10</v>
      </c>
      <c r="AC15" s="318">
        <v>9.5</v>
      </c>
      <c r="AD15" s="318">
        <v>30</v>
      </c>
      <c r="AE15" s="318">
        <v>20</v>
      </c>
      <c r="AF15" s="318">
        <v>19.5</v>
      </c>
      <c r="AG15" s="318">
        <v>30</v>
      </c>
      <c r="AH15" s="327">
        <v>94.173100000000005</v>
      </c>
    </row>
    <row r="16" spans="1:34" x14ac:dyDescent="0.2">
      <c r="A16" s="274"/>
      <c r="B16" s="150"/>
      <c r="C16" s="267">
        <v>2</v>
      </c>
      <c r="D16" s="276">
        <v>120.23</v>
      </c>
      <c r="E16" s="150"/>
      <c r="F16" s="150"/>
      <c r="G16" s="150"/>
      <c r="H16" s="318" t="s">
        <v>894</v>
      </c>
      <c r="I16" s="318" t="s">
        <v>945</v>
      </c>
      <c r="J16" s="318"/>
      <c r="K16" s="318" t="s">
        <v>1170</v>
      </c>
      <c r="L16" s="320">
        <v>76.98</v>
      </c>
      <c r="M16" s="320">
        <v>371.85</v>
      </c>
      <c r="N16" s="320">
        <v>62.07</v>
      </c>
      <c r="O16" s="326">
        <v>1.1100000000000001</v>
      </c>
      <c r="P16" s="321">
        <v>1.0900000000000001</v>
      </c>
      <c r="Q16" s="318" t="s">
        <v>874</v>
      </c>
      <c r="R16" s="318" t="s">
        <v>875</v>
      </c>
      <c r="S16" s="318">
        <v>1109</v>
      </c>
      <c r="T16" s="318"/>
      <c r="U16" s="318">
        <v>19.850000000000001</v>
      </c>
      <c r="V16" s="318">
        <v>1</v>
      </c>
      <c r="W16" s="318">
        <v>0.5</v>
      </c>
      <c r="X16" s="318">
        <v>30</v>
      </c>
      <c r="Y16" s="318">
        <v>5</v>
      </c>
      <c r="Z16" s="318">
        <v>4.5</v>
      </c>
      <c r="AA16" s="318">
        <v>30</v>
      </c>
      <c r="AB16" s="318">
        <v>10</v>
      </c>
      <c r="AC16" s="318">
        <v>9.5</v>
      </c>
      <c r="AD16" s="318">
        <v>30</v>
      </c>
      <c r="AE16" s="318">
        <v>20</v>
      </c>
      <c r="AF16" s="318">
        <v>19.5</v>
      </c>
      <c r="AG16" s="318">
        <v>30</v>
      </c>
      <c r="AH16" s="327">
        <v>69.226600000000005</v>
      </c>
    </row>
    <row r="17" spans="1:256" x14ac:dyDescent="0.2">
      <c r="A17" s="274"/>
      <c r="B17" s="273"/>
      <c r="C17" s="266">
        <v>2.1</v>
      </c>
      <c r="D17" s="270">
        <v>121.78</v>
      </c>
      <c r="E17" s="272"/>
      <c r="F17" s="272"/>
      <c r="G17" s="272"/>
      <c r="H17" s="318" t="s">
        <v>895</v>
      </c>
      <c r="I17" s="318" t="s">
        <v>945</v>
      </c>
      <c r="J17" s="318" t="s">
        <v>896</v>
      </c>
      <c r="K17" s="318" t="s">
        <v>753</v>
      </c>
      <c r="L17" s="320">
        <v>2.27</v>
      </c>
      <c r="M17" s="320">
        <v>-267.95999999999998</v>
      </c>
      <c r="N17" s="320">
        <v>4</v>
      </c>
      <c r="O17" s="326">
        <v>0.12</v>
      </c>
      <c r="P17" s="322">
        <v>1.63</v>
      </c>
      <c r="Q17" s="318" t="s">
        <v>874</v>
      </c>
      <c r="R17" s="318" t="s">
        <v>875</v>
      </c>
      <c r="S17" s="318"/>
      <c r="T17" s="325">
        <v>0.17799999999999999</v>
      </c>
      <c r="U17" s="318">
        <v>-268.89999999999998</v>
      </c>
      <c r="V17" s="318">
        <v>1</v>
      </c>
      <c r="W17" s="318">
        <v>0.5</v>
      </c>
      <c r="X17" s="318">
        <v>30</v>
      </c>
      <c r="Y17" s="318">
        <v>5</v>
      </c>
      <c r="Z17" s="318">
        <v>4.5</v>
      </c>
      <c r="AA17" s="318">
        <v>30</v>
      </c>
      <c r="AB17" s="318">
        <v>10</v>
      </c>
      <c r="AC17" s="318">
        <v>9.5</v>
      </c>
      <c r="AD17" s="318">
        <v>30</v>
      </c>
      <c r="AE17" s="318">
        <v>20</v>
      </c>
      <c r="AF17" s="318">
        <v>19.5</v>
      </c>
      <c r="AG17" s="318">
        <v>30</v>
      </c>
      <c r="AH17" s="327">
        <v>7.484</v>
      </c>
    </row>
    <row r="18" spans="1:256" x14ac:dyDescent="0.2">
      <c r="A18" s="274"/>
      <c r="B18" s="273"/>
      <c r="C18" s="267">
        <v>2.2000000000000002</v>
      </c>
      <c r="D18" s="270">
        <v>123.27</v>
      </c>
      <c r="E18" s="273"/>
      <c r="F18" s="273"/>
      <c r="G18" s="273"/>
      <c r="H18" s="318" t="s">
        <v>897</v>
      </c>
      <c r="I18" s="318" t="s">
        <v>945</v>
      </c>
      <c r="J18" s="318" t="s">
        <v>898</v>
      </c>
      <c r="K18" s="318" t="s">
        <v>753</v>
      </c>
      <c r="L18" s="320">
        <v>12.9</v>
      </c>
      <c r="M18" s="320">
        <v>-240.15</v>
      </c>
      <c r="N18" s="320">
        <v>2.0099999999999998</v>
      </c>
      <c r="O18" s="326">
        <v>7.0999999999999994E-2</v>
      </c>
      <c r="P18" s="322">
        <v>1.407</v>
      </c>
      <c r="Q18" s="318" t="s">
        <v>874</v>
      </c>
      <c r="R18" s="318" t="s">
        <v>875</v>
      </c>
      <c r="S18" s="318"/>
      <c r="T18" s="325">
        <v>0.09</v>
      </c>
      <c r="U18" s="318">
        <v>-253.15</v>
      </c>
      <c r="V18" s="318">
        <v>1</v>
      </c>
      <c r="W18" s="318">
        <v>0.5</v>
      </c>
      <c r="X18" s="318">
        <v>30</v>
      </c>
      <c r="Y18" s="318">
        <v>5</v>
      </c>
      <c r="Z18" s="318">
        <v>4.5</v>
      </c>
      <c r="AA18" s="318">
        <v>30</v>
      </c>
      <c r="AB18" s="318">
        <v>10</v>
      </c>
      <c r="AC18" s="318">
        <v>9.5</v>
      </c>
      <c r="AD18" s="318">
        <v>30</v>
      </c>
      <c r="AE18" s="318">
        <v>20</v>
      </c>
      <c r="AF18" s="318">
        <v>19.5</v>
      </c>
      <c r="AG18" s="318">
        <v>30</v>
      </c>
      <c r="AH18" s="327">
        <v>4.4279999999999999</v>
      </c>
    </row>
    <row r="19" spans="1:256" x14ac:dyDescent="0.2">
      <c r="A19" s="274"/>
      <c r="B19" s="273"/>
      <c r="C19" s="266">
        <v>2.2999999999999998</v>
      </c>
      <c r="D19" s="270">
        <v>124.71</v>
      </c>
      <c r="E19" s="150"/>
      <c r="F19" s="150"/>
      <c r="G19" s="150"/>
      <c r="H19" s="318" t="s">
        <v>899</v>
      </c>
      <c r="I19" s="318" t="s">
        <v>945</v>
      </c>
      <c r="J19" s="318" t="s">
        <v>900</v>
      </c>
      <c r="K19" s="318" t="s">
        <v>753</v>
      </c>
      <c r="L19" s="320">
        <v>83.08</v>
      </c>
      <c r="M19" s="320">
        <v>51.57</v>
      </c>
      <c r="N19" s="320">
        <v>36.46</v>
      </c>
      <c r="O19" s="326">
        <v>1.19</v>
      </c>
      <c r="P19" s="322">
        <v>1.39</v>
      </c>
      <c r="Q19" s="318" t="s">
        <v>874</v>
      </c>
      <c r="R19" s="318" t="s">
        <v>875</v>
      </c>
      <c r="S19" s="318"/>
      <c r="T19" s="318"/>
      <c r="U19" s="318">
        <v>-85.04</v>
      </c>
      <c r="V19" s="318">
        <v>1</v>
      </c>
      <c r="W19" s="318">
        <v>0.5</v>
      </c>
      <c r="X19" s="318">
        <v>30</v>
      </c>
      <c r="Y19" s="318">
        <v>5</v>
      </c>
      <c r="Z19" s="318">
        <v>4.5</v>
      </c>
      <c r="AA19" s="318">
        <v>30</v>
      </c>
      <c r="AB19" s="318">
        <v>10</v>
      </c>
      <c r="AC19" s="318">
        <v>9.5</v>
      </c>
      <c r="AD19" s="318">
        <v>30</v>
      </c>
      <c r="AE19" s="318">
        <v>20</v>
      </c>
      <c r="AF19" s="318">
        <v>19.5</v>
      </c>
      <c r="AG19" s="318">
        <v>30</v>
      </c>
      <c r="AH19" s="327">
        <v>74.215900000000005</v>
      </c>
    </row>
    <row r="20" spans="1:256" x14ac:dyDescent="0.2">
      <c r="A20" s="274"/>
      <c r="B20" s="273"/>
      <c r="C20" s="267">
        <v>2.4</v>
      </c>
      <c r="D20" s="270">
        <v>126.09</v>
      </c>
      <c r="E20" s="272"/>
      <c r="F20" s="272"/>
      <c r="G20" s="272"/>
      <c r="H20" s="323" t="s">
        <v>756</v>
      </c>
      <c r="I20" s="323" t="s">
        <v>944</v>
      </c>
      <c r="J20" s="323" t="s">
        <v>951</v>
      </c>
      <c r="K20" s="323" t="s">
        <v>753</v>
      </c>
      <c r="L20" s="320"/>
      <c r="M20" s="320"/>
      <c r="N20" s="330">
        <v>34.08</v>
      </c>
      <c r="O20" s="326"/>
      <c r="P20" s="322">
        <v>1.33</v>
      </c>
      <c r="Q20" s="318"/>
      <c r="R20" s="318"/>
      <c r="S20" s="318"/>
      <c r="T20" s="325">
        <v>1.5355000000000001</v>
      </c>
      <c r="U20" s="318"/>
      <c r="V20" s="318"/>
      <c r="W20" s="318"/>
      <c r="X20" s="318"/>
      <c r="Y20" s="318"/>
      <c r="Z20" s="318"/>
      <c r="AA20" s="318"/>
      <c r="AB20" s="318"/>
      <c r="AC20" s="318"/>
      <c r="AD20" s="318"/>
      <c r="AE20" s="318"/>
      <c r="AF20" s="318"/>
      <c r="AG20" s="318"/>
      <c r="AH20" s="326"/>
    </row>
    <row r="21" spans="1:256" x14ac:dyDescent="0.2">
      <c r="A21" s="274"/>
      <c r="B21" s="273"/>
      <c r="C21" s="266">
        <v>2.5</v>
      </c>
      <c r="D21" s="270">
        <v>127.43</v>
      </c>
      <c r="E21" s="272"/>
      <c r="F21" s="272"/>
      <c r="G21" s="272"/>
      <c r="H21" s="318" t="s">
        <v>901</v>
      </c>
      <c r="I21" s="318" t="s">
        <v>945</v>
      </c>
      <c r="J21" s="318" t="s">
        <v>902</v>
      </c>
      <c r="K21" s="318" t="s">
        <v>1170</v>
      </c>
      <c r="L21" s="320">
        <v>36.49</v>
      </c>
      <c r="M21" s="320">
        <v>135.05000000000001</v>
      </c>
      <c r="N21" s="320">
        <v>58.12</v>
      </c>
      <c r="O21" s="326">
        <v>0.57699999999999996</v>
      </c>
      <c r="P21" s="321">
        <v>1.0900000000000001</v>
      </c>
      <c r="Q21" s="318" t="s">
        <v>874</v>
      </c>
      <c r="R21" s="318" t="s">
        <v>875</v>
      </c>
      <c r="S21" s="325">
        <v>538.35</v>
      </c>
      <c r="T21" s="318"/>
      <c r="U21" s="318">
        <v>19.850000000000001</v>
      </c>
      <c r="V21" s="318">
        <v>1</v>
      </c>
      <c r="W21" s="318">
        <v>0.5</v>
      </c>
      <c r="X21" s="318">
        <v>30</v>
      </c>
      <c r="Y21" s="318">
        <v>5</v>
      </c>
      <c r="Z21" s="318">
        <v>4.5</v>
      </c>
      <c r="AA21" s="318">
        <v>30</v>
      </c>
      <c r="AB21" s="318">
        <v>10</v>
      </c>
      <c r="AC21" s="318">
        <v>9.5</v>
      </c>
      <c r="AD21" s="318">
        <v>30</v>
      </c>
      <c r="AE21" s="318">
        <v>20</v>
      </c>
      <c r="AF21" s="318">
        <v>19.5</v>
      </c>
      <c r="AG21" s="318">
        <v>30</v>
      </c>
      <c r="AH21" s="327">
        <v>35.985399999999998</v>
      </c>
    </row>
    <row r="22" spans="1:256" x14ac:dyDescent="0.2">
      <c r="A22" s="274"/>
      <c r="B22" s="273"/>
      <c r="C22" s="267">
        <v>2.6</v>
      </c>
      <c r="D22" s="270">
        <v>128.72999999999999</v>
      </c>
      <c r="E22" s="150"/>
      <c r="F22" s="150"/>
      <c r="G22" s="150"/>
      <c r="H22" s="318" t="s">
        <v>903</v>
      </c>
      <c r="I22" s="318" t="s">
        <v>945</v>
      </c>
      <c r="J22" s="318" t="s">
        <v>904</v>
      </c>
      <c r="K22" s="318" t="s">
        <v>1170</v>
      </c>
      <c r="L22" s="320">
        <v>39.99</v>
      </c>
      <c r="M22" s="320">
        <v>144.74</v>
      </c>
      <c r="N22" s="320">
        <v>56.11</v>
      </c>
      <c r="O22" s="326">
        <v>0.59</v>
      </c>
      <c r="P22" s="321">
        <v>1.1000000000000001</v>
      </c>
      <c r="Q22" s="318" t="s">
        <v>874</v>
      </c>
      <c r="R22" s="318" t="s">
        <v>875</v>
      </c>
      <c r="S22" s="325">
        <v>582.41</v>
      </c>
      <c r="T22" s="318"/>
      <c r="U22" s="318">
        <v>19.850000000000001</v>
      </c>
      <c r="V22" s="318">
        <v>1</v>
      </c>
      <c r="W22" s="318">
        <v>0.5</v>
      </c>
      <c r="X22" s="318">
        <v>30</v>
      </c>
      <c r="Y22" s="318">
        <v>5</v>
      </c>
      <c r="Z22" s="318">
        <v>4.5</v>
      </c>
      <c r="AA22" s="318">
        <v>30</v>
      </c>
      <c r="AB22" s="318">
        <v>10</v>
      </c>
      <c r="AC22" s="318">
        <v>9.5</v>
      </c>
      <c r="AD22" s="318">
        <v>30</v>
      </c>
      <c r="AE22" s="318">
        <v>20</v>
      </c>
      <c r="AF22" s="318">
        <v>19.5</v>
      </c>
      <c r="AG22" s="318">
        <v>30</v>
      </c>
      <c r="AH22" s="327">
        <v>36.796100000000003</v>
      </c>
    </row>
    <row r="23" spans="1:256" x14ac:dyDescent="0.2">
      <c r="A23" s="274"/>
      <c r="B23" s="273"/>
      <c r="C23" s="266">
        <v>2.7</v>
      </c>
      <c r="D23" s="270">
        <v>129.99</v>
      </c>
      <c r="E23" s="150"/>
      <c r="F23" s="150"/>
      <c r="G23" s="150"/>
      <c r="H23" s="318" t="s">
        <v>905</v>
      </c>
      <c r="I23" s="318" t="s">
        <v>945</v>
      </c>
      <c r="J23" s="318" t="s">
        <v>906</v>
      </c>
      <c r="K23" s="318" t="s">
        <v>753</v>
      </c>
      <c r="L23" s="320">
        <v>45.99</v>
      </c>
      <c r="M23" s="320">
        <v>-82.75</v>
      </c>
      <c r="N23" s="320">
        <v>16.04</v>
      </c>
      <c r="O23" s="326">
        <v>0.43</v>
      </c>
      <c r="P23" s="321">
        <v>1.31</v>
      </c>
      <c r="Q23" s="318" t="s">
        <v>874</v>
      </c>
      <c r="R23" s="318" t="s">
        <v>875</v>
      </c>
      <c r="S23" s="318"/>
      <c r="T23" s="325">
        <v>0.71750000000000003</v>
      </c>
      <c r="U23" s="318">
        <v>-161.43</v>
      </c>
      <c r="V23" s="318">
        <v>1</v>
      </c>
      <c r="W23" s="318">
        <v>0.5</v>
      </c>
      <c r="X23" s="318">
        <v>30</v>
      </c>
      <c r="Y23" s="318">
        <v>5</v>
      </c>
      <c r="Z23" s="318">
        <v>4.5</v>
      </c>
      <c r="AA23" s="318">
        <v>30</v>
      </c>
      <c r="AB23" s="318">
        <v>10</v>
      </c>
      <c r="AC23" s="318">
        <v>9.5</v>
      </c>
      <c r="AD23" s="318">
        <v>30</v>
      </c>
      <c r="AE23" s="318">
        <v>20</v>
      </c>
      <c r="AF23" s="318">
        <v>19.5</v>
      </c>
      <c r="AG23" s="318">
        <v>30</v>
      </c>
      <c r="AH23" s="327">
        <v>26.817499999999999</v>
      </c>
    </row>
    <row r="24" spans="1:256" x14ac:dyDescent="0.2">
      <c r="A24" s="275"/>
      <c r="B24" s="273"/>
      <c r="C24" s="267">
        <v>2.8</v>
      </c>
      <c r="D24" s="270">
        <v>131.21</v>
      </c>
      <c r="E24" s="150"/>
      <c r="F24" s="150"/>
      <c r="G24" s="150"/>
      <c r="H24" s="318" t="s">
        <v>907</v>
      </c>
      <c r="I24" s="318" t="s">
        <v>945</v>
      </c>
      <c r="J24" s="318" t="s">
        <v>908</v>
      </c>
      <c r="K24" s="318" t="s">
        <v>1170</v>
      </c>
      <c r="L24" s="320">
        <v>80.88</v>
      </c>
      <c r="M24" s="320">
        <v>239.45</v>
      </c>
      <c r="N24" s="320">
        <v>32.04</v>
      </c>
      <c r="O24" s="326">
        <v>0.79</v>
      </c>
      <c r="P24" s="321">
        <v>1.24</v>
      </c>
      <c r="Q24" s="318" t="s">
        <v>874</v>
      </c>
      <c r="R24" s="318" t="s">
        <v>875</v>
      </c>
      <c r="S24" s="325">
        <v>816.85</v>
      </c>
      <c r="T24" s="325">
        <v>1.43</v>
      </c>
      <c r="U24" s="318">
        <v>19.670000000000002</v>
      </c>
      <c r="V24" s="318">
        <v>1</v>
      </c>
      <c r="W24" s="318">
        <v>0.5</v>
      </c>
      <c r="X24" s="318">
        <v>30</v>
      </c>
      <c r="Y24" s="318">
        <v>5</v>
      </c>
      <c r="Z24" s="318">
        <v>4.5</v>
      </c>
      <c r="AA24" s="318">
        <v>30</v>
      </c>
      <c r="AB24" s="318">
        <v>10</v>
      </c>
      <c r="AC24" s="318">
        <v>9.5</v>
      </c>
      <c r="AD24" s="318">
        <v>30</v>
      </c>
      <c r="AE24" s="318">
        <v>20</v>
      </c>
      <c r="AF24" s="318">
        <v>19.5</v>
      </c>
      <c r="AG24" s="318">
        <v>30</v>
      </c>
      <c r="AH24" s="327">
        <v>49.269399999999997</v>
      </c>
    </row>
    <row r="25" spans="1:256" x14ac:dyDescent="0.2">
      <c r="A25" s="275"/>
      <c r="B25" s="273"/>
      <c r="C25" s="266">
        <v>2.9</v>
      </c>
      <c r="D25" s="270">
        <v>132.38999999999999</v>
      </c>
      <c r="E25" s="272"/>
      <c r="F25" s="272"/>
      <c r="G25" s="272"/>
      <c r="H25" s="318" t="s">
        <v>909</v>
      </c>
      <c r="I25" s="318" t="s">
        <v>945</v>
      </c>
      <c r="J25" s="318"/>
      <c r="K25" s="318" t="s">
        <v>753</v>
      </c>
      <c r="L25" s="320">
        <v>45.99</v>
      </c>
      <c r="M25" s="320">
        <v>-82.75</v>
      </c>
      <c r="N25" s="320">
        <v>16.04</v>
      </c>
      <c r="O25" s="326">
        <v>0.43</v>
      </c>
      <c r="P25" s="321">
        <v>1.31</v>
      </c>
      <c r="Q25" s="318" t="s">
        <v>874</v>
      </c>
      <c r="R25" s="318" t="s">
        <v>875</v>
      </c>
      <c r="S25" s="318"/>
      <c r="T25" s="325">
        <v>0.71750000000000003</v>
      </c>
      <c r="U25" s="318">
        <v>-161.43</v>
      </c>
      <c r="V25" s="318">
        <v>1</v>
      </c>
      <c r="W25" s="318">
        <v>0.5</v>
      </c>
      <c r="X25" s="318">
        <v>30</v>
      </c>
      <c r="Y25" s="318">
        <v>5</v>
      </c>
      <c r="Z25" s="318">
        <v>4.5</v>
      </c>
      <c r="AA25" s="318">
        <v>30</v>
      </c>
      <c r="AB25" s="318">
        <v>10</v>
      </c>
      <c r="AC25" s="318">
        <v>9.5</v>
      </c>
      <c r="AD25" s="318">
        <v>30</v>
      </c>
      <c r="AE25" s="318">
        <v>20</v>
      </c>
      <c r="AF25" s="318">
        <v>19.5</v>
      </c>
      <c r="AG25" s="318">
        <v>30</v>
      </c>
      <c r="AH25" s="327">
        <v>26.817499999999999</v>
      </c>
    </row>
    <row r="26" spans="1:256" x14ac:dyDescent="0.2">
      <c r="A26" s="274"/>
      <c r="B26" s="273"/>
      <c r="C26" s="267">
        <v>3</v>
      </c>
      <c r="D26" s="270">
        <v>133.54</v>
      </c>
      <c r="E26" s="272"/>
      <c r="F26" s="272"/>
      <c r="G26" s="272"/>
      <c r="H26" s="323" t="s">
        <v>949</v>
      </c>
      <c r="I26" s="323" t="s">
        <v>944</v>
      </c>
      <c r="J26" s="323" t="s">
        <v>950</v>
      </c>
      <c r="K26" s="323" t="s">
        <v>753</v>
      </c>
      <c r="L26" s="320"/>
      <c r="M26" s="320"/>
      <c r="N26" s="330">
        <v>20.183</v>
      </c>
      <c r="O26" s="326"/>
      <c r="P26" s="322">
        <v>1.64</v>
      </c>
      <c r="Q26" s="318"/>
      <c r="R26" s="318"/>
      <c r="S26" s="318"/>
      <c r="T26" s="325">
        <v>0.9</v>
      </c>
      <c r="U26" s="318"/>
      <c r="V26" s="318"/>
      <c r="W26" s="318"/>
      <c r="X26" s="318"/>
      <c r="Y26" s="318"/>
      <c r="Z26" s="318"/>
      <c r="AA26" s="318"/>
      <c r="AB26" s="318"/>
      <c r="AC26" s="318"/>
      <c r="AD26" s="318"/>
      <c r="AE26" s="318"/>
      <c r="AF26" s="318"/>
      <c r="AG26" s="318"/>
      <c r="AH26" s="326"/>
    </row>
    <row r="27" spans="1:256" x14ac:dyDescent="0.2">
      <c r="A27" s="271"/>
      <c r="B27" s="150"/>
      <c r="C27" s="266">
        <v>3.1</v>
      </c>
      <c r="D27" s="270">
        <v>134.66999999999999</v>
      </c>
      <c r="E27" s="150"/>
      <c r="F27" s="150"/>
      <c r="G27" s="150"/>
      <c r="H27" s="318" t="s">
        <v>910</v>
      </c>
      <c r="I27" s="318" t="s">
        <v>945</v>
      </c>
      <c r="J27" s="318" t="s">
        <v>911</v>
      </c>
      <c r="K27" s="318" t="s">
        <v>753</v>
      </c>
      <c r="L27" s="320">
        <v>33.94</v>
      </c>
      <c r="M27" s="320">
        <v>-119.2</v>
      </c>
      <c r="N27" s="320">
        <v>28.01</v>
      </c>
      <c r="O27" s="326">
        <v>0.8</v>
      </c>
      <c r="P27" s="322">
        <v>1.401</v>
      </c>
      <c r="Q27" s="318" t="s">
        <v>874</v>
      </c>
      <c r="R27" s="318" t="s">
        <v>875</v>
      </c>
      <c r="S27" s="318"/>
      <c r="T27" s="325">
        <v>1.2509999999999999</v>
      </c>
      <c r="U27" s="323">
        <v>-195</v>
      </c>
      <c r="V27" s="318">
        <v>1</v>
      </c>
      <c r="W27" s="318">
        <v>0.5</v>
      </c>
      <c r="X27" s="318">
        <v>30</v>
      </c>
      <c r="Y27" s="318">
        <v>5</v>
      </c>
      <c r="Z27" s="318">
        <v>4.5</v>
      </c>
      <c r="AA27" s="318">
        <v>30</v>
      </c>
      <c r="AB27" s="318">
        <v>10</v>
      </c>
      <c r="AC27" s="318">
        <v>9.5</v>
      </c>
      <c r="AD27" s="318">
        <v>30</v>
      </c>
      <c r="AE27" s="318">
        <v>20</v>
      </c>
      <c r="AF27" s="318">
        <v>19.5</v>
      </c>
      <c r="AG27" s="318">
        <v>30</v>
      </c>
      <c r="AH27" s="327">
        <v>49.893000000000001</v>
      </c>
    </row>
    <row r="28" spans="1:256" s="314" customFormat="1" x14ac:dyDescent="0.2">
      <c r="A28" s="271"/>
      <c r="B28" s="150"/>
      <c r="C28" s="267">
        <v>3.2</v>
      </c>
      <c r="D28" s="270">
        <v>135.76</v>
      </c>
      <c r="E28" s="150"/>
      <c r="F28" s="150"/>
      <c r="G28" s="150"/>
      <c r="H28" s="323" t="s">
        <v>959</v>
      </c>
      <c r="I28" s="323" t="s">
        <v>944</v>
      </c>
      <c r="J28" s="323" t="s">
        <v>960</v>
      </c>
      <c r="K28" s="323" t="s">
        <v>753</v>
      </c>
      <c r="L28" s="325"/>
      <c r="M28" s="325"/>
      <c r="N28" s="325">
        <v>30.06</v>
      </c>
      <c r="O28" s="325"/>
      <c r="P28" s="325">
        <v>1.3879999999999999</v>
      </c>
      <c r="Q28" s="318"/>
      <c r="R28" s="318"/>
      <c r="S28" s="325"/>
      <c r="T28" s="325">
        <v>1.34</v>
      </c>
      <c r="U28" s="318"/>
      <c r="V28" s="318"/>
      <c r="W28" s="318"/>
      <c r="X28" s="318"/>
      <c r="Y28" s="318"/>
      <c r="Z28" s="318"/>
      <c r="AA28" s="318"/>
      <c r="AB28" s="318"/>
      <c r="AC28" s="318"/>
      <c r="AD28" s="318"/>
      <c r="AE28" s="318"/>
      <c r="AF28" s="318"/>
      <c r="AG28" s="318"/>
      <c r="AH28" s="326"/>
      <c r="AI28" s="328"/>
      <c r="AJ28" s="328"/>
      <c r="AK28" s="328"/>
      <c r="AL28" s="328"/>
      <c r="AM28" s="328"/>
      <c r="AN28" s="328"/>
      <c r="AO28" s="328"/>
      <c r="AP28" s="328"/>
      <c r="AQ28" s="328"/>
      <c r="AR28" s="328"/>
      <c r="AS28" s="328"/>
      <c r="AT28" s="328"/>
      <c r="AU28" s="328"/>
      <c r="AV28" s="328"/>
      <c r="AW28" s="328"/>
      <c r="AX28" s="328"/>
      <c r="AY28" s="328"/>
      <c r="AZ28" s="328"/>
      <c r="BA28" s="328"/>
      <c r="BB28" s="328"/>
      <c r="BC28" s="328"/>
      <c r="BD28" s="328"/>
      <c r="BE28" s="328"/>
      <c r="BF28" s="328"/>
      <c r="BG28" s="328"/>
      <c r="BH28" s="328"/>
      <c r="BI28" s="328"/>
      <c r="BJ28" s="328"/>
      <c r="BK28" s="328"/>
      <c r="BL28" s="328"/>
      <c r="BM28" s="328"/>
      <c r="BN28" s="328"/>
      <c r="BO28" s="328"/>
      <c r="BP28" s="328"/>
      <c r="BQ28" s="328"/>
      <c r="BR28" s="328"/>
      <c r="BS28" s="328"/>
      <c r="BT28" s="328"/>
      <c r="BU28" s="328"/>
      <c r="BV28" s="328"/>
      <c r="BW28" s="328"/>
      <c r="BX28" s="328"/>
      <c r="BY28" s="328"/>
      <c r="BZ28" s="328"/>
      <c r="CA28" s="328"/>
      <c r="CB28" s="328"/>
      <c r="CC28" s="328"/>
      <c r="CD28" s="328"/>
      <c r="CE28" s="328"/>
      <c r="CF28" s="328"/>
      <c r="CG28" s="328"/>
      <c r="CH28" s="328"/>
      <c r="CI28" s="328"/>
      <c r="CJ28" s="328"/>
      <c r="CK28" s="328"/>
      <c r="CL28" s="328"/>
      <c r="CM28" s="328"/>
      <c r="CN28" s="328"/>
      <c r="CO28" s="328"/>
      <c r="CP28" s="328"/>
      <c r="CQ28" s="328"/>
      <c r="CR28" s="328"/>
      <c r="CS28" s="328"/>
      <c r="CT28" s="328"/>
      <c r="CU28" s="328"/>
      <c r="CV28" s="328"/>
      <c r="CW28" s="328"/>
      <c r="CX28" s="328"/>
      <c r="CY28" s="328"/>
      <c r="CZ28" s="328"/>
      <c r="DA28" s="328"/>
      <c r="DB28" s="328"/>
      <c r="DC28" s="328"/>
      <c r="DD28" s="328"/>
      <c r="DE28" s="328"/>
      <c r="DF28" s="328"/>
      <c r="DG28" s="328"/>
      <c r="DH28" s="328"/>
      <c r="DI28" s="328"/>
      <c r="DJ28" s="328"/>
      <c r="DK28" s="328"/>
      <c r="DL28" s="328"/>
      <c r="DM28" s="328"/>
      <c r="DN28" s="328"/>
      <c r="DO28" s="328"/>
      <c r="DP28" s="328"/>
      <c r="DQ28" s="328"/>
      <c r="DR28" s="328"/>
      <c r="DS28" s="328"/>
      <c r="DT28" s="328"/>
      <c r="DU28" s="328"/>
      <c r="DV28" s="328"/>
      <c r="DW28" s="328"/>
      <c r="DX28" s="328"/>
      <c r="DY28" s="328"/>
      <c r="DZ28" s="328"/>
      <c r="EA28" s="328"/>
      <c r="EB28" s="328"/>
      <c r="EC28" s="328"/>
      <c r="ED28" s="328"/>
      <c r="EE28" s="328"/>
      <c r="EF28" s="328"/>
      <c r="EG28" s="328"/>
      <c r="EH28" s="328"/>
      <c r="EI28" s="328"/>
      <c r="EJ28" s="328"/>
      <c r="EK28" s="328"/>
      <c r="EL28" s="328"/>
      <c r="EM28" s="328"/>
      <c r="EN28" s="328"/>
      <c r="EO28" s="328"/>
      <c r="EP28" s="328"/>
      <c r="EQ28" s="328"/>
      <c r="ER28" s="328"/>
      <c r="ES28" s="328"/>
      <c r="ET28" s="328"/>
      <c r="EU28" s="328"/>
      <c r="EV28" s="328"/>
      <c r="EW28" s="328"/>
      <c r="EX28" s="328"/>
      <c r="EY28" s="328"/>
      <c r="EZ28" s="328"/>
      <c r="FA28" s="328"/>
      <c r="FB28" s="328"/>
      <c r="FC28" s="328"/>
      <c r="FD28" s="328"/>
      <c r="FE28" s="328"/>
      <c r="FF28" s="328"/>
      <c r="FG28" s="328"/>
      <c r="FH28" s="328"/>
      <c r="FI28" s="328"/>
      <c r="FJ28" s="328"/>
      <c r="FK28" s="328"/>
      <c r="FL28" s="328"/>
      <c r="FM28" s="328"/>
      <c r="FN28" s="328"/>
      <c r="FO28" s="328"/>
      <c r="FP28" s="328"/>
      <c r="FQ28" s="328"/>
      <c r="FR28" s="328"/>
      <c r="FS28" s="328"/>
      <c r="FT28" s="328"/>
      <c r="FU28" s="328"/>
      <c r="FV28" s="328"/>
      <c r="FW28" s="328"/>
      <c r="FX28" s="328"/>
      <c r="FY28" s="328"/>
      <c r="FZ28" s="328"/>
      <c r="GA28" s="328"/>
      <c r="GB28" s="328"/>
      <c r="GC28" s="328"/>
      <c r="GD28" s="328"/>
      <c r="GE28" s="328"/>
      <c r="GF28" s="328"/>
      <c r="GG28" s="328"/>
      <c r="GH28" s="328"/>
      <c r="GI28" s="328"/>
      <c r="GJ28" s="328"/>
      <c r="GK28" s="328"/>
      <c r="GL28" s="328"/>
      <c r="GM28" s="328"/>
      <c r="GN28" s="328"/>
      <c r="GO28" s="328"/>
      <c r="GP28" s="328"/>
      <c r="GQ28" s="328"/>
      <c r="GR28" s="328"/>
      <c r="GS28" s="328"/>
      <c r="GT28" s="328"/>
      <c r="GU28" s="328"/>
      <c r="GV28" s="328"/>
      <c r="GW28" s="328"/>
      <c r="GX28" s="328"/>
      <c r="GY28" s="328"/>
      <c r="GZ28" s="328"/>
      <c r="HA28" s="328"/>
      <c r="HB28" s="328"/>
      <c r="HC28" s="328"/>
      <c r="HD28" s="328"/>
      <c r="HE28" s="328"/>
      <c r="HF28" s="328"/>
      <c r="HG28" s="328"/>
      <c r="HH28" s="328"/>
      <c r="HI28" s="328"/>
      <c r="HJ28" s="328"/>
      <c r="HK28" s="328"/>
      <c r="HL28" s="328"/>
      <c r="HM28" s="328"/>
      <c r="HN28" s="328"/>
      <c r="HO28" s="328"/>
      <c r="HP28" s="328"/>
      <c r="HQ28" s="328"/>
      <c r="HR28" s="328"/>
      <c r="HS28" s="328"/>
      <c r="HT28" s="328"/>
      <c r="HU28" s="328"/>
      <c r="HV28" s="328"/>
      <c r="HW28" s="328"/>
      <c r="HX28" s="328"/>
      <c r="HY28" s="328"/>
      <c r="HZ28" s="328"/>
      <c r="IA28" s="328"/>
      <c r="IB28" s="328"/>
      <c r="IC28" s="328"/>
      <c r="ID28" s="328"/>
      <c r="IE28" s="328"/>
      <c r="IF28" s="328"/>
      <c r="IG28" s="328"/>
      <c r="IH28" s="328"/>
      <c r="II28" s="328"/>
      <c r="IJ28" s="328"/>
      <c r="IK28" s="328"/>
      <c r="IL28" s="328"/>
      <c r="IM28" s="328"/>
      <c r="IN28" s="328"/>
      <c r="IO28" s="328"/>
      <c r="IP28" s="328"/>
      <c r="IQ28" s="328"/>
      <c r="IR28" s="328"/>
      <c r="IS28" s="328"/>
      <c r="IT28" s="328"/>
      <c r="IU28" s="328"/>
      <c r="IV28" s="328"/>
    </row>
    <row r="29" spans="1:256" s="314" customFormat="1" x14ac:dyDescent="0.2">
      <c r="A29" s="143"/>
      <c r="B29" s="143"/>
      <c r="C29" s="266">
        <v>3.3</v>
      </c>
      <c r="D29" s="270">
        <v>136.82</v>
      </c>
      <c r="E29" s="143"/>
      <c r="F29" s="143"/>
      <c r="G29" s="143"/>
      <c r="H29" s="318" t="s">
        <v>961</v>
      </c>
      <c r="I29" s="318" t="s">
        <v>945</v>
      </c>
      <c r="J29" s="318" t="s">
        <v>962</v>
      </c>
      <c r="K29" s="323" t="s">
        <v>966</v>
      </c>
      <c r="L29" s="323">
        <v>71.41</v>
      </c>
      <c r="M29" s="323">
        <v>36.4</v>
      </c>
      <c r="N29" s="323">
        <v>44.01</v>
      </c>
      <c r="O29" s="323">
        <v>1.22</v>
      </c>
      <c r="P29" s="331">
        <v>1.4</v>
      </c>
      <c r="Q29" s="318" t="s">
        <v>874</v>
      </c>
      <c r="R29" s="318" t="s">
        <v>875</v>
      </c>
      <c r="S29" s="325">
        <v>1218.8</v>
      </c>
      <c r="T29" s="325">
        <v>2.0499999999999998</v>
      </c>
      <c r="U29" s="318">
        <v>-89.54</v>
      </c>
      <c r="V29" s="318">
        <v>1</v>
      </c>
      <c r="W29" s="318">
        <v>0.5</v>
      </c>
      <c r="X29" s="318">
        <v>30</v>
      </c>
      <c r="Y29" s="318">
        <v>5</v>
      </c>
      <c r="Z29" s="318">
        <v>4.5</v>
      </c>
      <c r="AA29" s="318">
        <v>30</v>
      </c>
      <c r="AB29" s="318">
        <v>10</v>
      </c>
      <c r="AC29" s="318">
        <v>9.5</v>
      </c>
      <c r="AD29" s="318">
        <v>30</v>
      </c>
      <c r="AE29" s="318">
        <v>20</v>
      </c>
      <c r="AF29" s="318">
        <v>19.5</v>
      </c>
      <c r="AG29" s="318">
        <v>30</v>
      </c>
      <c r="AH29" s="327">
        <v>76.0869</v>
      </c>
      <c r="AI29" s="328"/>
      <c r="AJ29" s="328"/>
      <c r="AK29" s="328"/>
      <c r="AL29" s="328"/>
      <c r="AM29" s="328"/>
      <c r="AN29" s="328"/>
      <c r="AO29" s="328"/>
      <c r="AP29" s="328"/>
      <c r="AQ29" s="328"/>
      <c r="AR29" s="328"/>
      <c r="AS29" s="328"/>
      <c r="AT29" s="328"/>
      <c r="AU29" s="328"/>
      <c r="AV29" s="328"/>
      <c r="AW29" s="328"/>
      <c r="AX29" s="328"/>
      <c r="AY29" s="328"/>
      <c r="AZ29" s="328"/>
      <c r="BA29" s="328"/>
      <c r="BB29" s="328"/>
      <c r="BC29" s="328"/>
      <c r="BD29" s="328"/>
      <c r="BE29" s="328"/>
      <c r="BF29" s="328"/>
      <c r="BG29" s="328"/>
      <c r="BH29" s="328"/>
      <c r="BI29" s="328"/>
      <c r="BJ29" s="328"/>
      <c r="BK29" s="328"/>
      <c r="BL29" s="328"/>
      <c r="BM29" s="328"/>
      <c r="BN29" s="328"/>
      <c r="BO29" s="328"/>
      <c r="BP29" s="328"/>
      <c r="BQ29" s="328"/>
      <c r="BR29" s="328"/>
      <c r="BS29" s="328"/>
      <c r="BT29" s="328"/>
      <c r="BU29" s="328"/>
      <c r="BV29" s="328"/>
      <c r="BW29" s="328"/>
      <c r="BX29" s="328"/>
      <c r="BY29" s="328"/>
      <c r="BZ29" s="328"/>
      <c r="CA29" s="328"/>
      <c r="CB29" s="328"/>
      <c r="CC29" s="328"/>
      <c r="CD29" s="328"/>
      <c r="CE29" s="328"/>
      <c r="CF29" s="328"/>
      <c r="CG29" s="328"/>
      <c r="CH29" s="328"/>
      <c r="CI29" s="328"/>
      <c r="CJ29" s="328"/>
      <c r="CK29" s="328"/>
      <c r="CL29" s="328"/>
      <c r="CM29" s="328"/>
      <c r="CN29" s="328"/>
      <c r="CO29" s="328"/>
      <c r="CP29" s="328"/>
      <c r="CQ29" s="328"/>
      <c r="CR29" s="328"/>
      <c r="CS29" s="328"/>
      <c r="CT29" s="328"/>
      <c r="CU29" s="328"/>
      <c r="CV29" s="328"/>
      <c r="CW29" s="328"/>
      <c r="CX29" s="328"/>
      <c r="CY29" s="328"/>
      <c r="CZ29" s="328"/>
      <c r="DA29" s="328"/>
      <c r="DB29" s="328"/>
      <c r="DC29" s="328"/>
      <c r="DD29" s="328"/>
      <c r="DE29" s="328"/>
      <c r="DF29" s="328"/>
      <c r="DG29" s="328"/>
      <c r="DH29" s="328"/>
      <c r="DI29" s="328"/>
      <c r="DJ29" s="328"/>
      <c r="DK29" s="328"/>
      <c r="DL29" s="328"/>
      <c r="DM29" s="328"/>
      <c r="DN29" s="328"/>
      <c r="DO29" s="328"/>
      <c r="DP29" s="328"/>
      <c r="DQ29" s="328"/>
      <c r="DR29" s="328"/>
      <c r="DS29" s="328"/>
      <c r="DT29" s="328"/>
      <c r="DU29" s="328"/>
      <c r="DV29" s="328"/>
      <c r="DW29" s="328"/>
      <c r="DX29" s="328"/>
      <c r="DY29" s="328"/>
      <c r="DZ29" s="328"/>
      <c r="EA29" s="328"/>
      <c r="EB29" s="328"/>
      <c r="EC29" s="328"/>
      <c r="ED29" s="328"/>
      <c r="EE29" s="328"/>
      <c r="EF29" s="328"/>
      <c r="EG29" s="328"/>
      <c r="EH29" s="328"/>
      <c r="EI29" s="328"/>
      <c r="EJ29" s="328"/>
      <c r="EK29" s="328"/>
      <c r="EL29" s="328"/>
      <c r="EM29" s="328"/>
      <c r="EN29" s="328"/>
      <c r="EO29" s="328"/>
      <c r="EP29" s="328"/>
      <c r="EQ29" s="328"/>
      <c r="ER29" s="328"/>
      <c r="ES29" s="328"/>
      <c r="ET29" s="328"/>
      <c r="EU29" s="328"/>
      <c r="EV29" s="328"/>
      <c r="EW29" s="328"/>
      <c r="EX29" s="328"/>
      <c r="EY29" s="328"/>
      <c r="EZ29" s="328"/>
      <c r="FA29" s="328"/>
      <c r="FB29" s="328"/>
      <c r="FC29" s="328"/>
      <c r="FD29" s="328"/>
      <c r="FE29" s="328"/>
      <c r="FF29" s="328"/>
      <c r="FG29" s="328"/>
      <c r="FH29" s="328"/>
      <c r="FI29" s="328"/>
      <c r="FJ29" s="328"/>
      <c r="FK29" s="328"/>
      <c r="FL29" s="328"/>
      <c r="FM29" s="328"/>
      <c r="FN29" s="328"/>
      <c r="FO29" s="328"/>
      <c r="FP29" s="328"/>
      <c r="FQ29" s="328"/>
      <c r="FR29" s="328"/>
      <c r="FS29" s="328"/>
      <c r="FT29" s="328"/>
      <c r="FU29" s="328"/>
      <c r="FV29" s="328"/>
      <c r="FW29" s="328"/>
      <c r="FX29" s="328"/>
      <c r="FY29" s="328"/>
      <c r="FZ29" s="328"/>
      <c r="GA29" s="328"/>
      <c r="GB29" s="328"/>
      <c r="GC29" s="328"/>
      <c r="GD29" s="328"/>
      <c r="GE29" s="328"/>
      <c r="GF29" s="328"/>
      <c r="GG29" s="328"/>
      <c r="GH29" s="328"/>
      <c r="GI29" s="328"/>
      <c r="GJ29" s="328"/>
      <c r="GK29" s="328"/>
      <c r="GL29" s="328"/>
      <c r="GM29" s="328"/>
      <c r="GN29" s="328"/>
      <c r="GO29" s="328"/>
      <c r="GP29" s="328"/>
      <c r="GQ29" s="328"/>
      <c r="GR29" s="328"/>
      <c r="GS29" s="328"/>
      <c r="GT29" s="328"/>
      <c r="GU29" s="328"/>
      <c r="GV29" s="328"/>
      <c r="GW29" s="328"/>
      <c r="GX29" s="328"/>
      <c r="GY29" s="328"/>
      <c r="GZ29" s="328"/>
      <c r="HA29" s="328"/>
      <c r="HB29" s="328"/>
      <c r="HC29" s="328"/>
      <c r="HD29" s="328"/>
      <c r="HE29" s="328"/>
      <c r="HF29" s="328"/>
      <c r="HG29" s="328"/>
      <c r="HH29" s="328"/>
      <c r="HI29" s="328"/>
      <c r="HJ29" s="328"/>
      <c r="HK29" s="328"/>
      <c r="HL29" s="328"/>
      <c r="HM29" s="328"/>
      <c r="HN29" s="328"/>
      <c r="HO29" s="328"/>
      <c r="HP29" s="328"/>
      <c r="HQ29" s="328"/>
      <c r="HR29" s="328"/>
      <c r="HS29" s="328"/>
      <c r="HT29" s="328"/>
      <c r="HU29" s="328"/>
      <c r="HV29" s="328"/>
      <c r="HW29" s="328"/>
      <c r="HX29" s="328"/>
      <c r="HY29" s="328"/>
      <c r="HZ29" s="328"/>
      <c r="IA29" s="328"/>
      <c r="IB29" s="328"/>
      <c r="IC29" s="328"/>
      <c r="ID29" s="328"/>
      <c r="IE29" s="328"/>
      <c r="IF29" s="328"/>
      <c r="IG29" s="328"/>
      <c r="IH29" s="328"/>
      <c r="II29" s="328"/>
      <c r="IJ29" s="328"/>
      <c r="IK29" s="328"/>
      <c r="IL29" s="328"/>
      <c r="IM29" s="328"/>
      <c r="IN29" s="328"/>
      <c r="IO29" s="328"/>
      <c r="IP29" s="328"/>
      <c r="IQ29" s="328"/>
      <c r="IR29" s="328"/>
      <c r="IS29" s="328"/>
      <c r="IT29" s="328"/>
      <c r="IU29" s="328"/>
      <c r="IV29" s="328"/>
    </row>
    <row r="30" spans="1:256" x14ac:dyDescent="0.2">
      <c r="A30" s="143"/>
      <c r="B30" s="143"/>
      <c r="C30" s="267">
        <v>3.4</v>
      </c>
      <c r="D30" s="270">
        <v>137.86000000000001</v>
      </c>
      <c r="E30" s="143"/>
      <c r="F30" s="143"/>
      <c r="G30" s="143"/>
      <c r="H30" s="318" t="s">
        <v>912</v>
      </c>
      <c r="I30" s="318" t="s">
        <v>945</v>
      </c>
      <c r="J30" s="318" t="s">
        <v>913</v>
      </c>
      <c r="K30" s="318" t="s">
        <v>753</v>
      </c>
      <c r="L30" s="320">
        <v>50.39</v>
      </c>
      <c r="M30" s="320">
        <v>-118.59</v>
      </c>
      <c r="N30" s="320">
        <v>31.9</v>
      </c>
      <c r="O30" s="326">
        <v>1.1399999999999999</v>
      </c>
      <c r="P30" s="322">
        <v>1.3959999999999999</v>
      </c>
      <c r="Q30" s="318" t="s">
        <v>874</v>
      </c>
      <c r="R30" s="318" t="s">
        <v>875</v>
      </c>
      <c r="S30" s="318"/>
      <c r="T30" s="325">
        <v>1.429</v>
      </c>
      <c r="U30" s="318">
        <v>-183.15</v>
      </c>
      <c r="V30" s="318">
        <v>1</v>
      </c>
      <c r="W30" s="318">
        <v>0.5</v>
      </c>
      <c r="X30" s="318">
        <v>30</v>
      </c>
      <c r="Y30" s="318">
        <v>5</v>
      </c>
      <c r="Z30" s="318">
        <v>4.5</v>
      </c>
      <c r="AA30" s="318">
        <v>30</v>
      </c>
      <c r="AB30" s="318">
        <v>10</v>
      </c>
      <c r="AC30" s="318">
        <v>9.5</v>
      </c>
      <c r="AD30" s="318">
        <v>30</v>
      </c>
      <c r="AE30" s="318">
        <v>20</v>
      </c>
      <c r="AF30" s="318">
        <v>19.5</v>
      </c>
      <c r="AG30" s="318">
        <v>30</v>
      </c>
      <c r="AH30" s="327">
        <v>71.0976</v>
      </c>
    </row>
    <row r="31" spans="1:256" x14ac:dyDescent="0.2">
      <c r="A31" s="143"/>
      <c r="B31" s="143"/>
      <c r="C31" s="266">
        <v>3.5</v>
      </c>
      <c r="D31" s="270">
        <v>138.88</v>
      </c>
      <c r="E31" s="143"/>
      <c r="F31" s="143"/>
      <c r="G31" s="143"/>
      <c r="H31" s="318" t="s">
        <v>914</v>
      </c>
      <c r="I31" s="318" t="s">
        <v>945</v>
      </c>
      <c r="J31" s="318" t="s">
        <v>915</v>
      </c>
      <c r="K31" s="318" t="s">
        <v>1170</v>
      </c>
      <c r="L31" s="320">
        <v>56.68</v>
      </c>
      <c r="M31" s="320">
        <v>181.85</v>
      </c>
      <c r="N31" s="320">
        <v>98.82</v>
      </c>
      <c r="O31" s="326">
        <v>1.38</v>
      </c>
      <c r="P31" s="321">
        <v>1.17</v>
      </c>
      <c r="Q31" s="318" t="s">
        <v>874</v>
      </c>
      <c r="R31" s="318" t="s">
        <v>875</v>
      </c>
      <c r="S31" s="325">
        <v>1359.2</v>
      </c>
      <c r="T31" s="325">
        <v>4.42</v>
      </c>
      <c r="U31" s="318">
        <v>19.850000000000001</v>
      </c>
      <c r="V31" s="318">
        <v>1</v>
      </c>
      <c r="W31" s="318">
        <v>0.5</v>
      </c>
      <c r="X31" s="318">
        <v>30</v>
      </c>
      <c r="Y31" s="318">
        <v>5</v>
      </c>
      <c r="Z31" s="318">
        <v>4.5</v>
      </c>
      <c r="AA31" s="318">
        <v>30</v>
      </c>
      <c r="AB31" s="318">
        <v>10</v>
      </c>
      <c r="AC31" s="318">
        <v>9.5</v>
      </c>
      <c r="AD31" s="318">
        <v>30</v>
      </c>
      <c r="AE31" s="318">
        <v>20</v>
      </c>
      <c r="AF31" s="318">
        <v>19.5</v>
      </c>
      <c r="AG31" s="318">
        <v>30</v>
      </c>
      <c r="AH31" s="327">
        <v>86.0655</v>
      </c>
    </row>
    <row r="32" spans="1:256" x14ac:dyDescent="0.2">
      <c r="A32" s="143"/>
      <c r="B32" s="143"/>
      <c r="C32" s="267">
        <v>3.6</v>
      </c>
      <c r="D32" s="270">
        <v>139.87</v>
      </c>
      <c r="E32" s="143"/>
      <c r="F32" s="143"/>
      <c r="G32" s="143"/>
      <c r="H32" s="318" t="s">
        <v>916</v>
      </c>
      <c r="I32" s="318" t="s">
        <v>945</v>
      </c>
      <c r="J32" s="318" t="s">
        <v>917</v>
      </c>
      <c r="K32" s="318" t="s">
        <v>1170</v>
      </c>
      <c r="L32" s="320">
        <v>42.49</v>
      </c>
      <c r="M32" s="320">
        <v>96.63</v>
      </c>
      <c r="N32" s="320">
        <v>44.09</v>
      </c>
      <c r="O32" s="326">
        <v>0.58199999999999996</v>
      </c>
      <c r="P32" s="321">
        <v>1.1299999999999999</v>
      </c>
      <c r="Q32" s="318" t="s">
        <v>874</v>
      </c>
      <c r="R32" s="318" t="s">
        <v>875</v>
      </c>
      <c r="S32" s="325">
        <v>485.36</v>
      </c>
      <c r="T32" s="325">
        <v>2.0099999999999998</v>
      </c>
      <c r="U32" s="318">
        <v>-42.15</v>
      </c>
      <c r="V32" s="318">
        <v>1</v>
      </c>
      <c r="W32" s="318">
        <v>0.5</v>
      </c>
      <c r="X32" s="318">
        <v>30</v>
      </c>
      <c r="Y32" s="318">
        <v>5</v>
      </c>
      <c r="Z32" s="318">
        <v>4.5</v>
      </c>
      <c r="AA32" s="318">
        <v>30</v>
      </c>
      <c r="AB32" s="318">
        <v>10</v>
      </c>
      <c r="AC32" s="318">
        <v>9.5</v>
      </c>
      <c r="AD32" s="318">
        <v>30</v>
      </c>
      <c r="AE32" s="318">
        <v>20</v>
      </c>
      <c r="AF32" s="318">
        <v>19.5</v>
      </c>
      <c r="AG32" s="318">
        <v>30</v>
      </c>
      <c r="AH32" s="327">
        <v>36.297199999999997</v>
      </c>
    </row>
    <row r="33" spans="1:34" x14ac:dyDescent="0.2">
      <c r="A33" s="143"/>
      <c r="B33" s="143"/>
      <c r="C33" s="266">
        <v>3.7</v>
      </c>
      <c r="D33" s="270">
        <v>140.84</v>
      </c>
      <c r="E33" s="143"/>
      <c r="F33" s="143"/>
      <c r="G33" s="143"/>
      <c r="H33" s="318" t="s">
        <v>918</v>
      </c>
      <c r="I33" s="318" t="s">
        <v>945</v>
      </c>
      <c r="J33" s="318" t="s">
        <v>919</v>
      </c>
      <c r="K33" s="318" t="s">
        <v>1170</v>
      </c>
      <c r="L33" s="320">
        <v>45.99</v>
      </c>
      <c r="M33" s="320">
        <v>91.75</v>
      </c>
      <c r="N33" s="320">
        <v>42.02</v>
      </c>
      <c r="O33" s="326">
        <v>0.61199999999999999</v>
      </c>
      <c r="P33" s="321">
        <v>1.1499999999999999</v>
      </c>
      <c r="Q33" s="318" t="s">
        <v>874</v>
      </c>
      <c r="R33" s="318" t="s">
        <v>875</v>
      </c>
      <c r="S33" s="325">
        <v>546</v>
      </c>
      <c r="T33" s="325">
        <v>1.9129</v>
      </c>
      <c r="U33" s="318">
        <v>-50.15</v>
      </c>
      <c r="V33" s="318">
        <v>1</v>
      </c>
      <c r="W33" s="318">
        <v>0.5</v>
      </c>
      <c r="X33" s="318">
        <v>30</v>
      </c>
      <c r="Y33" s="318">
        <v>5</v>
      </c>
      <c r="Z33" s="318">
        <v>4.5</v>
      </c>
      <c r="AA33" s="318">
        <v>30</v>
      </c>
      <c r="AB33" s="318">
        <v>10</v>
      </c>
      <c r="AC33" s="318">
        <v>9.5</v>
      </c>
      <c r="AD33" s="318">
        <v>30</v>
      </c>
      <c r="AE33" s="318">
        <v>20</v>
      </c>
      <c r="AF33" s="318">
        <v>19.5</v>
      </c>
      <c r="AG33" s="318">
        <v>30</v>
      </c>
      <c r="AH33" s="327">
        <v>38.168199999999999</v>
      </c>
    </row>
    <row r="34" spans="1:34" x14ac:dyDescent="0.2">
      <c r="A34" s="143"/>
      <c r="B34" s="143"/>
      <c r="C34" s="267">
        <v>3.8</v>
      </c>
      <c r="D34" s="270">
        <v>141.79</v>
      </c>
      <c r="E34" s="143"/>
      <c r="F34" s="143"/>
      <c r="G34" s="143"/>
      <c r="H34" s="318" t="s">
        <v>920</v>
      </c>
      <c r="I34" s="318" t="s">
        <v>945</v>
      </c>
      <c r="J34" s="318" t="s">
        <v>921</v>
      </c>
      <c r="K34" s="318" t="s">
        <v>753</v>
      </c>
      <c r="L34" s="320">
        <v>221.2</v>
      </c>
      <c r="M34" s="320">
        <v>374.13</v>
      </c>
      <c r="N34" s="320">
        <v>18.02</v>
      </c>
      <c r="O34" s="326">
        <v>0.998</v>
      </c>
      <c r="P34" s="321">
        <v>1.33</v>
      </c>
      <c r="Q34" s="318" t="s">
        <v>874</v>
      </c>
      <c r="R34" s="318" t="s">
        <v>875</v>
      </c>
      <c r="S34" s="318"/>
      <c r="T34" s="325">
        <v>0.80379999999999996</v>
      </c>
      <c r="U34" s="318">
        <v>19.850000000000001</v>
      </c>
      <c r="V34" s="318">
        <v>1</v>
      </c>
      <c r="W34" s="318">
        <v>0.5</v>
      </c>
      <c r="X34" s="318">
        <v>201</v>
      </c>
      <c r="Y34" s="318">
        <v>5</v>
      </c>
      <c r="Z34" s="318">
        <v>4.5</v>
      </c>
      <c r="AA34" s="318">
        <v>220</v>
      </c>
      <c r="AB34" s="318">
        <v>10</v>
      </c>
      <c r="AC34" s="318">
        <v>9.5</v>
      </c>
      <c r="AD34" s="318">
        <v>240</v>
      </c>
      <c r="AE34" s="318">
        <v>20</v>
      </c>
      <c r="AF34" s="318">
        <v>19.5</v>
      </c>
      <c r="AG34" s="318">
        <v>250</v>
      </c>
      <c r="AH34" s="327">
        <v>62.241599999999998</v>
      </c>
    </row>
    <row r="35" spans="1:34" x14ac:dyDescent="0.2">
      <c r="A35" s="143"/>
      <c r="B35" s="143"/>
      <c r="C35" s="266">
        <v>3.9</v>
      </c>
      <c r="D35" s="270">
        <v>142.72</v>
      </c>
      <c r="E35" s="143"/>
      <c r="F35" s="143"/>
      <c r="G35" s="143"/>
      <c r="H35" s="318" t="s">
        <v>922</v>
      </c>
      <c r="I35" s="318" t="s">
        <v>945</v>
      </c>
      <c r="J35" s="318" t="s">
        <v>921</v>
      </c>
      <c r="K35" s="318" t="s">
        <v>753</v>
      </c>
      <c r="L35" s="320">
        <v>221.2</v>
      </c>
      <c r="M35" s="320">
        <v>374.13</v>
      </c>
      <c r="N35" s="320">
        <v>18.02</v>
      </c>
      <c r="O35" s="326">
        <v>0.998</v>
      </c>
      <c r="P35" s="321">
        <v>1.33</v>
      </c>
      <c r="Q35" s="318" t="s">
        <v>874</v>
      </c>
      <c r="R35" s="318" t="s">
        <v>875</v>
      </c>
      <c r="S35" s="318"/>
      <c r="T35" s="325">
        <v>0.80379999999999996</v>
      </c>
      <c r="U35" s="318">
        <v>19.850000000000001</v>
      </c>
      <c r="V35" s="318">
        <v>1</v>
      </c>
      <c r="W35" s="318">
        <v>0.5</v>
      </c>
      <c r="X35" s="318">
        <v>250</v>
      </c>
      <c r="Y35" s="318">
        <v>5</v>
      </c>
      <c r="Z35" s="318">
        <v>4.5</v>
      </c>
      <c r="AA35" s="318">
        <v>250</v>
      </c>
      <c r="AB35" s="318">
        <v>10</v>
      </c>
      <c r="AC35" s="318">
        <v>9.5</v>
      </c>
      <c r="AD35" s="318">
        <v>250</v>
      </c>
      <c r="AE35" s="318">
        <v>20</v>
      </c>
      <c r="AF35" s="318">
        <v>19.5</v>
      </c>
      <c r="AG35" s="318">
        <v>250</v>
      </c>
      <c r="AH35" s="326"/>
    </row>
    <row r="36" spans="1:34" x14ac:dyDescent="0.2">
      <c r="A36" s="143"/>
      <c r="B36" s="143"/>
      <c r="C36" s="267">
        <v>4</v>
      </c>
      <c r="D36" s="270">
        <v>143.63</v>
      </c>
      <c r="E36" s="143"/>
      <c r="F36" s="143"/>
      <c r="G36" s="143"/>
      <c r="H36" s="323" t="s">
        <v>757</v>
      </c>
      <c r="I36" s="323" t="s">
        <v>944</v>
      </c>
      <c r="J36" s="323" t="s">
        <v>952</v>
      </c>
      <c r="K36" s="323" t="s">
        <v>753</v>
      </c>
      <c r="L36" s="320"/>
      <c r="M36" s="320"/>
      <c r="N36" s="330">
        <v>64.06</v>
      </c>
      <c r="O36" s="326"/>
      <c r="P36" s="322">
        <v>1.28</v>
      </c>
      <c r="Q36" s="318"/>
      <c r="R36" s="318"/>
      <c r="S36" s="318"/>
      <c r="T36" s="325">
        <v>2.931</v>
      </c>
      <c r="U36" s="318"/>
      <c r="V36" s="318"/>
      <c r="W36" s="318"/>
      <c r="X36" s="318"/>
      <c r="Y36" s="318"/>
      <c r="Z36" s="318"/>
      <c r="AA36" s="318"/>
      <c r="AB36" s="318"/>
      <c r="AC36" s="318"/>
      <c r="AD36" s="318"/>
      <c r="AE36" s="318"/>
      <c r="AF36" s="318"/>
      <c r="AG36" s="318"/>
      <c r="AH36" s="326"/>
    </row>
    <row r="37" spans="1:34" x14ac:dyDescent="0.2">
      <c r="A37" s="143"/>
      <c r="B37" s="143"/>
      <c r="C37" s="266">
        <v>4.0999999999999996</v>
      </c>
      <c r="D37" s="270">
        <v>144.52000000000001</v>
      </c>
      <c r="E37" s="143"/>
      <c r="F37" s="143"/>
      <c r="G37" s="143"/>
      <c r="H37" s="318" t="s">
        <v>923</v>
      </c>
      <c r="I37" s="318" t="s">
        <v>945</v>
      </c>
      <c r="J37" s="318" t="s">
        <v>921</v>
      </c>
      <c r="K37" s="318" t="s">
        <v>1170</v>
      </c>
      <c r="L37" s="320">
        <v>221.2</v>
      </c>
      <c r="M37" s="320">
        <v>374.13</v>
      </c>
      <c r="N37" s="320">
        <v>18.02</v>
      </c>
      <c r="O37" s="326">
        <v>1</v>
      </c>
      <c r="P37" s="321">
        <v>1.33</v>
      </c>
      <c r="Q37" s="318" t="s">
        <v>874</v>
      </c>
      <c r="R37" s="318" t="s">
        <v>875</v>
      </c>
      <c r="S37" s="325">
        <v>997.56</v>
      </c>
      <c r="T37" s="325">
        <v>0.80379999999999996</v>
      </c>
      <c r="U37" s="318">
        <v>19.850000000000001</v>
      </c>
      <c r="V37" s="318">
        <v>1</v>
      </c>
      <c r="W37" s="318">
        <v>0.5</v>
      </c>
      <c r="X37" s="318">
        <v>30</v>
      </c>
      <c r="Y37" s="318">
        <v>5</v>
      </c>
      <c r="Z37" s="318">
        <v>4.5</v>
      </c>
      <c r="AA37" s="318">
        <v>30</v>
      </c>
      <c r="AB37" s="318">
        <v>10</v>
      </c>
      <c r="AC37" s="318">
        <v>9.5</v>
      </c>
      <c r="AD37" s="318">
        <v>30</v>
      </c>
      <c r="AE37" s="318">
        <v>20</v>
      </c>
      <c r="AF37" s="318">
        <v>19.5</v>
      </c>
      <c r="AG37" s="318">
        <v>30</v>
      </c>
      <c r="AH37" s="327">
        <v>62.366300000000003</v>
      </c>
    </row>
    <row r="38" spans="1:34" x14ac:dyDescent="0.2">
      <c r="A38" s="143"/>
      <c r="B38" s="143"/>
      <c r="C38" s="267">
        <v>4.2</v>
      </c>
      <c r="D38" s="270">
        <v>145.38999999999999</v>
      </c>
      <c r="E38" s="143"/>
      <c r="F38" s="143"/>
      <c r="G38" s="143"/>
      <c r="H38" s="329" t="s">
        <v>964</v>
      </c>
      <c r="I38" s="102"/>
      <c r="J38" s="102"/>
      <c r="K38" s="329"/>
      <c r="L38" s="329"/>
      <c r="M38" s="102"/>
      <c r="N38" s="329"/>
      <c r="O38" s="329"/>
      <c r="P38" s="329"/>
      <c r="Q38" s="102"/>
      <c r="R38" s="102"/>
      <c r="S38" s="102"/>
      <c r="T38" s="329"/>
      <c r="U38" s="102"/>
      <c r="V38" s="102"/>
      <c r="W38" s="102"/>
      <c r="X38" s="102"/>
      <c r="Y38" s="102"/>
      <c r="Z38" s="102"/>
      <c r="AA38" s="102"/>
      <c r="AB38" s="102"/>
      <c r="AC38" s="102"/>
      <c r="AD38" s="102"/>
      <c r="AE38" s="102"/>
      <c r="AF38" s="102"/>
      <c r="AG38" s="102"/>
      <c r="AH38" s="102"/>
    </row>
    <row r="39" spans="1:34" x14ac:dyDescent="0.2">
      <c r="A39" s="143"/>
      <c r="B39" s="143"/>
      <c r="C39" s="266">
        <v>4.3</v>
      </c>
      <c r="D39" s="270">
        <v>146.25</v>
      </c>
      <c r="E39" s="143"/>
      <c r="F39" s="143"/>
      <c r="G39" s="143"/>
      <c r="H39" s="329" t="s">
        <v>1010</v>
      </c>
      <c r="I39" s="102"/>
      <c r="J39" s="102"/>
      <c r="K39" s="329"/>
      <c r="L39" s="329"/>
      <c r="M39" s="102"/>
      <c r="N39" s="329"/>
      <c r="O39" s="329"/>
      <c r="P39" s="329"/>
      <c r="Q39" s="102"/>
      <c r="R39" s="102"/>
      <c r="S39" s="102"/>
      <c r="T39" s="329"/>
      <c r="U39" s="102"/>
      <c r="V39" s="102"/>
      <c r="W39" s="102"/>
      <c r="X39" s="102"/>
      <c r="Y39" s="102"/>
      <c r="Z39" s="102"/>
      <c r="AA39" s="102"/>
      <c r="AB39" s="102"/>
      <c r="AC39" s="102"/>
      <c r="AD39" s="102"/>
      <c r="AE39" s="102"/>
      <c r="AF39" s="102"/>
      <c r="AG39" s="102"/>
      <c r="AH39" s="102"/>
    </row>
    <row r="40" spans="1:34" x14ac:dyDescent="0.2">
      <c r="A40" s="143"/>
      <c r="B40" s="143"/>
      <c r="C40" s="267">
        <v>4.4000000000000004</v>
      </c>
      <c r="D40" s="270">
        <v>147.09</v>
      </c>
      <c r="E40" s="143"/>
      <c r="F40" s="143"/>
      <c r="G40" s="143"/>
      <c r="H40" s="329"/>
      <c r="I40" s="102"/>
      <c r="J40" s="102"/>
      <c r="K40" s="102"/>
      <c r="L40" s="102"/>
      <c r="M40" s="281"/>
      <c r="N40" s="281"/>
      <c r="O40" s="281"/>
      <c r="P40" s="281"/>
      <c r="Q40" s="281"/>
      <c r="R40" s="281"/>
      <c r="S40" s="281"/>
      <c r="T40" s="281"/>
      <c r="U40" s="281"/>
      <c r="V40" s="281"/>
      <c r="W40" s="281"/>
      <c r="X40" s="281"/>
      <c r="Y40" s="281"/>
      <c r="Z40" s="281"/>
      <c r="AA40" s="281"/>
      <c r="AB40" s="281"/>
      <c r="AC40" s="281"/>
      <c r="AD40" s="281"/>
      <c r="AE40" s="281"/>
      <c r="AF40" s="281"/>
      <c r="AG40" s="281"/>
      <c r="AH40" s="281"/>
    </row>
    <row r="41" spans="1:34" x14ac:dyDescent="0.2">
      <c r="A41" s="143"/>
      <c r="B41" s="143"/>
      <c r="C41" s="266">
        <v>4.5</v>
      </c>
      <c r="D41" s="270">
        <v>147.91999999999999</v>
      </c>
      <c r="E41" s="143"/>
      <c r="F41" s="143"/>
      <c r="G41" s="143"/>
      <c r="H41" s="329"/>
      <c r="I41" s="102"/>
      <c r="J41" s="102"/>
      <c r="K41" s="102"/>
      <c r="L41" s="102"/>
      <c r="M41" s="281"/>
      <c r="N41" s="281"/>
      <c r="O41" s="281"/>
      <c r="P41" s="281"/>
      <c r="Q41" s="281"/>
      <c r="R41" s="281"/>
      <c r="S41" s="281"/>
      <c r="T41" s="281"/>
      <c r="U41" s="281"/>
      <c r="V41" s="281"/>
      <c r="W41" s="281"/>
      <c r="X41" s="281"/>
      <c r="Y41" s="281"/>
      <c r="Z41" s="281"/>
      <c r="AA41" s="281"/>
      <c r="AB41" s="281"/>
      <c r="AC41" s="281"/>
      <c r="AD41" s="281"/>
      <c r="AE41" s="281"/>
      <c r="AF41" s="281"/>
      <c r="AG41" s="281"/>
      <c r="AH41" s="281"/>
    </row>
    <row r="42" spans="1:34" x14ac:dyDescent="0.2">
      <c r="C42" s="267">
        <v>4.5999999999999996</v>
      </c>
      <c r="D42" s="270">
        <v>148.72999999999999</v>
      </c>
      <c r="H42" s="329"/>
      <c r="I42" s="102"/>
      <c r="J42" s="102"/>
      <c r="K42" s="102"/>
      <c r="L42" s="102"/>
      <c r="M42" s="281"/>
      <c r="N42" s="281"/>
      <c r="O42" s="281"/>
      <c r="P42" s="281"/>
      <c r="Q42" s="281"/>
      <c r="R42" s="281"/>
      <c r="S42" s="281"/>
      <c r="T42" s="281"/>
      <c r="U42" s="281"/>
      <c r="V42" s="281"/>
      <c r="W42" s="281"/>
      <c r="X42" s="281"/>
      <c r="Y42" s="281"/>
      <c r="Z42" s="281"/>
      <c r="AA42" s="281"/>
      <c r="AB42" s="281"/>
      <c r="AC42" s="281"/>
      <c r="AD42" s="281"/>
      <c r="AE42" s="281"/>
      <c r="AF42" s="281"/>
      <c r="AG42" s="281"/>
      <c r="AH42" s="281"/>
    </row>
    <row r="43" spans="1:34" x14ac:dyDescent="0.2">
      <c r="C43" s="266">
        <v>4.7</v>
      </c>
      <c r="D43" s="270">
        <v>149.53</v>
      </c>
      <c r="H43" s="329"/>
      <c r="I43" s="102"/>
      <c r="J43" s="102"/>
      <c r="K43" s="102"/>
      <c r="L43" s="102"/>
      <c r="M43" s="281"/>
      <c r="N43" s="281"/>
      <c r="O43" s="281"/>
      <c r="P43" s="281"/>
      <c r="Q43" s="281"/>
      <c r="R43" s="281"/>
      <c r="S43" s="281"/>
      <c r="T43" s="281"/>
      <c r="U43" s="281"/>
      <c r="V43" s="281"/>
      <c r="W43" s="281"/>
      <c r="X43" s="281"/>
      <c r="Y43" s="281"/>
      <c r="Z43" s="281"/>
      <c r="AA43" s="281"/>
      <c r="AB43" s="281"/>
      <c r="AC43" s="281"/>
      <c r="AD43" s="281"/>
      <c r="AE43" s="281"/>
      <c r="AF43" s="281"/>
      <c r="AG43" s="281"/>
      <c r="AH43" s="281"/>
    </row>
    <row r="44" spans="1:34" x14ac:dyDescent="0.2">
      <c r="C44" s="267">
        <v>4.8</v>
      </c>
      <c r="D44" s="268">
        <v>150.32</v>
      </c>
      <c r="H44" s="329"/>
      <c r="I44" s="102"/>
      <c r="J44" s="102"/>
      <c r="K44" s="102"/>
      <c r="L44" s="102"/>
      <c r="M44" s="281"/>
      <c r="N44" s="281"/>
      <c r="O44" s="281"/>
      <c r="P44" s="281"/>
      <c r="Q44" s="281"/>
      <c r="R44" s="281"/>
      <c r="S44" s="281"/>
      <c r="T44" s="281"/>
      <c r="U44" s="281"/>
      <c r="V44" s="281"/>
      <c r="W44" s="281"/>
      <c r="X44" s="281"/>
      <c r="Y44" s="281"/>
      <c r="Z44" s="281"/>
      <c r="AA44" s="281"/>
      <c r="AB44" s="281"/>
      <c r="AC44" s="281"/>
      <c r="AD44" s="281"/>
      <c r="AE44" s="281"/>
      <c r="AF44" s="281"/>
      <c r="AG44" s="281"/>
      <c r="AH44" s="281"/>
    </row>
    <row r="45" spans="1:34" x14ac:dyDescent="0.2">
      <c r="C45" s="266">
        <v>4.9000000000000004</v>
      </c>
      <c r="D45" s="268">
        <v>151.09</v>
      </c>
      <c r="H45" s="329"/>
      <c r="I45" s="102"/>
      <c r="J45" s="102"/>
      <c r="K45" s="102"/>
      <c r="L45" s="102"/>
      <c r="M45" s="281"/>
      <c r="N45" s="281"/>
      <c r="O45" s="281"/>
      <c r="P45" s="281"/>
      <c r="Q45" s="281"/>
      <c r="R45" s="281"/>
      <c r="S45" s="281"/>
      <c r="T45" s="281"/>
      <c r="U45" s="281"/>
      <c r="V45" s="281"/>
      <c r="W45" s="281"/>
      <c r="X45" s="281"/>
      <c r="Y45" s="281"/>
      <c r="Z45" s="281"/>
      <c r="AA45" s="281"/>
      <c r="AB45" s="281"/>
      <c r="AC45" s="281"/>
      <c r="AD45" s="281"/>
      <c r="AE45" s="281"/>
      <c r="AF45" s="281"/>
      <c r="AG45" s="281"/>
      <c r="AH45" s="281"/>
    </row>
    <row r="46" spans="1:34" x14ac:dyDescent="0.2">
      <c r="C46" s="267">
        <v>5</v>
      </c>
      <c r="D46" s="268">
        <v>151.85</v>
      </c>
    </row>
    <row r="47" spans="1:34" x14ac:dyDescent="0.2">
      <c r="C47" s="266">
        <v>5.0999999999999996</v>
      </c>
      <c r="D47" s="268">
        <v>152.6</v>
      </c>
      <c r="H47" s="324" t="s">
        <v>963</v>
      </c>
    </row>
    <row r="48" spans="1:34" x14ac:dyDescent="0.2">
      <c r="C48" s="267">
        <v>5.2</v>
      </c>
      <c r="D48" s="268">
        <v>153.33000000000001</v>
      </c>
    </row>
    <row r="49" spans="3:17" x14ac:dyDescent="0.2">
      <c r="C49" s="266">
        <v>5.3</v>
      </c>
      <c r="D49" s="268">
        <v>154.06</v>
      </c>
    </row>
    <row r="50" spans="3:17" x14ac:dyDescent="0.2">
      <c r="C50" s="267">
        <v>5.4</v>
      </c>
      <c r="D50" s="268">
        <v>154.77000000000001</v>
      </c>
    </row>
    <row r="51" spans="3:17" x14ac:dyDescent="0.2">
      <c r="C51" s="266">
        <v>5.5</v>
      </c>
      <c r="D51" s="268">
        <v>155.47</v>
      </c>
    </row>
    <row r="52" spans="3:17" x14ac:dyDescent="0.2">
      <c r="C52" s="267">
        <v>5.6</v>
      </c>
      <c r="D52" s="268">
        <v>156.16999999999999</v>
      </c>
    </row>
    <row r="53" spans="3:17" x14ac:dyDescent="0.2">
      <c r="C53" s="266">
        <v>5.7</v>
      </c>
      <c r="D53" s="268">
        <v>156.85</v>
      </c>
    </row>
    <row r="54" spans="3:17" x14ac:dyDescent="0.2">
      <c r="C54" s="267">
        <v>5.8</v>
      </c>
      <c r="D54" s="268">
        <v>157.52000000000001</v>
      </c>
      <c r="I54"/>
    </row>
    <row r="55" spans="3:17" x14ac:dyDescent="0.2">
      <c r="C55" s="266">
        <v>5.9</v>
      </c>
      <c r="D55" s="268">
        <v>158.19</v>
      </c>
    </row>
    <row r="56" spans="3:17" x14ac:dyDescent="0.2">
      <c r="C56" s="267">
        <v>6</v>
      </c>
      <c r="D56" s="268">
        <v>158.84</v>
      </c>
    </row>
    <row r="57" spans="3:17" x14ac:dyDescent="0.2">
      <c r="C57" s="266">
        <v>6.1</v>
      </c>
      <c r="D57" s="268">
        <v>159.49</v>
      </c>
    </row>
    <row r="58" spans="3:17" x14ac:dyDescent="0.2">
      <c r="C58" s="267">
        <v>6.2</v>
      </c>
      <c r="D58" s="268">
        <v>160.13</v>
      </c>
    </row>
    <row r="59" spans="3:17" x14ac:dyDescent="0.2">
      <c r="C59" s="266">
        <v>6.3</v>
      </c>
      <c r="D59" s="268">
        <v>160.76</v>
      </c>
    </row>
    <row r="60" spans="3:17" x14ac:dyDescent="0.2">
      <c r="C60" s="267">
        <v>6.4</v>
      </c>
      <c r="D60" s="268">
        <v>161.38</v>
      </c>
    </row>
    <row r="61" spans="3:17" x14ac:dyDescent="0.2">
      <c r="C61" s="266">
        <v>6.5000000000000098</v>
      </c>
      <c r="D61" s="268">
        <v>161.99</v>
      </c>
    </row>
    <row r="62" spans="3:17" x14ac:dyDescent="0.2">
      <c r="C62" s="267">
        <v>6.6</v>
      </c>
      <c r="D62" s="268">
        <v>162.6</v>
      </c>
      <c r="K62" s="314"/>
      <c r="L62" s="314"/>
      <c r="M62" s="314"/>
      <c r="N62" s="314"/>
      <c r="O62" s="314"/>
      <c r="P62" s="314"/>
      <c r="Q62" s="314"/>
    </row>
    <row r="63" spans="3:17" x14ac:dyDescent="0.2">
      <c r="C63" s="266">
        <v>6.7</v>
      </c>
      <c r="D63" s="268">
        <v>163.19999999999999</v>
      </c>
      <c r="K63" s="314"/>
      <c r="L63" s="314"/>
      <c r="M63" s="314"/>
      <c r="N63" s="314"/>
      <c r="O63" s="314"/>
      <c r="P63" s="314"/>
      <c r="Q63" s="314"/>
    </row>
    <row r="64" spans="3:17" x14ac:dyDescent="0.2">
      <c r="C64" s="267">
        <v>6.8000000000000096</v>
      </c>
      <c r="D64" s="268">
        <v>163.79</v>
      </c>
      <c r="K64" s="314"/>
      <c r="L64" s="314"/>
      <c r="M64" s="314"/>
      <c r="N64" s="314"/>
      <c r="O64" s="314"/>
      <c r="P64" s="314"/>
      <c r="Q64" s="314"/>
    </row>
    <row r="65" spans="3:17" x14ac:dyDescent="0.2">
      <c r="C65" s="266">
        <v>6.9000000000000101</v>
      </c>
      <c r="D65" s="268">
        <v>164.38</v>
      </c>
      <c r="K65" s="314"/>
      <c r="L65" s="314"/>
      <c r="M65" s="314"/>
      <c r="N65" s="314"/>
      <c r="O65" s="314"/>
      <c r="P65" s="314"/>
      <c r="Q65" s="314"/>
    </row>
    <row r="66" spans="3:17" ht="15" x14ac:dyDescent="0.2">
      <c r="C66" s="267">
        <v>7.0000000000000098</v>
      </c>
      <c r="D66" s="269">
        <v>164.96</v>
      </c>
      <c r="J66" s="274"/>
      <c r="K66" s="302"/>
      <c r="L66" s="849"/>
      <c r="M66" s="849"/>
      <c r="N66" s="849"/>
      <c r="O66" s="849"/>
      <c r="P66" s="849"/>
      <c r="Q66" s="314"/>
    </row>
    <row r="67" spans="3:17" x14ac:dyDescent="0.2">
      <c r="C67" s="266">
        <v>7.1</v>
      </c>
      <c r="D67" s="268">
        <v>165.53</v>
      </c>
      <c r="J67" s="274"/>
      <c r="K67" s="274"/>
      <c r="L67" s="850"/>
      <c r="M67" s="850"/>
      <c r="N67" s="850"/>
      <c r="O67" s="850"/>
      <c r="P67" s="850"/>
      <c r="Q67" s="314"/>
    </row>
    <row r="68" spans="3:17" x14ac:dyDescent="0.2">
      <c r="C68" s="267">
        <v>7.2000000000000099</v>
      </c>
      <c r="D68" s="268">
        <v>166.1</v>
      </c>
      <c r="J68" s="274"/>
      <c r="K68" s="274"/>
      <c r="L68" s="274"/>
      <c r="M68" s="274"/>
      <c r="N68" s="274"/>
      <c r="O68" s="274"/>
      <c r="P68" s="274"/>
      <c r="Q68" s="314"/>
    </row>
    <row r="69" spans="3:17" x14ac:dyDescent="0.2">
      <c r="C69" s="266">
        <v>7.3000000000000096</v>
      </c>
      <c r="D69" s="268">
        <v>166.66</v>
      </c>
      <c r="J69" s="272"/>
      <c r="K69" s="272"/>
      <c r="L69" s="272"/>
      <c r="M69" s="272"/>
      <c r="N69" s="272"/>
      <c r="O69" s="272"/>
      <c r="P69" s="272"/>
      <c r="Q69" s="314"/>
    </row>
    <row r="70" spans="3:17" x14ac:dyDescent="0.2">
      <c r="C70" s="267">
        <v>7.4000000000000101</v>
      </c>
      <c r="D70" s="268">
        <v>167.21</v>
      </c>
      <c r="J70" s="272"/>
      <c r="K70" s="272"/>
      <c r="L70" s="272"/>
      <c r="M70" s="272"/>
      <c r="N70" s="272"/>
      <c r="O70" s="272"/>
      <c r="P70" s="272"/>
      <c r="Q70" s="314"/>
    </row>
    <row r="71" spans="3:17" x14ac:dyDescent="0.2">
      <c r="C71" s="266">
        <v>7.5000000000000098</v>
      </c>
      <c r="D71" s="268">
        <v>167.76</v>
      </c>
      <c r="J71" s="272"/>
      <c r="K71" s="272"/>
      <c r="L71" s="272"/>
      <c r="M71" s="272"/>
      <c r="N71" s="272"/>
      <c r="O71" s="272"/>
      <c r="P71" s="272"/>
      <c r="Q71" s="314"/>
    </row>
    <row r="72" spans="3:17" x14ac:dyDescent="0.2">
      <c r="C72" s="267">
        <v>7.6000000000000103</v>
      </c>
      <c r="D72" s="268">
        <v>168.3</v>
      </c>
      <c r="J72" s="272"/>
      <c r="K72" s="272"/>
      <c r="L72" s="272"/>
      <c r="M72" s="272"/>
      <c r="N72" s="272"/>
      <c r="O72" s="272"/>
      <c r="P72" s="272"/>
      <c r="Q72" s="314"/>
    </row>
    <row r="73" spans="3:17" x14ac:dyDescent="0.2">
      <c r="C73" s="266">
        <v>7.7000000000000099</v>
      </c>
      <c r="D73" s="268">
        <v>168.84</v>
      </c>
      <c r="J73" s="272"/>
      <c r="K73" s="272"/>
      <c r="L73" s="272"/>
      <c r="M73" s="272"/>
      <c r="N73" s="272"/>
      <c r="O73" s="272"/>
      <c r="P73" s="272"/>
      <c r="Q73" s="314"/>
    </row>
    <row r="74" spans="3:17" x14ac:dyDescent="0.2">
      <c r="C74" s="267">
        <v>7.8000000000000096</v>
      </c>
      <c r="D74" s="268">
        <v>169.37</v>
      </c>
      <c r="J74" s="272"/>
      <c r="K74" s="272"/>
      <c r="L74" s="272"/>
      <c r="M74" s="272"/>
      <c r="N74" s="272"/>
      <c r="O74" s="272"/>
      <c r="P74" s="272"/>
      <c r="Q74" s="314"/>
    </row>
    <row r="75" spans="3:17" x14ac:dyDescent="0.2">
      <c r="C75" s="266">
        <v>7.9000000000000101</v>
      </c>
      <c r="D75" s="268">
        <v>169.9</v>
      </c>
      <c r="J75" s="272"/>
      <c r="K75" s="272"/>
      <c r="L75" s="272"/>
      <c r="M75" s="272"/>
      <c r="N75" s="272"/>
      <c r="O75" s="272"/>
      <c r="P75" s="272"/>
      <c r="Q75" s="314"/>
    </row>
    <row r="76" spans="3:17" x14ac:dyDescent="0.2">
      <c r="C76" s="267">
        <v>8.0000000000000107</v>
      </c>
      <c r="D76" s="268">
        <v>170.42</v>
      </c>
      <c r="J76" s="272"/>
      <c r="K76" s="272"/>
      <c r="L76" s="272"/>
      <c r="M76" s="272"/>
      <c r="N76" s="272"/>
      <c r="O76" s="272"/>
      <c r="P76" s="272"/>
      <c r="Q76" s="314"/>
    </row>
    <row r="77" spans="3:17" x14ac:dyDescent="0.2">
      <c r="C77" s="266">
        <v>8.1000000000000103</v>
      </c>
      <c r="D77" s="268">
        <v>170.94</v>
      </c>
      <c r="J77" s="150"/>
      <c r="K77" s="150"/>
      <c r="L77" s="150"/>
      <c r="M77" s="150"/>
      <c r="N77" s="272"/>
      <c r="O77" s="150"/>
      <c r="P77" s="150"/>
      <c r="Q77" s="314"/>
    </row>
    <row r="78" spans="3:17" x14ac:dyDescent="0.2">
      <c r="C78" s="267">
        <v>8.2000000000000099</v>
      </c>
      <c r="D78" s="268">
        <v>171.45</v>
      </c>
      <c r="J78" s="272"/>
      <c r="K78" s="272"/>
      <c r="L78" s="150"/>
      <c r="M78" s="150"/>
      <c r="N78" s="150"/>
      <c r="O78" s="272"/>
      <c r="P78" s="272"/>
      <c r="Q78" s="314"/>
    </row>
    <row r="79" spans="3:17" x14ac:dyDescent="0.2">
      <c r="C79" s="266">
        <v>8.3000000000000096</v>
      </c>
      <c r="D79" s="268">
        <v>171.95</v>
      </c>
      <c r="J79" s="272"/>
      <c r="K79" s="272"/>
      <c r="L79" s="150"/>
      <c r="M79" s="150"/>
      <c r="N79" s="150"/>
      <c r="O79" s="272"/>
      <c r="P79" s="272"/>
      <c r="Q79" s="314"/>
    </row>
    <row r="80" spans="3:17" x14ac:dyDescent="0.2">
      <c r="C80" s="267">
        <v>8.4000000000000092</v>
      </c>
      <c r="D80" s="268">
        <v>172.45</v>
      </c>
      <c r="J80" s="150"/>
      <c r="K80" s="150"/>
      <c r="L80" s="150"/>
      <c r="M80" s="150"/>
      <c r="N80" s="150"/>
      <c r="O80" s="150"/>
      <c r="P80" s="150"/>
      <c r="Q80" s="314"/>
    </row>
    <row r="81" spans="3:17" x14ac:dyDescent="0.2">
      <c r="C81" s="266">
        <v>8.5000000000000107</v>
      </c>
      <c r="D81" s="268">
        <v>172.95</v>
      </c>
      <c r="J81" s="272"/>
      <c r="K81" s="272"/>
      <c r="L81" s="150"/>
      <c r="M81" s="150"/>
      <c r="N81" s="272"/>
      <c r="O81" s="272"/>
      <c r="P81" s="272"/>
      <c r="Q81" s="314"/>
    </row>
    <row r="82" spans="3:17" x14ac:dyDescent="0.2">
      <c r="C82" s="267">
        <v>8.6000000000000103</v>
      </c>
      <c r="D82" s="268">
        <v>173.44</v>
      </c>
      <c r="J82" s="150"/>
      <c r="K82" s="150"/>
      <c r="L82" s="150"/>
      <c r="M82" s="150"/>
      <c r="N82" s="273"/>
      <c r="O82" s="150"/>
      <c r="P82" s="150"/>
      <c r="Q82" s="314"/>
    </row>
    <row r="83" spans="3:17" x14ac:dyDescent="0.2">
      <c r="C83" s="266">
        <v>8.7000000000000099</v>
      </c>
      <c r="D83" s="268">
        <v>173.93</v>
      </c>
      <c r="J83" s="150"/>
      <c r="K83" s="150"/>
      <c r="L83" s="150"/>
      <c r="M83" s="150"/>
      <c r="N83" s="150"/>
      <c r="O83" s="150"/>
      <c r="P83" s="150"/>
      <c r="Q83" s="314"/>
    </row>
    <row r="84" spans="3:17" x14ac:dyDescent="0.2">
      <c r="C84" s="267">
        <v>8.8000000000000096</v>
      </c>
      <c r="D84" s="268">
        <v>174.41</v>
      </c>
      <c r="J84" s="272"/>
      <c r="K84" s="272"/>
      <c r="L84" s="150"/>
      <c r="M84" s="150"/>
      <c r="N84" s="272"/>
      <c r="O84" s="272"/>
      <c r="P84" s="272"/>
      <c r="Q84" s="314"/>
    </row>
    <row r="85" spans="3:17" x14ac:dyDescent="0.2">
      <c r="C85" s="266">
        <v>8.9000000000000092</v>
      </c>
      <c r="D85" s="268">
        <v>174.89</v>
      </c>
      <c r="J85" s="272"/>
      <c r="K85" s="272"/>
      <c r="L85" s="150"/>
      <c r="M85" s="150"/>
      <c r="N85" s="272"/>
      <c r="O85" s="272"/>
      <c r="P85" s="272"/>
      <c r="Q85" s="314"/>
    </row>
    <row r="86" spans="3:17" x14ac:dyDescent="0.2">
      <c r="C86" s="267">
        <v>9.0000000000000107</v>
      </c>
      <c r="D86" s="268">
        <v>175.36</v>
      </c>
      <c r="J86" s="150"/>
      <c r="K86" s="150"/>
      <c r="L86" s="150"/>
      <c r="M86" s="150"/>
      <c r="N86" s="150"/>
      <c r="O86" s="150"/>
      <c r="P86" s="150"/>
      <c r="Q86" s="314"/>
    </row>
    <row r="87" spans="3:17" x14ac:dyDescent="0.2">
      <c r="C87" s="266">
        <v>9.1000000000000103</v>
      </c>
      <c r="D87" s="268">
        <v>175.83</v>
      </c>
      <c r="J87" s="150"/>
      <c r="K87" s="150"/>
      <c r="L87" s="150"/>
      <c r="M87" s="150"/>
      <c r="N87" s="150"/>
      <c r="O87" s="150"/>
      <c r="P87" s="150"/>
      <c r="Q87" s="314"/>
    </row>
    <row r="88" spans="3:17" x14ac:dyDescent="0.2">
      <c r="C88" s="267">
        <v>9.2000000000000099</v>
      </c>
      <c r="D88" s="268">
        <v>176.3</v>
      </c>
      <c r="J88" s="150"/>
      <c r="K88" s="150"/>
      <c r="L88" s="150"/>
      <c r="M88" s="150"/>
      <c r="N88" s="150"/>
      <c r="O88" s="315"/>
      <c r="P88" s="150"/>
      <c r="Q88" s="316"/>
    </row>
    <row r="89" spans="3:17" x14ac:dyDescent="0.2">
      <c r="C89" s="266">
        <v>9.3000000000000096</v>
      </c>
      <c r="D89" s="268">
        <v>176.76</v>
      </c>
      <c r="J89" s="272"/>
      <c r="K89" s="150"/>
      <c r="L89" s="150"/>
      <c r="M89" s="150"/>
      <c r="N89" s="272"/>
      <c r="O89" s="272"/>
      <c r="P89" s="150"/>
      <c r="Q89" s="314"/>
    </row>
    <row r="90" spans="3:17" x14ac:dyDescent="0.2">
      <c r="C90" s="267">
        <v>9.4000000000000092</v>
      </c>
      <c r="D90" s="268">
        <v>177.22</v>
      </c>
      <c r="J90" s="272"/>
      <c r="K90" s="150"/>
      <c r="L90" s="150"/>
      <c r="M90" s="150"/>
      <c r="N90" s="272"/>
      <c r="O90" s="272"/>
      <c r="P90" s="150"/>
      <c r="Q90" s="314"/>
    </row>
    <row r="91" spans="3:17" x14ac:dyDescent="0.2">
      <c r="C91" s="266">
        <v>9.5000000000000107</v>
      </c>
      <c r="D91" s="268">
        <v>177.67</v>
      </c>
      <c r="J91" s="150"/>
      <c r="K91" s="150"/>
      <c r="L91" s="150"/>
      <c r="M91" s="150"/>
      <c r="N91" s="150"/>
      <c r="O91" s="150"/>
      <c r="P91" s="150"/>
      <c r="Q91" s="314"/>
    </row>
    <row r="92" spans="3:17" x14ac:dyDescent="0.2">
      <c r="C92" s="267">
        <v>9.6000000000000103</v>
      </c>
      <c r="D92" s="268">
        <v>178.12</v>
      </c>
      <c r="J92" s="150"/>
      <c r="K92" s="150"/>
      <c r="L92" s="150"/>
      <c r="M92" s="150"/>
      <c r="N92" s="150"/>
      <c r="O92" s="150"/>
      <c r="P92" s="150"/>
      <c r="Q92" s="314"/>
    </row>
    <row r="93" spans="3:17" x14ac:dyDescent="0.2">
      <c r="C93" s="266">
        <v>9.7000000000000099</v>
      </c>
      <c r="D93" s="268">
        <v>178.57</v>
      </c>
      <c r="K93" s="314"/>
      <c r="L93" s="314"/>
      <c r="M93" s="314"/>
      <c r="N93" s="314"/>
      <c r="O93" s="314"/>
      <c r="P93" s="314"/>
      <c r="Q93" s="314"/>
    </row>
    <row r="94" spans="3:17" x14ac:dyDescent="0.2">
      <c r="C94" s="267">
        <v>9.8000000000000096</v>
      </c>
      <c r="D94" s="268">
        <v>179.01</v>
      </c>
      <c r="K94" s="314"/>
      <c r="L94" s="314"/>
      <c r="M94" s="314"/>
      <c r="N94" s="314"/>
      <c r="O94" s="314"/>
      <c r="P94" s="314"/>
      <c r="Q94" s="314"/>
    </row>
    <row r="95" spans="3:17" x14ac:dyDescent="0.2">
      <c r="C95" s="266">
        <v>9.9000000000000092</v>
      </c>
      <c r="D95" s="268">
        <v>179.45</v>
      </c>
    </row>
    <row r="96" spans="3:17" x14ac:dyDescent="0.2">
      <c r="C96" s="267">
        <v>10</v>
      </c>
      <c r="D96" s="268">
        <v>179.89</v>
      </c>
    </row>
    <row r="97" spans="3:4" x14ac:dyDescent="0.2">
      <c r="C97" s="266">
        <v>10.1</v>
      </c>
      <c r="D97" s="268">
        <v>180.32</v>
      </c>
    </row>
    <row r="98" spans="3:4" x14ac:dyDescent="0.2">
      <c r="C98" s="267">
        <v>10.199999999999999</v>
      </c>
      <c r="D98" s="268">
        <v>180.75</v>
      </c>
    </row>
    <row r="99" spans="3:4" x14ac:dyDescent="0.2">
      <c r="C99" s="266">
        <v>10.3</v>
      </c>
      <c r="D99" s="268">
        <v>181.18</v>
      </c>
    </row>
    <row r="100" spans="3:4" x14ac:dyDescent="0.2">
      <c r="C100" s="267">
        <v>10.4</v>
      </c>
      <c r="D100" s="268">
        <v>181.6</v>
      </c>
    </row>
    <row r="101" spans="3:4" x14ac:dyDescent="0.2">
      <c r="C101" s="266">
        <v>10.5</v>
      </c>
      <c r="D101" s="268">
        <v>182.02</v>
      </c>
    </row>
    <row r="102" spans="3:4" x14ac:dyDescent="0.2">
      <c r="C102" s="267">
        <v>10.6</v>
      </c>
      <c r="D102" s="268">
        <v>182.44</v>
      </c>
    </row>
    <row r="103" spans="3:4" x14ac:dyDescent="0.2">
      <c r="C103" s="266">
        <v>10.7</v>
      </c>
      <c r="D103" s="268">
        <v>182.85</v>
      </c>
    </row>
    <row r="104" spans="3:4" x14ac:dyDescent="0.2">
      <c r="C104" s="267">
        <v>10.8</v>
      </c>
      <c r="D104" s="268">
        <v>183.26</v>
      </c>
    </row>
    <row r="105" spans="3:4" x14ac:dyDescent="0.2">
      <c r="C105" s="266">
        <v>10.9</v>
      </c>
      <c r="D105" s="268">
        <v>183.67</v>
      </c>
    </row>
    <row r="106" spans="3:4" x14ac:dyDescent="0.2">
      <c r="C106" s="267">
        <v>11</v>
      </c>
      <c r="D106" s="268">
        <v>184.07</v>
      </c>
    </row>
    <row r="107" spans="3:4" x14ac:dyDescent="0.2">
      <c r="C107" s="266">
        <v>11.1</v>
      </c>
      <c r="D107" s="268">
        <v>184.47</v>
      </c>
    </row>
    <row r="108" spans="3:4" x14ac:dyDescent="0.2">
      <c r="C108" s="267">
        <v>11.2</v>
      </c>
      <c r="D108" s="268">
        <v>184.87</v>
      </c>
    </row>
    <row r="109" spans="3:4" x14ac:dyDescent="0.2">
      <c r="C109" s="266">
        <v>11.3</v>
      </c>
      <c r="D109" s="268">
        <v>185.27</v>
      </c>
    </row>
    <row r="110" spans="3:4" x14ac:dyDescent="0.2">
      <c r="C110" s="267">
        <v>11.4</v>
      </c>
      <c r="D110" s="268">
        <v>185.66</v>
      </c>
    </row>
    <row r="111" spans="3:4" x14ac:dyDescent="0.2">
      <c r="C111" s="266">
        <v>11.5</v>
      </c>
      <c r="D111" s="268">
        <v>186.05</v>
      </c>
    </row>
    <row r="112" spans="3:4" x14ac:dyDescent="0.2">
      <c r="C112" s="267">
        <v>11.6</v>
      </c>
      <c r="D112" s="268">
        <v>186.44</v>
      </c>
    </row>
    <row r="113" spans="3:4" x14ac:dyDescent="0.2">
      <c r="C113" s="266">
        <v>11.7</v>
      </c>
      <c r="D113" s="268">
        <v>186.83</v>
      </c>
    </row>
    <row r="114" spans="3:4" x14ac:dyDescent="0.2">
      <c r="C114" s="267">
        <v>11.8</v>
      </c>
      <c r="D114" s="268">
        <v>187.21</v>
      </c>
    </row>
    <row r="115" spans="3:4" x14ac:dyDescent="0.2">
      <c r="C115" s="266">
        <v>11.9</v>
      </c>
      <c r="D115" s="268">
        <v>187.59</v>
      </c>
    </row>
    <row r="116" spans="3:4" x14ac:dyDescent="0.2">
      <c r="C116" s="267">
        <v>12</v>
      </c>
      <c r="D116" s="268">
        <v>187.97</v>
      </c>
    </row>
    <row r="117" spans="3:4" x14ac:dyDescent="0.2">
      <c r="C117" s="266">
        <v>12.1</v>
      </c>
      <c r="D117" s="268">
        <v>188.34</v>
      </c>
    </row>
    <row r="118" spans="3:4" x14ac:dyDescent="0.2">
      <c r="C118" s="267">
        <v>12.2</v>
      </c>
      <c r="D118" s="268">
        <v>188.71</v>
      </c>
    </row>
    <row r="119" spans="3:4" x14ac:dyDescent="0.2">
      <c r="C119" s="266">
        <v>12.3</v>
      </c>
      <c r="D119" s="268">
        <v>189.08</v>
      </c>
    </row>
    <row r="120" spans="3:4" x14ac:dyDescent="0.2">
      <c r="C120" s="267">
        <v>12.4</v>
      </c>
      <c r="D120" s="268">
        <v>189.45</v>
      </c>
    </row>
    <row r="121" spans="3:4" x14ac:dyDescent="0.2">
      <c r="C121" s="266">
        <v>12.5</v>
      </c>
      <c r="D121" s="268">
        <v>189.82</v>
      </c>
    </row>
    <row r="122" spans="3:4" x14ac:dyDescent="0.2">
      <c r="C122" s="267">
        <v>12.6</v>
      </c>
      <c r="D122" s="268">
        <v>190.18</v>
      </c>
    </row>
    <row r="123" spans="3:4" x14ac:dyDescent="0.2">
      <c r="C123" s="266">
        <v>12.7</v>
      </c>
      <c r="D123" s="268">
        <v>190.54</v>
      </c>
    </row>
    <row r="124" spans="3:4" x14ac:dyDescent="0.2">
      <c r="C124" s="267">
        <v>12.8</v>
      </c>
      <c r="D124" s="268">
        <v>190.9</v>
      </c>
    </row>
    <row r="125" spans="3:4" x14ac:dyDescent="0.2">
      <c r="C125" s="266">
        <v>12.9</v>
      </c>
      <c r="D125" s="268">
        <v>191.26</v>
      </c>
    </row>
    <row r="126" spans="3:4" x14ac:dyDescent="0.2">
      <c r="C126" s="267">
        <v>13</v>
      </c>
      <c r="D126" s="268">
        <v>191.61</v>
      </c>
    </row>
    <row r="127" spans="3:4" x14ac:dyDescent="0.2">
      <c r="C127" s="266">
        <v>13.1</v>
      </c>
      <c r="D127" s="268">
        <v>191.97</v>
      </c>
    </row>
    <row r="128" spans="3:4" x14ac:dyDescent="0.2">
      <c r="C128" s="267">
        <v>13.2</v>
      </c>
      <c r="D128" s="268">
        <v>192.32</v>
      </c>
    </row>
    <row r="129" spans="3:4" x14ac:dyDescent="0.2">
      <c r="C129" s="266">
        <v>13.3</v>
      </c>
      <c r="D129" s="268">
        <v>192.66</v>
      </c>
    </row>
    <row r="130" spans="3:4" x14ac:dyDescent="0.2">
      <c r="C130" s="267">
        <v>13.4</v>
      </c>
      <c r="D130" s="268">
        <v>193.01</v>
      </c>
    </row>
    <row r="131" spans="3:4" x14ac:dyDescent="0.2">
      <c r="C131" s="266">
        <v>13.5</v>
      </c>
      <c r="D131" s="268">
        <v>193.35</v>
      </c>
    </row>
    <row r="132" spans="3:4" x14ac:dyDescent="0.2">
      <c r="C132" s="267">
        <v>13.6</v>
      </c>
      <c r="D132" s="268">
        <v>193.7</v>
      </c>
    </row>
    <row r="133" spans="3:4" x14ac:dyDescent="0.2">
      <c r="C133" s="266">
        <v>13.7</v>
      </c>
      <c r="D133" s="268">
        <v>194.04</v>
      </c>
    </row>
    <row r="134" spans="3:4" x14ac:dyDescent="0.2">
      <c r="C134" s="267">
        <v>13.8</v>
      </c>
      <c r="D134" s="268">
        <v>194.38</v>
      </c>
    </row>
    <row r="135" spans="3:4" x14ac:dyDescent="0.2">
      <c r="C135" s="266">
        <v>13.9</v>
      </c>
      <c r="D135" s="268">
        <v>194.71</v>
      </c>
    </row>
    <row r="136" spans="3:4" x14ac:dyDescent="0.2">
      <c r="C136" s="267">
        <v>14</v>
      </c>
      <c r="D136" s="268">
        <v>195.05</v>
      </c>
    </row>
    <row r="137" spans="3:4" x14ac:dyDescent="0.2">
      <c r="C137" s="266">
        <v>14.1</v>
      </c>
      <c r="D137" s="268">
        <v>195.38</v>
      </c>
    </row>
    <row r="138" spans="3:4" x14ac:dyDescent="0.2">
      <c r="C138" s="267">
        <v>14.2</v>
      </c>
      <c r="D138" s="268">
        <v>195.71</v>
      </c>
    </row>
    <row r="139" spans="3:4" x14ac:dyDescent="0.2">
      <c r="C139" s="266">
        <v>14.3</v>
      </c>
      <c r="D139" s="268">
        <v>196.04</v>
      </c>
    </row>
    <row r="140" spans="3:4" x14ac:dyDescent="0.2">
      <c r="C140" s="267">
        <v>14.4</v>
      </c>
      <c r="D140" s="268">
        <v>196.37</v>
      </c>
    </row>
    <row r="141" spans="3:4" x14ac:dyDescent="0.2">
      <c r="C141" s="266">
        <v>14.5</v>
      </c>
      <c r="D141" s="268">
        <v>196.69</v>
      </c>
    </row>
    <row r="142" spans="3:4" x14ac:dyDescent="0.2">
      <c r="C142" s="267">
        <v>14.6</v>
      </c>
      <c r="D142" s="268">
        <v>197.02</v>
      </c>
    </row>
    <row r="143" spans="3:4" x14ac:dyDescent="0.2">
      <c r="C143" s="266">
        <v>14.7</v>
      </c>
      <c r="D143" s="268">
        <v>197.34</v>
      </c>
    </row>
    <row r="144" spans="3:4" x14ac:dyDescent="0.2">
      <c r="C144" s="267">
        <v>14.8</v>
      </c>
      <c r="D144" s="268">
        <v>197.66</v>
      </c>
    </row>
    <row r="145" spans="3:4" x14ac:dyDescent="0.2">
      <c r="C145" s="266">
        <v>14.9</v>
      </c>
      <c r="D145" s="268">
        <v>197.98</v>
      </c>
    </row>
    <row r="146" spans="3:4" x14ac:dyDescent="0.2">
      <c r="C146" s="267">
        <v>15</v>
      </c>
      <c r="D146" s="268">
        <v>198.29</v>
      </c>
    </row>
    <row r="147" spans="3:4" x14ac:dyDescent="0.2">
      <c r="C147" s="266">
        <v>15.1</v>
      </c>
      <c r="D147" s="268">
        <v>198.61</v>
      </c>
    </row>
    <row r="148" spans="3:4" x14ac:dyDescent="0.2">
      <c r="C148" s="267">
        <v>15.2</v>
      </c>
      <c r="D148" s="268">
        <v>198.92</v>
      </c>
    </row>
    <row r="149" spans="3:4" x14ac:dyDescent="0.2">
      <c r="C149" s="266">
        <v>15.3</v>
      </c>
      <c r="D149" s="268">
        <v>199.24</v>
      </c>
    </row>
    <row r="150" spans="3:4" x14ac:dyDescent="0.2">
      <c r="C150" s="267">
        <v>15.4</v>
      </c>
      <c r="D150" s="268">
        <v>199.55</v>
      </c>
    </row>
    <row r="151" spans="3:4" x14ac:dyDescent="0.2">
      <c r="C151" s="266">
        <v>15.5</v>
      </c>
      <c r="D151" s="268">
        <v>199.85</v>
      </c>
    </row>
    <row r="152" spans="3:4" x14ac:dyDescent="0.2">
      <c r="C152" s="267">
        <v>15.6</v>
      </c>
      <c r="D152" s="268">
        <v>200.16</v>
      </c>
    </row>
    <row r="153" spans="3:4" x14ac:dyDescent="0.2">
      <c r="C153" s="266">
        <v>15.7</v>
      </c>
      <c r="D153" s="268">
        <v>200.47</v>
      </c>
    </row>
    <row r="154" spans="3:4" x14ac:dyDescent="0.2">
      <c r="C154" s="267">
        <v>15.8</v>
      </c>
      <c r="D154" s="268">
        <v>200.77</v>
      </c>
    </row>
    <row r="155" spans="3:4" x14ac:dyDescent="0.2">
      <c r="C155" s="266">
        <v>15.9</v>
      </c>
      <c r="D155" s="268">
        <v>201.07</v>
      </c>
    </row>
    <row r="156" spans="3:4" x14ac:dyDescent="0.2">
      <c r="C156" s="267">
        <v>16</v>
      </c>
      <c r="D156" s="268">
        <v>201.38</v>
      </c>
    </row>
    <row r="157" spans="3:4" x14ac:dyDescent="0.2">
      <c r="C157" s="266">
        <v>16.100000000000001</v>
      </c>
      <c r="D157" s="268">
        <v>201.68</v>
      </c>
    </row>
    <row r="158" spans="3:4" x14ac:dyDescent="0.2">
      <c r="C158" s="267">
        <v>16.2</v>
      </c>
      <c r="D158" s="268">
        <v>201.97</v>
      </c>
    </row>
    <row r="159" spans="3:4" x14ac:dyDescent="0.2">
      <c r="C159" s="266">
        <v>16.3</v>
      </c>
      <c r="D159" s="268">
        <v>202.27</v>
      </c>
    </row>
    <row r="160" spans="3:4" x14ac:dyDescent="0.2">
      <c r="C160" s="267">
        <v>16.399999999999999</v>
      </c>
      <c r="D160" s="268">
        <v>202.57</v>
      </c>
    </row>
    <row r="161" spans="3:4" x14ac:dyDescent="0.2">
      <c r="C161" s="266">
        <v>16.5</v>
      </c>
      <c r="D161" s="268">
        <v>202.86</v>
      </c>
    </row>
    <row r="162" spans="3:4" x14ac:dyDescent="0.2">
      <c r="C162" s="267">
        <v>16.600000000000001</v>
      </c>
      <c r="D162" s="268">
        <v>203.15</v>
      </c>
    </row>
    <row r="163" spans="3:4" x14ac:dyDescent="0.2">
      <c r="C163" s="266">
        <v>16.7</v>
      </c>
      <c r="D163" s="268">
        <v>203.45</v>
      </c>
    </row>
    <row r="164" spans="3:4" x14ac:dyDescent="0.2">
      <c r="C164" s="267">
        <v>16.8</v>
      </c>
      <c r="D164" s="268">
        <v>203.74</v>
      </c>
    </row>
    <row r="165" spans="3:4" x14ac:dyDescent="0.2">
      <c r="C165" s="266">
        <v>16.899999999999999</v>
      </c>
      <c r="D165" s="268">
        <v>204.02</v>
      </c>
    </row>
    <row r="166" spans="3:4" x14ac:dyDescent="0.2">
      <c r="C166" s="267">
        <v>17</v>
      </c>
      <c r="D166" s="268">
        <v>204.31</v>
      </c>
    </row>
    <row r="167" spans="3:4" x14ac:dyDescent="0.2">
      <c r="C167" s="266">
        <v>17.100000000000001</v>
      </c>
      <c r="D167" s="268">
        <v>204.6</v>
      </c>
    </row>
    <row r="168" spans="3:4" x14ac:dyDescent="0.2">
      <c r="C168" s="267">
        <v>17.2</v>
      </c>
      <c r="D168" s="268">
        <v>204.88</v>
      </c>
    </row>
    <row r="169" spans="3:4" x14ac:dyDescent="0.2">
      <c r="C169" s="266">
        <v>17.3</v>
      </c>
      <c r="D169" s="268">
        <v>205.17</v>
      </c>
    </row>
    <row r="170" spans="3:4" x14ac:dyDescent="0.2">
      <c r="C170" s="267">
        <v>17.399999999999999</v>
      </c>
      <c r="D170" s="268">
        <v>205.45</v>
      </c>
    </row>
    <row r="171" spans="3:4" x14ac:dyDescent="0.2">
      <c r="C171" s="266">
        <v>17.5</v>
      </c>
      <c r="D171" s="268">
        <v>205.73</v>
      </c>
    </row>
    <row r="172" spans="3:4" x14ac:dyDescent="0.2">
      <c r="C172" s="267">
        <v>17.600000000000001</v>
      </c>
      <c r="D172" s="268">
        <v>206.01</v>
      </c>
    </row>
    <row r="173" spans="3:4" x14ac:dyDescent="0.2">
      <c r="C173" s="266">
        <v>17.7</v>
      </c>
      <c r="D173" s="268">
        <v>206.29</v>
      </c>
    </row>
    <row r="174" spans="3:4" x14ac:dyDescent="0.2">
      <c r="C174" s="267">
        <v>17.8</v>
      </c>
      <c r="D174" s="268">
        <v>206.57</v>
      </c>
    </row>
    <row r="175" spans="3:4" x14ac:dyDescent="0.2">
      <c r="C175" s="266">
        <v>17.899999999999999</v>
      </c>
      <c r="D175" s="268">
        <v>206.84</v>
      </c>
    </row>
    <row r="176" spans="3:4" x14ac:dyDescent="0.2">
      <c r="C176" s="267">
        <v>18</v>
      </c>
      <c r="D176" s="268">
        <v>207.12</v>
      </c>
    </row>
    <row r="177" spans="3:4" x14ac:dyDescent="0.2">
      <c r="C177" s="266">
        <v>18.100000000000001</v>
      </c>
      <c r="D177" s="268">
        <v>207.39</v>
      </c>
    </row>
    <row r="178" spans="3:4" x14ac:dyDescent="0.2">
      <c r="C178" s="267">
        <v>18.2</v>
      </c>
      <c r="D178" s="268">
        <v>207.66</v>
      </c>
    </row>
    <row r="179" spans="3:4" x14ac:dyDescent="0.2">
      <c r="C179" s="266">
        <v>18.3</v>
      </c>
      <c r="D179" s="268">
        <v>207.93</v>
      </c>
    </row>
    <row r="180" spans="3:4" x14ac:dyDescent="0.2">
      <c r="C180" s="267">
        <v>18.399999999999999</v>
      </c>
      <c r="D180" s="268">
        <v>208.2</v>
      </c>
    </row>
    <row r="181" spans="3:4" x14ac:dyDescent="0.2">
      <c r="C181" s="266">
        <v>18.5</v>
      </c>
      <c r="D181" s="268">
        <v>208.47</v>
      </c>
    </row>
    <row r="182" spans="3:4" x14ac:dyDescent="0.2">
      <c r="C182" s="267">
        <v>18.600000000000001</v>
      </c>
      <c r="D182" s="268">
        <v>208.74</v>
      </c>
    </row>
    <row r="183" spans="3:4" x14ac:dyDescent="0.2">
      <c r="C183" s="266">
        <v>18.7</v>
      </c>
      <c r="D183" s="268">
        <v>209.01</v>
      </c>
    </row>
    <row r="184" spans="3:4" x14ac:dyDescent="0.2">
      <c r="C184" s="267">
        <v>18.8</v>
      </c>
      <c r="D184" s="268">
        <v>209.27</v>
      </c>
    </row>
    <row r="185" spans="3:4" x14ac:dyDescent="0.2">
      <c r="C185" s="266">
        <v>18.899999999999999</v>
      </c>
      <c r="D185" s="268">
        <v>209.54</v>
      </c>
    </row>
    <row r="186" spans="3:4" x14ac:dyDescent="0.2">
      <c r="C186" s="267">
        <v>19</v>
      </c>
      <c r="D186" s="268">
        <v>209.8</v>
      </c>
    </row>
    <row r="187" spans="3:4" x14ac:dyDescent="0.2">
      <c r="C187" s="266">
        <v>19.100000000000001</v>
      </c>
      <c r="D187" s="268">
        <v>210.06</v>
      </c>
    </row>
    <row r="188" spans="3:4" x14ac:dyDescent="0.2">
      <c r="C188" s="267">
        <v>19.2</v>
      </c>
      <c r="D188" s="268">
        <v>210.33</v>
      </c>
    </row>
    <row r="189" spans="3:4" x14ac:dyDescent="0.2">
      <c r="C189" s="266">
        <v>19.3</v>
      </c>
      <c r="D189" s="268">
        <v>210.59</v>
      </c>
    </row>
    <row r="190" spans="3:4" x14ac:dyDescent="0.2">
      <c r="C190" s="267">
        <v>19.399999999999999</v>
      </c>
      <c r="D190" s="268">
        <v>210.85</v>
      </c>
    </row>
    <row r="191" spans="3:4" x14ac:dyDescent="0.2">
      <c r="C191" s="266">
        <v>19.5</v>
      </c>
      <c r="D191" s="268">
        <v>211.1</v>
      </c>
    </row>
    <row r="192" spans="3:4" x14ac:dyDescent="0.2">
      <c r="C192" s="267">
        <v>19.600000000000001</v>
      </c>
      <c r="D192" s="268">
        <v>211.36</v>
      </c>
    </row>
    <row r="193" spans="3:4" x14ac:dyDescent="0.2">
      <c r="C193" s="266">
        <v>19.7</v>
      </c>
      <c r="D193" s="268">
        <v>211.62</v>
      </c>
    </row>
    <row r="194" spans="3:4" x14ac:dyDescent="0.2">
      <c r="C194" s="267">
        <v>19.8</v>
      </c>
      <c r="D194" s="268">
        <v>211.87</v>
      </c>
    </row>
    <row r="195" spans="3:4" x14ac:dyDescent="0.2">
      <c r="C195" s="266">
        <v>19.899999999999999</v>
      </c>
      <c r="D195" s="268">
        <v>212.13</v>
      </c>
    </row>
    <row r="196" spans="3:4" x14ac:dyDescent="0.2">
      <c r="C196" s="267">
        <v>20</v>
      </c>
      <c r="D196" s="268">
        <v>212.38</v>
      </c>
    </row>
    <row r="197" spans="3:4" x14ac:dyDescent="0.2">
      <c r="C197" s="266">
        <v>20.100000000000001</v>
      </c>
      <c r="D197" s="268"/>
    </row>
    <row r="198" spans="3:4" x14ac:dyDescent="0.2">
      <c r="C198" s="267">
        <v>20.2</v>
      </c>
      <c r="D198" s="268"/>
    </row>
    <row r="199" spans="3:4" x14ac:dyDescent="0.2">
      <c r="C199" s="266">
        <v>20.3</v>
      </c>
      <c r="D199" s="268"/>
    </row>
    <row r="200" spans="3:4" x14ac:dyDescent="0.2">
      <c r="C200" s="267">
        <v>20.399999999999999</v>
      </c>
      <c r="D200" s="268"/>
    </row>
    <row r="201" spans="3:4" x14ac:dyDescent="0.2">
      <c r="C201" s="266">
        <v>20.5</v>
      </c>
      <c r="D201" s="268"/>
    </row>
    <row r="202" spans="3:4" x14ac:dyDescent="0.2">
      <c r="C202" s="267">
        <v>20.6</v>
      </c>
      <c r="D202" s="268"/>
    </row>
    <row r="203" spans="3:4" x14ac:dyDescent="0.2">
      <c r="C203" s="266">
        <v>20.7</v>
      </c>
      <c r="D203" s="268"/>
    </row>
    <row r="204" spans="3:4" x14ac:dyDescent="0.2">
      <c r="C204" s="267">
        <v>20.8</v>
      </c>
      <c r="D204" s="268"/>
    </row>
    <row r="205" spans="3:4" x14ac:dyDescent="0.2">
      <c r="C205" s="266">
        <v>20.9</v>
      </c>
      <c r="D205" s="268"/>
    </row>
    <row r="206" spans="3:4" x14ac:dyDescent="0.2">
      <c r="C206" s="267">
        <v>21</v>
      </c>
      <c r="D206" s="268"/>
    </row>
    <row r="207" spans="3:4" x14ac:dyDescent="0.2">
      <c r="C207" s="266">
        <v>21.1</v>
      </c>
      <c r="D207" s="268"/>
    </row>
    <row r="208" spans="3:4" x14ac:dyDescent="0.2">
      <c r="C208" s="267">
        <v>21.2</v>
      </c>
      <c r="D208" s="268"/>
    </row>
    <row r="209" spans="3:4" x14ac:dyDescent="0.2">
      <c r="C209" s="266">
        <v>21.3</v>
      </c>
      <c r="D209" s="268"/>
    </row>
    <row r="210" spans="3:4" x14ac:dyDescent="0.2">
      <c r="C210" s="267">
        <v>21.4</v>
      </c>
      <c r="D210" s="268"/>
    </row>
    <row r="211" spans="3:4" x14ac:dyDescent="0.2">
      <c r="C211" s="266">
        <v>21.5</v>
      </c>
      <c r="D211" s="268"/>
    </row>
    <row r="212" spans="3:4" x14ac:dyDescent="0.2">
      <c r="C212" s="267">
        <v>21.6</v>
      </c>
      <c r="D212" s="268"/>
    </row>
    <row r="213" spans="3:4" x14ac:dyDescent="0.2">
      <c r="C213" s="266">
        <v>21.7</v>
      </c>
      <c r="D213" s="268"/>
    </row>
    <row r="214" spans="3:4" x14ac:dyDescent="0.2">
      <c r="C214" s="267">
        <v>21.8</v>
      </c>
      <c r="D214" s="268"/>
    </row>
    <row r="215" spans="3:4" x14ac:dyDescent="0.2">
      <c r="C215" s="266">
        <v>21.9</v>
      </c>
      <c r="D215" s="268"/>
    </row>
    <row r="216" spans="3:4" x14ac:dyDescent="0.2">
      <c r="C216" s="267">
        <v>22</v>
      </c>
      <c r="D216" s="268"/>
    </row>
    <row r="217" spans="3:4" x14ac:dyDescent="0.2">
      <c r="C217" s="266">
        <v>22.1</v>
      </c>
      <c r="D217" s="268"/>
    </row>
    <row r="218" spans="3:4" x14ac:dyDescent="0.2">
      <c r="C218" s="267">
        <v>22.2</v>
      </c>
      <c r="D218" s="268"/>
    </row>
    <row r="219" spans="3:4" x14ac:dyDescent="0.2">
      <c r="C219" s="266">
        <v>22.3</v>
      </c>
      <c r="D219" s="268"/>
    </row>
    <row r="220" spans="3:4" x14ac:dyDescent="0.2">
      <c r="C220" s="267">
        <v>22.4</v>
      </c>
      <c r="D220" s="268"/>
    </row>
    <row r="221" spans="3:4" x14ac:dyDescent="0.2">
      <c r="C221" s="266">
        <v>22.5</v>
      </c>
      <c r="D221" s="268"/>
    </row>
    <row r="222" spans="3:4" x14ac:dyDescent="0.2">
      <c r="C222" s="267">
        <v>22.6</v>
      </c>
      <c r="D222" s="268"/>
    </row>
    <row r="223" spans="3:4" x14ac:dyDescent="0.2">
      <c r="C223" s="266">
        <v>22.7</v>
      </c>
      <c r="D223" s="268"/>
    </row>
    <row r="224" spans="3:4" x14ac:dyDescent="0.2">
      <c r="C224" s="267">
        <v>22.8</v>
      </c>
      <c r="D224" s="268"/>
    </row>
    <row r="225" spans="3:4" x14ac:dyDescent="0.2">
      <c r="C225" s="266">
        <v>22.9</v>
      </c>
      <c r="D225" s="268"/>
    </row>
    <row r="226" spans="3:4" x14ac:dyDescent="0.2">
      <c r="C226" s="267">
        <v>23</v>
      </c>
      <c r="D226" s="268"/>
    </row>
    <row r="227" spans="3:4" x14ac:dyDescent="0.2">
      <c r="C227" s="266">
        <v>23.1</v>
      </c>
      <c r="D227" s="268"/>
    </row>
    <row r="228" spans="3:4" x14ac:dyDescent="0.2">
      <c r="C228" s="267">
        <v>23.2</v>
      </c>
      <c r="D228" s="268"/>
    </row>
    <row r="229" spans="3:4" x14ac:dyDescent="0.2">
      <c r="C229" s="266">
        <v>23.3</v>
      </c>
      <c r="D229" s="268"/>
    </row>
    <row r="230" spans="3:4" x14ac:dyDescent="0.2">
      <c r="C230" s="267">
        <v>23.4</v>
      </c>
      <c r="D230" s="268"/>
    </row>
    <row r="231" spans="3:4" x14ac:dyDescent="0.2">
      <c r="C231" s="266">
        <v>23.5</v>
      </c>
      <c r="D231" s="268"/>
    </row>
    <row r="232" spans="3:4" x14ac:dyDescent="0.2">
      <c r="C232" s="267">
        <v>23.6</v>
      </c>
      <c r="D232" s="268"/>
    </row>
    <row r="233" spans="3:4" x14ac:dyDescent="0.2">
      <c r="C233" s="266">
        <v>23.7</v>
      </c>
      <c r="D233" s="268"/>
    </row>
    <row r="234" spans="3:4" x14ac:dyDescent="0.2">
      <c r="C234" s="267">
        <v>23.8</v>
      </c>
      <c r="D234" s="268"/>
    </row>
    <row r="235" spans="3:4" x14ac:dyDescent="0.2">
      <c r="C235" s="266">
        <v>23.9</v>
      </c>
      <c r="D235" s="268"/>
    </row>
    <row r="236" spans="3:4" x14ac:dyDescent="0.2">
      <c r="C236" s="267">
        <v>24</v>
      </c>
      <c r="D236" s="268"/>
    </row>
    <row r="237" spans="3:4" x14ac:dyDescent="0.2">
      <c r="C237" s="266">
        <v>24.1</v>
      </c>
      <c r="D237" s="268"/>
    </row>
    <row r="238" spans="3:4" x14ac:dyDescent="0.2">
      <c r="C238" s="267">
        <v>24.2</v>
      </c>
      <c r="D238" s="268"/>
    </row>
    <row r="239" spans="3:4" x14ac:dyDescent="0.2">
      <c r="C239" s="266">
        <v>24.3</v>
      </c>
      <c r="D239" s="268"/>
    </row>
    <row r="240" spans="3:4" x14ac:dyDescent="0.2">
      <c r="C240" s="267">
        <v>24.4</v>
      </c>
      <c r="D240" s="268"/>
    </row>
    <row r="241" spans="3:4" x14ac:dyDescent="0.2">
      <c r="C241" s="266">
        <v>24.5</v>
      </c>
      <c r="D241" s="268"/>
    </row>
    <row r="242" spans="3:4" x14ac:dyDescent="0.2">
      <c r="C242" s="267">
        <v>24.6</v>
      </c>
      <c r="D242" s="268"/>
    </row>
    <row r="243" spans="3:4" x14ac:dyDescent="0.2">
      <c r="C243" s="266">
        <v>24.7</v>
      </c>
      <c r="D243" s="268"/>
    </row>
    <row r="244" spans="3:4" x14ac:dyDescent="0.2">
      <c r="C244" s="267">
        <v>24.8</v>
      </c>
      <c r="D244" s="268"/>
    </row>
    <row r="245" spans="3:4" x14ac:dyDescent="0.2">
      <c r="C245" s="266">
        <v>24.9</v>
      </c>
      <c r="D245" s="268"/>
    </row>
    <row r="246" spans="3:4" x14ac:dyDescent="0.2">
      <c r="C246" s="267">
        <v>25</v>
      </c>
      <c r="D246" s="268"/>
    </row>
    <row r="247" spans="3:4" x14ac:dyDescent="0.2">
      <c r="C247" s="266">
        <v>25.1</v>
      </c>
      <c r="D247" s="268"/>
    </row>
    <row r="248" spans="3:4" x14ac:dyDescent="0.2">
      <c r="C248" s="267">
        <v>25.2</v>
      </c>
      <c r="D248" s="268"/>
    </row>
    <row r="249" spans="3:4" x14ac:dyDescent="0.2">
      <c r="C249" s="266">
        <v>25.3</v>
      </c>
      <c r="D249" s="268"/>
    </row>
    <row r="250" spans="3:4" x14ac:dyDescent="0.2">
      <c r="C250" s="267">
        <v>25.4</v>
      </c>
      <c r="D250" s="268"/>
    </row>
    <row r="251" spans="3:4" x14ac:dyDescent="0.2">
      <c r="C251" s="266">
        <v>25.5</v>
      </c>
      <c r="D251" s="268"/>
    </row>
    <row r="252" spans="3:4" x14ac:dyDescent="0.2">
      <c r="C252" s="267">
        <v>25.6</v>
      </c>
      <c r="D252" s="268"/>
    </row>
    <row r="253" spans="3:4" x14ac:dyDescent="0.2">
      <c r="C253" s="266">
        <v>25.7</v>
      </c>
      <c r="D253" s="268"/>
    </row>
    <row r="254" spans="3:4" x14ac:dyDescent="0.2">
      <c r="C254" s="267">
        <v>25.8</v>
      </c>
      <c r="D254" s="268"/>
    </row>
    <row r="255" spans="3:4" x14ac:dyDescent="0.2">
      <c r="C255" s="266">
        <v>25.9</v>
      </c>
      <c r="D255" s="268"/>
    </row>
    <row r="256" spans="3:4" x14ac:dyDescent="0.2">
      <c r="C256" s="267">
        <v>26</v>
      </c>
      <c r="D256" s="268"/>
    </row>
    <row r="257" spans="3:4" x14ac:dyDescent="0.2">
      <c r="C257" s="266">
        <v>26.1</v>
      </c>
      <c r="D257" s="268"/>
    </row>
    <row r="258" spans="3:4" x14ac:dyDescent="0.2">
      <c r="C258" s="267">
        <v>26.2</v>
      </c>
      <c r="D258" s="268"/>
    </row>
    <row r="259" spans="3:4" x14ac:dyDescent="0.2">
      <c r="C259" s="266">
        <v>26.3</v>
      </c>
      <c r="D259" s="268"/>
    </row>
    <row r="260" spans="3:4" x14ac:dyDescent="0.2">
      <c r="C260" s="267">
        <v>26.4</v>
      </c>
      <c r="D260" s="268"/>
    </row>
    <row r="261" spans="3:4" x14ac:dyDescent="0.2">
      <c r="C261" s="266">
        <v>26.5</v>
      </c>
      <c r="D261" s="268"/>
    </row>
    <row r="262" spans="3:4" x14ac:dyDescent="0.2">
      <c r="C262" s="267">
        <v>26.6</v>
      </c>
      <c r="D262" s="268"/>
    </row>
    <row r="263" spans="3:4" x14ac:dyDescent="0.2">
      <c r="C263" s="266">
        <v>26.7</v>
      </c>
      <c r="D263" s="268"/>
    </row>
    <row r="264" spans="3:4" x14ac:dyDescent="0.2">
      <c r="C264" s="267">
        <v>26.8</v>
      </c>
      <c r="D264" s="268"/>
    </row>
    <row r="265" spans="3:4" x14ac:dyDescent="0.2">
      <c r="C265" s="266">
        <v>26.9</v>
      </c>
      <c r="D265" s="268"/>
    </row>
    <row r="266" spans="3:4" x14ac:dyDescent="0.2">
      <c r="C266" s="267">
        <v>27</v>
      </c>
      <c r="D266" s="268"/>
    </row>
    <row r="267" spans="3:4" x14ac:dyDescent="0.2">
      <c r="C267" s="266">
        <v>27.1</v>
      </c>
      <c r="D267" s="268"/>
    </row>
    <row r="268" spans="3:4" x14ac:dyDescent="0.2">
      <c r="C268" s="267">
        <v>27.2</v>
      </c>
      <c r="D268" s="268"/>
    </row>
    <row r="269" spans="3:4" x14ac:dyDescent="0.2">
      <c r="C269" s="266">
        <v>27.3</v>
      </c>
      <c r="D269" s="268"/>
    </row>
    <row r="270" spans="3:4" x14ac:dyDescent="0.2">
      <c r="C270" s="267">
        <v>27.4</v>
      </c>
      <c r="D270" s="268"/>
    </row>
    <row r="271" spans="3:4" x14ac:dyDescent="0.2">
      <c r="C271" s="266">
        <v>27.5</v>
      </c>
      <c r="D271" s="268"/>
    </row>
    <row r="272" spans="3:4" x14ac:dyDescent="0.2">
      <c r="C272" s="267">
        <v>27.6</v>
      </c>
      <c r="D272" s="268"/>
    </row>
    <row r="273" spans="3:4" x14ac:dyDescent="0.2">
      <c r="C273" s="266">
        <v>27.7</v>
      </c>
      <c r="D273" s="268"/>
    </row>
    <row r="274" spans="3:4" x14ac:dyDescent="0.2">
      <c r="C274" s="267">
        <v>27.8</v>
      </c>
      <c r="D274" s="268"/>
    </row>
    <row r="275" spans="3:4" x14ac:dyDescent="0.2">
      <c r="C275" s="266">
        <v>27.9</v>
      </c>
      <c r="D275" s="268"/>
    </row>
    <row r="276" spans="3:4" x14ac:dyDescent="0.2">
      <c r="C276" s="267">
        <v>28</v>
      </c>
      <c r="D276" s="268"/>
    </row>
    <row r="277" spans="3:4" x14ac:dyDescent="0.2">
      <c r="C277" s="266">
        <v>28.1</v>
      </c>
      <c r="D277" s="268"/>
    </row>
    <row r="278" spans="3:4" x14ac:dyDescent="0.2">
      <c r="C278" s="267">
        <v>28.2</v>
      </c>
      <c r="D278" s="268"/>
    </row>
    <row r="279" spans="3:4" x14ac:dyDescent="0.2">
      <c r="C279" s="266">
        <v>28.3</v>
      </c>
      <c r="D279" s="268"/>
    </row>
    <row r="280" spans="3:4" x14ac:dyDescent="0.2">
      <c r="C280" s="267">
        <v>28.4</v>
      </c>
      <c r="D280" s="268"/>
    </row>
    <row r="281" spans="3:4" x14ac:dyDescent="0.2">
      <c r="C281" s="266">
        <v>28.5</v>
      </c>
      <c r="D281" s="268"/>
    </row>
    <row r="282" spans="3:4" x14ac:dyDescent="0.2">
      <c r="C282" s="267">
        <v>28.6</v>
      </c>
      <c r="D282" s="268"/>
    </row>
    <row r="283" spans="3:4" x14ac:dyDescent="0.2">
      <c r="C283" s="266">
        <v>28.7</v>
      </c>
      <c r="D283" s="268"/>
    </row>
    <row r="284" spans="3:4" x14ac:dyDescent="0.2">
      <c r="C284" s="267">
        <v>28.8</v>
      </c>
      <c r="D284" s="268"/>
    </row>
    <row r="285" spans="3:4" x14ac:dyDescent="0.2">
      <c r="C285" s="266">
        <v>28.9</v>
      </c>
      <c r="D285" s="268"/>
    </row>
    <row r="286" spans="3:4" x14ac:dyDescent="0.2">
      <c r="C286" s="267">
        <v>29</v>
      </c>
      <c r="D286" s="268"/>
    </row>
    <row r="287" spans="3:4" x14ac:dyDescent="0.2">
      <c r="C287" s="266">
        <v>29.1</v>
      </c>
      <c r="D287" s="268"/>
    </row>
    <row r="288" spans="3:4" x14ac:dyDescent="0.2">
      <c r="C288" s="267">
        <v>29.2</v>
      </c>
      <c r="D288" s="268"/>
    </row>
    <row r="289" spans="3:4" x14ac:dyDescent="0.2">
      <c r="C289" s="266">
        <v>29.3</v>
      </c>
      <c r="D289" s="268"/>
    </row>
    <row r="290" spans="3:4" x14ac:dyDescent="0.2">
      <c r="C290" s="267">
        <v>29.4</v>
      </c>
      <c r="D290" s="268"/>
    </row>
    <row r="291" spans="3:4" x14ac:dyDescent="0.2">
      <c r="C291" s="266">
        <v>29.5</v>
      </c>
      <c r="D291" s="268"/>
    </row>
    <row r="292" spans="3:4" x14ac:dyDescent="0.2">
      <c r="C292" s="267">
        <v>29.6</v>
      </c>
      <c r="D292" s="268"/>
    </row>
    <row r="293" spans="3:4" x14ac:dyDescent="0.2">
      <c r="C293" s="266">
        <v>29.7</v>
      </c>
      <c r="D293" s="268"/>
    </row>
    <row r="294" spans="3:4" x14ac:dyDescent="0.2">
      <c r="C294" s="267">
        <v>29.8</v>
      </c>
      <c r="D294" s="268"/>
    </row>
    <row r="295" spans="3:4" x14ac:dyDescent="0.2">
      <c r="C295" s="266">
        <v>29.9</v>
      </c>
      <c r="D295" s="268"/>
    </row>
    <row r="296" spans="3:4" x14ac:dyDescent="0.2">
      <c r="C296" s="267">
        <v>30</v>
      </c>
      <c r="D296" s="268"/>
    </row>
    <row r="297" spans="3:4" x14ac:dyDescent="0.2">
      <c r="C297" s="266">
        <v>30.1</v>
      </c>
      <c r="D297" s="268"/>
    </row>
    <row r="298" spans="3:4" x14ac:dyDescent="0.2">
      <c r="C298" s="267">
        <v>30.2</v>
      </c>
      <c r="D298" s="268"/>
    </row>
    <row r="299" spans="3:4" x14ac:dyDescent="0.2">
      <c r="C299" s="266">
        <v>30.3</v>
      </c>
      <c r="D299" s="268"/>
    </row>
    <row r="300" spans="3:4" x14ac:dyDescent="0.2">
      <c r="C300" s="267">
        <v>30.4</v>
      </c>
      <c r="D300" s="268"/>
    </row>
    <row r="301" spans="3:4" x14ac:dyDescent="0.2">
      <c r="C301" s="266">
        <v>30.5</v>
      </c>
      <c r="D301" s="268"/>
    </row>
    <row r="302" spans="3:4" x14ac:dyDescent="0.2">
      <c r="C302" s="267">
        <v>30.6</v>
      </c>
      <c r="D302" s="268"/>
    </row>
    <row r="303" spans="3:4" x14ac:dyDescent="0.2">
      <c r="C303" s="266">
        <v>30.7</v>
      </c>
      <c r="D303" s="268"/>
    </row>
    <row r="304" spans="3:4" x14ac:dyDescent="0.2">
      <c r="C304" s="267">
        <v>30.8</v>
      </c>
      <c r="D304" s="268"/>
    </row>
    <row r="305" spans="3:4" x14ac:dyDescent="0.2">
      <c r="C305" s="266">
        <v>30.9</v>
      </c>
      <c r="D305" s="268"/>
    </row>
    <row r="306" spans="3:4" x14ac:dyDescent="0.2">
      <c r="C306" s="267">
        <v>31</v>
      </c>
      <c r="D306" s="268"/>
    </row>
    <row r="307" spans="3:4" x14ac:dyDescent="0.2">
      <c r="C307" s="266">
        <v>31.1</v>
      </c>
      <c r="D307" s="268"/>
    </row>
    <row r="308" spans="3:4" x14ac:dyDescent="0.2">
      <c r="C308" s="267">
        <v>31.2</v>
      </c>
      <c r="D308" s="268"/>
    </row>
    <row r="309" spans="3:4" x14ac:dyDescent="0.2">
      <c r="C309" s="266">
        <v>31.3</v>
      </c>
      <c r="D309" s="268"/>
    </row>
    <row r="310" spans="3:4" x14ac:dyDescent="0.2">
      <c r="C310" s="267">
        <v>31.4</v>
      </c>
      <c r="D310" s="268"/>
    </row>
    <row r="311" spans="3:4" x14ac:dyDescent="0.2">
      <c r="C311" s="266">
        <v>31.5</v>
      </c>
      <c r="D311" s="268"/>
    </row>
    <row r="312" spans="3:4" x14ac:dyDescent="0.2">
      <c r="C312" s="267">
        <v>31.6</v>
      </c>
      <c r="D312" s="268"/>
    </row>
    <row r="313" spans="3:4" x14ac:dyDescent="0.2">
      <c r="C313" s="266">
        <v>31.7</v>
      </c>
      <c r="D313" s="268"/>
    </row>
    <row r="314" spans="3:4" x14ac:dyDescent="0.2">
      <c r="C314" s="267">
        <v>31.8</v>
      </c>
      <c r="D314" s="268"/>
    </row>
    <row r="315" spans="3:4" x14ac:dyDescent="0.2">
      <c r="C315" s="266">
        <v>31.9</v>
      </c>
      <c r="D315" s="268"/>
    </row>
    <row r="316" spans="3:4" x14ac:dyDescent="0.2">
      <c r="C316" s="267">
        <v>32</v>
      </c>
      <c r="D316" s="268"/>
    </row>
    <row r="317" spans="3:4" x14ac:dyDescent="0.2">
      <c r="C317" s="266">
        <v>32.1</v>
      </c>
      <c r="D317" s="268"/>
    </row>
    <row r="318" spans="3:4" x14ac:dyDescent="0.2">
      <c r="C318" s="267">
        <v>32.200000000000003</v>
      </c>
      <c r="D318" s="268"/>
    </row>
    <row r="319" spans="3:4" x14ac:dyDescent="0.2">
      <c r="C319" s="266">
        <v>32.299999999999997</v>
      </c>
      <c r="D319" s="268"/>
    </row>
    <row r="320" spans="3:4" x14ac:dyDescent="0.2">
      <c r="C320" s="267">
        <v>32.4</v>
      </c>
      <c r="D320" s="268"/>
    </row>
    <row r="321" spans="3:4" x14ac:dyDescent="0.2">
      <c r="C321" s="266">
        <v>32.5</v>
      </c>
      <c r="D321" s="268"/>
    </row>
    <row r="322" spans="3:4" x14ac:dyDescent="0.2">
      <c r="C322" s="267">
        <v>32.6</v>
      </c>
      <c r="D322" s="268"/>
    </row>
    <row r="323" spans="3:4" x14ac:dyDescent="0.2">
      <c r="C323" s="266">
        <v>32.700000000000003</v>
      </c>
      <c r="D323" s="268"/>
    </row>
    <row r="324" spans="3:4" x14ac:dyDescent="0.2">
      <c r="C324" s="267">
        <v>32.799999999999997</v>
      </c>
      <c r="D324" s="268"/>
    </row>
    <row r="325" spans="3:4" x14ac:dyDescent="0.2">
      <c r="C325" s="266">
        <v>32.9</v>
      </c>
      <c r="D325" s="268"/>
    </row>
    <row r="326" spans="3:4" x14ac:dyDescent="0.2">
      <c r="C326" s="267">
        <v>33</v>
      </c>
      <c r="D326" s="268"/>
    </row>
    <row r="327" spans="3:4" x14ac:dyDescent="0.2">
      <c r="C327" s="266">
        <v>33.1</v>
      </c>
      <c r="D327" s="268"/>
    </row>
    <row r="328" spans="3:4" x14ac:dyDescent="0.2">
      <c r="C328" s="267">
        <v>33.200000000000003</v>
      </c>
      <c r="D328" s="268"/>
    </row>
    <row r="329" spans="3:4" x14ac:dyDescent="0.2">
      <c r="C329" s="266">
        <v>33.299999999999997</v>
      </c>
      <c r="D329" s="268"/>
    </row>
    <row r="330" spans="3:4" x14ac:dyDescent="0.2">
      <c r="C330" s="267">
        <v>33.4</v>
      </c>
      <c r="D330" s="268"/>
    </row>
    <row r="331" spans="3:4" x14ac:dyDescent="0.2">
      <c r="C331" s="266">
        <v>33.5</v>
      </c>
      <c r="D331" s="268"/>
    </row>
    <row r="332" spans="3:4" x14ac:dyDescent="0.2">
      <c r="C332" s="267">
        <v>33.6</v>
      </c>
      <c r="D332" s="268"/>
    </row>
    <row r="333" spans="3:4" x14ac:dyDescent="0.2">
      <c r="C333" s="266">
        <v>33.700000000000003</v>
      </c>
      <c r="D333" s="268"/>
    </row>
    <row r="334" spans="3:4" x14ac:dyDescent="0.2">
      <c r="C334" s="267">
        <v>33.799999999999997</v>
      </c>
      <c r="D334" s="268"/>
    </row>
    <row r="335" spans="3:4" x14ac:dyDescent="0.2">
      <c r="C335" s="266">
        <v>33.9</v>
      </c>
      <c r="D335" s="268"/>
    </row>
    <row r="336" spans="3:4" x14ac:dyDescent="0.2">
      <c r="C336" s="267">
        <v>34</v>
      </c>
      <c r="D336" s="268"/>
    </row>
    <row r="337" spans="3:4" x14ac:dyDescent="0.2">
      <c r="C337" s="266">
        <v>34.1</v>
      </c>
      <c r="D337" s="268"/>
    </row>
    <row r="338" spans="3:4" x14ac:dyDescent="0.2">
      <c r="C338" s="267">
        <v>34.200000000000003</v>
      </c>
      <c r="D338" s="268"/>
    </row>
    <row r="339" spans="3:4" x14ac:dyDescent="0.2">
      <c r="C339" s="266">
        <v>34.299999999999997</v>
      </c>
      <c r="D339" s="268"/>
    </row>
    <row r="340" spans="3:4" x14ac:dyDescent="0.2">
      <c r="C340" s="267">
        <v>34.4</v>
      </c>
      <c r="D340" s="268"/>
    </row>
    <row r="341" spans="3:4" x14ac:dyDescent="0.2">
      <c r="C341" s="266">
        <v>34.5</v>
      </c>
      <c r="D341" s="268"/>
    </row>
    <row r="342" spans="3:4" x14ac:dyDescent="0.2">
      <c r="C342" s="267">
        <v>34.6</v>
      </c>
      <c r="D342" s="268"/>
    </row>
    <row r="343" spans="3:4" x14ac:dyDescent="0.2">
      <c r="C343" s="266">
        <v>34.700000000000003</v>
      </c>
      <c r="D343" s="268"/>
    </row>
    <row r="344" spans="3:4" x14ac:dyDescent="0.2">
      <c r="C344" s="267">
        <v>34.799999999999997</v>
      </c>
      <c r="D344" s="268"/>
    </row>
    <row r="345" spans="3:4" x14ac:dyDescent="0.2">
      <c r="C345" s="266">
        <v>34.9</v>
      </c>
      <c r="D345" s="268"/>
    </row>
    <row r="346" spans="3:4" x14ac:dyDescent="0.2">
      <c r="C346" s="267">
        <v>35</v>
      </c>
      <c r="D346" s="268"/>
    </row>
    <row r="347" spans="3:4" x14ac:dyDescent="0.2">
      <c r="C347" s="266">
        <v>35.1</v>
      </c>
      <c r="D347" s="268"/>
    </row>
    <row r="348" spans="3:4" x14ac:dyDescent="0.2">
      <c r="C348" s="267">
        <v>35.200000000000003</v>
      </c>
      <c r="D348" s="268"/>
    </row>
    <row r="349" spans="3:4" x14ac:dyDescent="0.2">
      <c r="C349" s="266">
        <v>35.299999999999997</v>
      </c>
      <c r="D349" s="268"/>
    </row>
    <row r="350" spans="3:4" x14ac:dyDescent="0.2">
      <c r="C350" s="267">
        <v>35.4</v>
      </c>
      <c r="D350" s="268"/>
    </row>
    <row r="351" spans="3:4" x14ac:dyDescent="0.2">
      <c r="C351" s="266">
        <v>35.5</v>
      </c>
      <c r="D351" s="268"/>
    </row>
    <row r="352" spans="3:4" x14ac:dyDescent="0.2">
      <c r="C352" s="267">
        <v>35.6</v>
      </c>
      <c r="D352" s="268"/>
    </row>
    <row r="353" spans="3:4" x14ac:dyDescent="0.2">
      <c r="C353" s="266">
        <v>35.700000000000003</v>
      </c>
      <c r="D353" s="268"/>
    </row>
    <row r="354" spans="3:4" x14ac:dyDescent="0.2">
      <c r="C354" s="267">
        <v>35.799999999999997</v>
      </c>
      <c r="D354" s="268"/>
    </row>
    <row r="355" spans="3:4" x14ac:dyDescent="0.2">
      <c r="C355" s="266">
        <v>35.9</v>
      </c>
      <c r="D355" s="268"/>
    </row>
    <row r="356" spans="3:4" x14ac:dyDescent="0.2">
      <c r="C356" s="267">
        <v>36</v>
      </c>
      <c r="D356" s="268"/>
    </row>
    <row r="357" spans="3:4" x14ac:dyDescent="0.2">
      <c r="C357" s="266">
        <v>36.1</v>
      </c>
      <c r="D357" s="268"/>
    </row>
    <row r="358" spans="3:4" x14ac:dyDescent="0.2">
      <c r="C358" s="267">
        <v>36.200000000000003</v>
      </c>
      <c r="D358" s="268"/>
    </row>
    <row r="359" spans="3:4" x14ac:dyDescent="0.2">
      <c r="C359" s="266">
        <v>36.299999999999997</v>
      </c>
      <c r="D359" s="268"/>
    </row>
    <row r="360" spans="3:4" x14ac:dyDescent="0.2">
      <c r="C360" s="267">
        <v>36.4</v>
      </c>
      <c r="D360" s="268"/>
    </row>
    <row r="361" spans="3:4" x14ac:dyDescent="0.2">
      <c r="C361" s="266">
        <v>36.5</v>
      </c>
      <c r="D361" s="268"/>
    </row>
    <row r="362" spans="3:4" x14ac:dyDescent="0.2">
      <c r="C362" s="267">
        <v>36.6</v>
      </c>
      <c r="D362" s="268"/>
    </row>
    <row r="363" spans="3:4" x14ac:dyDescent="0.2">
      <c r="C363" s="266">
        <v>36.700000000000003</v>
      </c>
      <c r="D363" s="268"/>
    </row>
    <row r="364" spans="3:4" x14ac:dyDescent="0.2">
      <c r="C364" s="267">
        <v>36.799999999999997</v>
      </c>
      <c r="D364" s="268"/>
    </row>
    <row r="365" spans="3:4" x14ac:dyDescent="0.2">
      <c r="C365" s="266">
        <v>36.9</v>
      </c>
      <c r="D365" s="268"/>
    </row>
    <row r="366" spans="3:4" x14ac:dyDescent="0.2">
      <c r="C366" s="267">
        <v>37</v>
      </c>
      <c r="D366" s="268"/>
    </row>
    <row r="367" spans="3:4" x14ac:dyDescent="0.2">
      <c r="C367" s="266">
        <v>37.1</v>
      </c>
      <c r="D367" s="268"/>
    </row>
    <row r="368" spans="3:4" x14ac:dyDescent="0.2">
      <c r="C368" s="267">
        <v>37.200000000000003</v>
      </c>
      <c r="D368" s="268"/>
    </row>
    <row r="369" spans="3:4" x14ac:dyDescent="0.2">
      <c r="C369" s="266">
        <v>37.299999999999997</v>
      </c>
      <c r="D369" s="268"/>
    </row>
    <row r="370" spans="3:4" x14ac:dyDescent="0.2">
      <c r="C370" s="267">
        <v>37.4</v>
      </c>
      <c r="D370" s="268"/>
    </row>
    <row r="371" spans="3:4" x14ac:dyDescent="0.2">
      <c r="C371" s="266">
        <v>37.5</v>
      </c>
      <c r="D371" s="268"/>
    </row>
    <row r="372" spans="3:4" x14ac:dyDescent="0.2">
      <c r="C372" s="267">
        <v>37.6</v>
      </c>
      <c r="D372" s="268"/>
    </row>
    <row r="373" spans="3:4" x14ac:dyDescent="0.2">
      <c r="C373" s="266">
        <v>37.700000000000003</v>
      </c>
      <c r="D373" s="268"/>
    </row>
    <row r="374" spans="3:4" x14ac:dyDescent="0.2">
      <c r="C374" s="267">
        <v>37.799999999999997</v>
      </c>
      <c r="D374" s="268"/>
    </row>
    <row r="375" spans="3:4" x14ac:dyDescent="0.2">
      <c r="C375" s="266">
        <v>37.9</v>
      </c>
      <c r="D375" s="268"/>
    </row>
    <row r="376" spans="3:4" x14ac:dyDescent="0.2">
      <c r="C376" s="267">
        <v>38</v>
      </c>
      <c r="D376" s="268"/>
    </row>
    <row r="377" spans="3:4" x14ac:dyDescent="0.2">
      <c r="C377" s="266">
        <v>38.1</v>
      </c>
      <c r="D377" s="268"/>
    </row>
    <row r="378" spans="3:4" x14ac:dyDescent="0.2">
      <c r="C378" s="267">
        <v>38.200000000000003</v>
      </c>
      <c r="D378" s="268"/>
    </row>
    <row r="379" spans="3:4" x14ac:dyDescent="0.2">
      <c r="C379" s="266">
        <v>38.299999999999997</v>
      </c>
      <c r="D379" s="268"/>
    </row>
    <row r="380" spans="3:4" x14ac:dyDescent="0.2">
      <c r="C380" s="267">
        <v>38.4</v>
      </c>
      <c r="D380" s="268"/>
    </row>
    <row r="381" spans="3:4" x14ac:dyDescent="0.2">
      <c r="C381" s="266">
        <v>38.5</v>
      </c>
      <c r="D381" s="268"/>
    </row>
    <row r="382" spans="3:4" x14ac:dyDescent="0.2">
      <c r="C382" s="267">
        <v>38.6</v>
      </c>
      <c r="D382" s="268"/>
    </row>
    <row r="383" spans="3:4" x14ac:dyDescent="0.2">
      <c r="C383" s="266">
        <v>38.700000000000003</v>
      </c>
      <c r="D383" s="268"/>
    </row>
    <row r="384" spans="3:4" x14ac:dyDescent="0.2">
      <c r="C384" s="267">
        <v>38.799999999999997</v>
      </c>
      <c r="D384" s="268"/>
    </row>
    <row r="385" spans="3:4" x14ac:dyDescent="0.2">
      <c r="C385" s="266">
        <v>38.9</v>
      </c>
      <c r="D385" s="268"/>
    </row>
    <row r="386" spans="3:4" x14ac:dyDescent="0.2">
      <c r="C386" s="267">
        <v>39</v>
      </c>
      <c r="D386" s="268"/>
    </row>
    <row r="387" spans="3:4" x14ac:dyDescent="0.2">
      <c r="C387" s="266">
        <v>39.1</v>
      </c>
      <c r="D387" s="268"/>
    </row>
    <row r="388" spans="3:4" x14ac:dyDescent="0.2">
      <c r="C388" s="267">
        <v>39.200000000000003</v>
      </c>
      <c r="D388" s="268"/>
    </row>
    <row r="389" spans="3:4" x14ac:dyDescent="0.2">
      <c r="C389" s="266">
        <v>39.299999999999997</v>
      </c>
      <c r="D389" s="268"/>
    </row>
    <row r="390" spans="3:4" x14ac:dyDescent="0.2">
      <c r="C390" s="267">
        <v>39.4</v>
      </c>
      <c r="D390" s="268"/>
    </row>
    <row r="391" spans="3:4" x14ac:dyDescent="0.2">
      <c r="C391" s="266">
        <v>39.5</v>
      </c>
      <c r="D391" s="268"/>
    </row>
    <row r="392" spans="3:4" x14ac:dyDescent="0.2">
      <c r="C392" s="267">
        <v>39.6</v>
      </c>
      <c r="D392" s="268"/>
    </row>
    <row r="393" spans="3:4" x14ac:dyDescent="0.2">
      <c r="C393" s="266">
        <v>39.700000000000003</v>
      </c>
      <c r="D393" s="268"/>
    </row>
    <row r="394" spans="3:4" x14ac:dyDescent="0.2">
      <c r="C394" s="267">
        <v>39.799999999999997</v>
      </c>
      <c r="D394" s="268"/>
    </row>
    <row r="395" spans="3:4" x14ac:dyDescent="0.2">
      <c r="C395" s="266">
        <v>39.9</v>
      </c>
      <c r="D395" s="268"/>
    </row>
    <row r="396" spans="3:4" x14ac:dyDescent="0.2">
      <c r="C396" s="267">
        <v>40</v>
      </c>
      <c r="D396" s="268"/>
    </row>
    <row r="397" spans="3:4" x14ac:dyDescent="0.2">
      <c r="C397" s="266">
        <v>40.1</v>
      </c>
      <c r="D397" s="268"/>
    </row>
    <row r="398" spans="3:4" x14ac:dyDescent="0.2">
      <c r="C398" s="267">
        <v>40.200000000000003</v>
      </c>
      <c r="D398" s="268"/>
    </row>
    <row r="399" spans="3:4" x14ac:dyDescent="0.2">
      <c r="C399" s="266">
        <v>40.299999999999997</v>
      </c>
      <c r="D399" s="268"/>
    </row>
    <row r="400" spans="3:4" x14ac:dyDescent="0.2">
      <c r="C400" s="267">
        <v>40.4</v>
      </c>
      <c r="D400" s="268"/>
    </row>
    <row r="401" spans="3:4" x14ac:dyDescent="0.2">
      <c r="C401" s="266">
        <v>40.5</v>
      </c>
      <c r="D401" s="268"/>
    </row>
    <row r="402" spans="3:4" x14ac:dyDescent="0.2">
      <c r="C402" s="267">
        <v>40.6</v>
      </c>
      <c r="D402" s="268"/>
    </row>
    <row r="403" spans="3:4" x14ac:dyDescent="0.2">
      <c r="C403" s="266">
        <v>40.700000000000003</v>
      </c>
      <c r="D403" s="268"/>
    </row>
    <row r="404" spans="3:4" x14ac:dyDescent="0.2">
      <c r="C404" s="267">
        <v>40.799999999999997</v>
      </c>
      <c r="D404" s="268"/>
    </row>
    <row r="405" spans="3:4" x14ac:dyDescent="0.2">
      <c r="C405" s="266">
        <v>40.9</v>
      </c>
      <c r="D405" s="268"/>
    </row>
    <row r="406" spans="3:4" x14ac:dyDescent="0.2">
      <c r="C406" s="267">
        <v>41</v>
      </c>
      <c r="D406" s="268"/>
    </row>
    <row r="407" spans="3:4" x14ac:dyDescent="0.2">
      <c r="C407" s="266">
        <v>41.1</v>
      </c>
      <c r="D407" s="268"/>
    </row>
    <row r="408" spans="3:4" x14ac:dyDescent="0.2">
      <c r="C408" s="267">
        <v>41.2</v>
      </c>
      <c r="D408" s="268"/>
    </row>
    <row r="409" spans="3:4" x14ac:dyDescent="0.2">
      <c r="C409" s="266">
        <v>41.3</v>
      </c>
      <c r="D409" s="268"/>
    </row>
    <row r="410" spans="3:4" x14ac:dyDescent="0.2">
      <c r="C410" s="267">
        <v>41.4</v>
      </c>
      <c r="D410" s="268"/>
    </row>
    <row r="411" spans="3:4" x14ac:dyDescent="0.2">
      <c r="C411" s="266">
        <v>41.5</v>
      </c>
      <c r="D411" s="268"/>
    </row>
    <row r="412" spans="3:4" x14ac:dyDescent="0.2">
      <c r="C412" s="267">
        <v>41.6</v>
      </c>
      <c r="D412" s="268"/>
    </row>
    <row r="413" spans="3:4" x14ac:dyDescent="0.2">
      <c r="C413" s="266">
        <v>41.7</v>
      </c>
      <c r="D413" s="268"/>
    </row>
    <row r="414" spans="3:4" x14ac:dyDescent="0.2">
      <c r="C414" s="267">
        <v>41.8</v>
      </c>
      <c r="D414" s="268"/>
    </row>
    <row r="415" spans="3:4" x14ac:dyDescent="0.2">
      <c r="C415" s="266">
        <v>41.9</v>
      </c>
      <c r="D415" s="268"/>
    </row>
    <row r="416" spans="3:4" x14ac:dyDescent="0.2">
      <c r="C416" s="267">
        <v>42</v>
      </c>
      <c r="D416" s="268"/>
    </row>
    <row r="417" spans="3:4" x14ac:dyDescent="0.2">
      <c r="C417" s="266">
        <v>42.1</v>
      </c>
      <c r="D417" s="268"/>
    </row>
    <row r="418" spans="3:4" x14ac:dyDescent="0.2">
      <c r="C418" s="267">
        <v>42.2</v>
      </c>
      <c r="D418" s="268"/>
    </row>
    <row r="419" spans="3:4" x14ac:dyDescent="0.2">
      <c r="C419" s="266">
        <v>42.3</v>
      </c>
      <c r="D419" s="268"/>
    </row>
    <row r="420" spans="3:4" x14ac:dyDescent="0.2">
      <c r="C420" s="267">
        <v>42.4</v>
      </c>
      <c r="D420" s="268"/>
    </row>
    <row r="421" spans="3:4" x14ac:dyDescent="0.2">
      <c r="C421" s="266">
        <v>42.5</v>
      </c>
      <c r="D421" s="268"/>
    </row>
    <row r="422" spans="3:4" x14ac:dyDescent="0.2">
      <c r="C422" s="267">
        <v>42.6</v>
      </c>
      <c r="D422" s="268"/>
    </row>
    <row r="423" spans="3:4" x14ac:dyDescent="0.2">
      <c r="C423" s="266">
        <v>42.7</v>
      </c>
      <c r="D423" s="268"/>
    </row>
    <row r="424" spans="3:4" x14ac:dyDescent="0.2">
      <c r="C424" s="267">
        <v>42.8</v>
      </c>
      <c r="D424" s="268"/>
    </row>
    <row r="425" spans="3:4" x14ac:dyDescent="0.2">
      <c r="C425" s="266">
        <v>42.9</v>
      </c>
      <c r="D425" s="268"/>
    </row>
    <row r="426" spans="3:4" x14ac:dyDescent="0.2">
      <c r="C426" s="267">
        <v>43</v>
      </c>
      <c r="D426" s="268"/>
    </row>
    <row r="427" spans="3:4" x14ac:dyDescent="0.2">
      <c r="C427" s="266">
        <v>43.1</v>
      </c>
      <c r="D427" s="268"/>
    </row>
    <row r="428" spans="3:4" x14ac:dyDescent="0.2">
      <c r="C428" s="267">
        <v>43.2</v>
      </c>
      <c r="D428" s="268"/>
    </row>
    <row r="429" spans="3:4" x14ac:dyDescent="0.2">
      <c r="C429" s="266">
        <v>43.3</v>
      </c>
      <c r="D429" s="268"/>
    </row>
    <row r="430" spans="3:4" x14ac:dyDescent="0.2">
      <c r="C430" s="267">
        <v>43.4</v>
      </c>
      <c r="D430" s="268"/>
    </row>
    <row r="431" spans="3:4" x14ac:dyDescent="0.2">
      <c r="C431" s="266">
        <v>43.5</v>
      </c>
      <c r="D431" s="268"/>
    </row>
    <row r="432" spans="3:4" x14ac:dyDescent="0.2">
      <c r="C432" s="267">
        <v>43.6</v>
      </c>
      <c r="D432" s="268"/>
    </row>
    <row r="433" spans="3:4" x14ac:dyDescent="0.2">
      <c r="C433" s="266">
        <v>43.7</v>
      </c>
      <c r="D433" s="268"/>
    </row>
    <row r="434" spans="3:4" x14ac:dyDescent="0.2">
      <c r="C434" s="267">
        <v>43.8</v>
      </c>
      <c r="D434" s="268"/>
    </row>
    <row r="435" spans="3:4" x14ac:dyDescent="0.2">
      <c r="C435" s="266">
        <v>43.9</v>
      </c>
      <c r="D435" s="268"/>
    </row>
    <row r="436" spans="3:4" x14ac:dyDescent="0.2">
      <c r="C436" s="267">
        <v>44</v>
      </c>
      <c r="D436" s="268"/>
    </row>
    <row r="437" spans="3:4" x14ac:dyDescent="0.2">
      <c r="C437" s="266">
        <v>44.1</v>
      </c>
      <c r="D437" s="268"/>
    </row>
    <row r="438" spans="3:4" x14ac:dyDescent="0.2">
      <c r="C438" s="267">
        <v>44.2</v>
      </c>
      <c r="D438" s="268"/>
    </row>
    <row r="439" spans="3:4" x14ac:dyDescent="0.2">
      <c r="C439" s="266">
        <v>44.3</v>
      </c>
      <c r="D439" s="268"/>
    </row>
    <row r="440" spans="3:4" x14ac:dyDescent="0.2">
      <c r="C440" s="267">
        <v>44.4</v>
      </c>
      <c r="D440" s="268"/>
    </row>
    <row r="441" spans="3:4" x14ac:dyDescent="0.2">
      <c r="C441" s="266">
        <v>44.5</v>
      </c>
      <c r="D441" s="268"/>
    </row>
    <row r="442" spans="3:4" x14ac:dyDescent="0.2">
      <c r="C442" s="267">
        <v>44.6</v>
      </c>
      <c r="D442" s="268"/>
    </row>
    <row r="443" spans="3:4" x14ac:dyDescent="0.2">
      <c r="C443" s="266">
        <v>44.7</v>
      </c>
      <c r="D443" s="268"/>
    </row>
    <row r="444" spans="3:4" x14ac:dyDescent="0.2">
      <c r="C444" s="267">
        <v>44.8</v>
      </c>
      <c r="D444" s="268"/>
    </row>
    <row r="445" spans="3:4" x14ac:dyDescent="0.2">
      <c r="C445" s="266">
        <v>44.9</v>
      </c>
      <c r="D445" s="268"/>
    </row>
    <row r="446" spans="3:4" x14ac:dyDescent="0.2">
      <c r="C446" s="267">
        <v>45</v>
      </c>
      <c r="D446" s="268"/>
    </row>
    <row r="447" spans="3:4" x14ac:dyDescent="0.2">
      <c r="C447" s="266">
        <v>45.1</v>
      </c>
      <c r="D447" s="268"/>
    </row>
    <row r="448" spans="3:4" x14ac:dyDescent="0.2">
      <c r="C448" s="267">
        <v>45.2</v>
      </c>
      <c r="D448" s="268"/>
    </row>
    <row r="449" spans="3:4" x14ac:dyDescent="0.2">
      <c r="C449" s="266">
        <v>45.3</v>
      </c>
      <c r="D449" s="268"/>
    </row>
    <row r="450" spans="3:4" x14ac:dyDescent="0.2">
      <c r="C450" s="267">
        <v>45.4</v>
      </c>
      <c r="D450" s="268"/>
    </row>
    <row r="451" spans="3:4" x14ac:dyDescent="0.2">
      <c r="C451" s="266">
        <v>45.5</v>
      </c>
      <c r="D451" s="268"/>
    </row>
    <row r="452" spans="3:4" x14ac:dyDescent="0.2">
      <c r="C452" s="267">
        <v>45.6</v>
      </c>
      <c r="D452" s="268"/>
    </row>
    <row r="453" spans="3:4" x14ac:dyDescent="0.2">
      <c r="C453" s="266">
        <v>45.7</v>
      </c>
      <c r="D453" s="268"/>
    </row>
    <row r="454" spans="3:4" x14ac:dyDescent="0.2">
      <c r="C454" s="267">
        <v>45.8</v>
      </c>
      <c r="D454" s="268"/>
    </row>
    <row r="455" spans="3:4" x14ac:dyDescent="0.2">
      <c r="C455" s="266">
        <v>45.9</v>
      </c>
      <c r="D455" s="268"/>
    </row>
    <row r="456" spans="3:4" x14ac:dyDescent="0.2">
      <c r="C456" s="267">
        <v>46</v>
      </c>
      <c r="D456" s="268"/>
    </row>
    <row r="457" spans="3:4" x14ac:dyDescent="0.2">
      <c r="C457" s="266">
        <v>46.1</v>
      </c>
      <c r="D457" s="268"/>
    </row>
    <row r="458" spans="3:4" x14ac:dyDescent="0.2">
      <c r="C458" s="267">
        <v>46.2</v>
      </c>
      <c r="D458" s="268"/>
    </row>
    <row r="459" spans="3:4" x14ac:dyDescent="0.2">
      <c r="C459" s="266">
        <v>46.3</v>
      </c>
      <c r="D459" s="268"/>
    </row>
    <row r="460" spans="3:4" x14ac:dyDescent="0.2">
      <c r="C460" s="267">
        <v>46.4</v>
      </c>
      <c r="D460" s="268"/>
    </row>
    <row r="461" spans="3:4" x14ac:dyDescent="0.2">
      <c r="C461" s="266">
        <v>46.5</v>
      </c>
      <c r="D461" s="268"/>
    </row>
    <row r="462" spans="3:4" x14ac:dyDescent="0.2">
      <c r="C462" s="267">
        <v>46.6</v>
      </c>
      <c r="D462" s="268"/>
    </row>
    <row r="463" spans="3:4" x14ac:dyDescent="0.2">
      <c r="C463" s="266">
        <v>46.7</v>
      </c>
      <c r="D463" s="268"/>
    </row>
    <row r="464" spans="3:4" x14ac:dyDescent="0.2">
      <c r="C464" s="267">
        <v>46.8</v>
      </c>
      <c r="D464" s="268"/>
    </row>
    <row r="465" spans="3:4" x14ac:dyDescent="0.2">
      <c r="C465" s="266">
        <v>46.9</v>
      </c>
      <c r="D465" s="268"/>
    </row>
    <row r="466" spans="3:4" x14ac:dyDescent="0.2">
      <c r="C466" s="267">
        <v>47</v>
      </c>
      <c r="D466" s="268"/>
    </row>
    <row r="467" spans="3:4" x14ac:dyDescent="0.2">
      <c r="C467" s="266">
        <v>47.1</v>
      </c>
      <c r="D467" s="268"/>
    </row>
    <row r="468" spans="3:4" x14ac:dyDescent="0.2">
      <c r="C468" s="267">
        <v>47.2</v>
      </c>
      <c r="D468" s="268"/>
    </row>
    <row r="469" spans="3:4" x14ac:dyDescent="0.2">
      <c r="C469" s="266">
        <v>47.3</v>
      </c>
      <c r="D469" s="268"/>
    </row>
    <row r="470" spans="3:4" x14ac:dyDescent="0.2">
      <c r="C470" s="267">
        <v>47.4</v>
      </c>
      <c r="D470" s="268"/>
    </row>
    <row r="471" spans="3:4" x14ac:dyDescent="0.2">
      <c r="C471" s="266">
        <v>47.5</v>
      </c>
      <c r="D471" s="268"/>
    </row>
    <row r="472" spans="3:4" x14ac:dyDescent="0.2">
      <c r="C472" s="267">
        <v>47.6</v>
      </c>
      <c r="D472" s="268"/>
    </row>
    <row r="473" spans="3:4" x14ac:dyDescent="0.2">
      <c r="C473" s="266">
        <v>47.7</v>
      </c>
      <c r="D473" s="268"/>
    </row>
    <row r="474" spans="3:4" x14ac:dyDescent="0.2">
      <c r="C474" s="267">
        <v>47.8</v>
      </c>
      <c r="D474" s="268"/>
    </row>
    <row r="475" spans="3:4" x14ac:dyDescent="0.2">
      <c r="C475" s="266">
        <v>47.9</v>
      </c>
      <c r="D475" s="268"/>
    </row>
    <row r="476" spans="3:4" x14ac:dyDescent="0.2">
      <c r="C476" s="267">
        <v>48</v>
      </c>
      <c r="D476" s="268"/>
    </row>
    <row r="477" spans="3:4" x14ac:dyDescent="0.2">
      <c r="C477" s="266">
        <v>48.1</v>
      </c>
      <c r="D477" s="268"/>
    </row>
    <row r="478" spans="3:4" x14ac:dyDescent="0.2">
      <c r="C478" s="267">
        <v>48.2</v>
      </c>
      <c r="D478" s="268"/>
    </row>
    <row r="479" spans="3:4" x14ac:dyDescent="0.2">
      <c r="C479" s="266">
        <v>48.3</v>
      </c>
      <c r="D479" s="268"/>
    </row>
    <row r="480" spans="3:4" x14ac:dyDescent="0.2">
      <c r="C480" s="267">
        <v>48.4</v>
      </c>
      <c r="D480" s="268"/>
    </row>
    <row r="481" spans="3:4" x14ac:dyDescent="0.2">
      <c r="C481" s="266">
        <v>48.5</v>
      </c>
      <c r="D481" s="268"/>
    </row>
    <row r="482" spans="3:4" x14ac:dyDescent="0.2">
      <c r="C482" s="267">
        <v>48.6</v>
      </c>
      <c r="D482" s="268"/>
    </row>
    <row r="483" spans="3:4" x14ac:dyDescent="0.2">
      <c r="C483" s="266">
        <v>48.7</v>
      </c>
      <c r="D483" s="268"/>
    </row>
    <row r="484" spans="3:4" x14ac:dyDescent="0.2">
      <c r="C484" s="267">
        <v>48.8</v>
      </c>
      <c r="D484" s="268"/>
    </row>
    <row r="485" spans="3:4" x14ac:dyDescent="0.2">
      <c r="C485" s="266">
        <v>48.9</v>
      </c>
      <c r="D485" s="268"/>
    </row>
    <row r="486" spans="3:4" x14ac:dyDescent="0.2">
      <c r="C486" s="267">
        <v>49</v>
      </c>
      <c r="D486" s="268"/>
    </row>
    <row r="487" spans="3:4" x14ac:dyDescent="0.2">
      <c r="C487" s="266">
        <v>49.1</v>
      </c>
      <c r="D487" s="268"/>
    </row>
    <row r="488" spans="3:4" x14ac:dyDescent="0.2">
      <c r="C488" s="267">
        <v>49.2</v>
      </c>
      <c r="D488" s="268"/>
    </row>
    <row r="489" spans="3:4" x14ac:dyDescent="0.2">
      <c r="C489" s="266">
        <v>49.3</v>
      </c>
      <c r="D489" s="268"/>
    </row>
    <row r="490" spans="3:4" x14ac:dyDescent="0.2">
      <c r="C490" s="267">
        <v>49.4</v>
      </c>
      <c r="D490" s="268"/>
    </row>
    <row r="491" spans="3:4" x14ac:dyDescent="0.2">
      <c r="C491" s="266">
        <v>49.5</v>
      </c>
      <c r="D491" s="268"/>
    </row>
    <row r="492" spans="3:4" x14ac:dyDescent="0.2">
      <c r="C492" s="267">
        <v>49.6</v>
      </c>
      <c r="D492" s="268"/>
    </row>
    <row r="493" spans="3:4" x14ac:dyDescent="0.2">
      <c r="C493" s="266">
        <v>49.7</v>
      </c>
      <c r="D493" s="268"/>
    </row>
    <row r="494" spans="3:4" x14ac:dyDescent="0.2">
      <c r="C494" s="267">
        <v>49.8</v>
      </c>
      <c r="D494" s="268"/>
    </row>
    <row r="495" spans="3:4" x14ac:dyDescent="0.2">
      <c r="C495" s="266">
        <v>49.9</v>
      </c>
      <c r="D495" s="268"/>
    </row>
    <row r="496" spans="3:4" x14ac:dyDescent="0.2">
      <c r="C496" s="267">
        <v>50</v>
      </c>
      <c r="D496" s="268"/>
    </row>
    <row r="497" spans="3:4" x14ac:dyDescent="0.2">
      <c r="C497" s="266">
        <v>50.1</v>
      </c>
      <c r="D497" s="268"/>
    </row>
    <row r="498" spans="3:4" x14ac:dyDescent="0.2">
      <c r="C498" s="267">
        <v>50.2</v>
      </c>
      <c r="D498" s="268"/>
    </row>
    <row r="499" spans="3:4" x14ac:dyDescent="0.2">
      <c r="C499" s="266">
        <v>50.3</v>
      </c>
      <c r="D499" s="268"/>
    </row>
    <row r="500" spans="3:4" x14ac:dyDescent="0.2">
      <c r="C500" s="267">
        <v>50.4</v>
      </c>
      <c r="D500" s="268"/>
    </row>
    <row r="501" spans="3:4" x14ac:dyDescent="0.2">
      <c r="C501" s="266">
        <v>50.5</v>
      </c>
      <c r="D501" s="268"/>
    </row>
    <row r="502" spans="3:4" x14ac:dyDescent="0.2">
      <c r="C502" s="267">
        <v>50.6</v>
      </c>
      <c r="D502" s="268"/>
    </row>
    <row r="503" spans="3:4" x14ac:dyDescent="0.2">
      <c r="C503" s="266">
        <v>50.7</v>
      </c>
      <c r="D503" s="268"/>
    </row>
    <row r="504" spans="3:4" x14ac:dyDescent="0.2">
      <c r="C504" s="267">
        <v>50.8</v>
      </c>
      <c r="D504" s="268"/>
    </row>
    <row r="505" spans="3:4" x14ac:dyDescent="0.2">
      <c r="C505" s="266">
        <v>50.9</v>
      </c>
      <c r="D505" s="268"/>
    </row>
    <row r="506" spans="3:4" x14ac:dyDescent="0.2">
      <c r="C506" s="267">
        <v>51</v>
      </c>
      <c r="D506" s="268"/>
    </row>
    <row r="507" spans="3:4" x14ac:dyDescent="0.2">
      <c r="C507" s="266">
        <v>51.1</v>
      </c>
      <c r="D507" s="268"/>
    </row>
    <row r="508" spans="3:4" x14ac:dyDescent="0.2">
      <c r="C508" s="267">
        <v>51.2</v>
      </c>
      <c r="D508" s="268"/>
    </row>
    <row r="509" spans="3:4" x14ac:dyDescent="0.2">
      <c r="C509" s="266">
        <v>51.3</v>
      </c>
      <c r="D509" s="268"/>
    </row>
    <row r="510" spans="3:4" x14ac:dyDescent="0.2">
      <c r="C510" s="267">
        <v>51.4</v>
      </c>
      <c r="D510" s="268"/>
    </row>
    <row r="511" spans="3:4" x14ac:dyDescent="0.2">
      <c r="C511" s="266">
        <v>51.5</v>
      </c>
      <c r="D511" s="268"/>
    </row>
    <row r="512" spans="3:4" x14ac:dyDescent="0.2">
      <c r="C512" s="267">
        <v>51.6</v>
      </c>
      <c r="D512" s="268"/>
    </row>
    <row r="513" spans="3:4" x14ac:dyDescent="0.2">
      <c r="C513" s="266">
        <v>51.7</v>
      </c>
      <c r="D513" s="268"/>
    </row>
    <row r="514" spans="3:4" x14ac:dyDescent="0.2">
      <c r="C514" s="267">
        <v>51.8</v>
      </c>
      <c r="D514" s="268"/>
    </row>
    <row r="515" spans="3:4" x14ac:dyDescent="0.2">
      <c r="C515" s="266">
        <v>51.9</v>
      </c>
      <c r="D515" s="268"/>
    </row>
    <row r="516" spans="3:4" x14ac:dyDescent="0.2">
      <c r="C516" s="267">
        <v>52</v>
      </c>
      <c r="D516" s="268"/>
    </row>
    <row r="517" spans="3:4" x14ac:dyDescent="0.2">
      <c r="C517" s="266">
        <v>52.1</v>
      </c>
      <c r="D517" s="268"/>
    </row>
    <row r="518" spans="3:4" x14ac:dyDescent="0.2">
      <c r="C518" s="267">
        <v>52.2</v>
      </c>
      <c r="D518" s="268"/>
    </row>
    <row r="519" spans="3:4" x14ac:dyDescent="0.2">
      <c r="C519" s="266">
        <v>52.3</v>
      </c>
      <c r="D519" s="268"/>
    </row>
    <row r="520" spans="3:4" x14ac:dyDescent="0.2">
      <c r="C520" s="267">
        <v>52.4</v>
      </c>
      <c r="D520" s="268"/>
    </row>
    <row r="521" spans="3:4" x14ac:dyDescent="0.2">
      <c r="C521" s="266">
        <v>52.5</v>
      </c>
      <c r="D521" s="268"/>
    </row>
    <row r="522" spans="3:4" x14ac:dyDescent="0.2">
      <c r="C522" s="267">
        <v>52.6</v>
      </c>
      <c r="D522" s="268"/>
    </row>
    <row r="523" spans="3:4" x14ac:dyDescent="0.2">
      <c r="C523" s="266">
        <v>52.7</v>
      </c>
      <c r="D523" s="268"/>
    </row>
    <row r="524" spans="3:4" x14ac:dyDescent="0.2">
      <c r="C524" s="267">
        <v>52.8</v>
      </c>
      <c r="D524" s="268"/>
    </row>
    <row r="525" spans="3:4" x14ac:dyDescent="0.2">
      <c r="C525" s="266">
        <v>52.9</v>
      </c>
      <c r="D525" s="268"/>
    </row>
    <row r="526" spans="3:4" x14ac:dyDescent="0.2">
      <c r="C526" s="267">
        <v>53</v>
      </c>
      <c r="D526" s="268"/>
    </row>
    <row r="527" spans="3:4" x14ac:dyDescent="0.2">
      <c r="C527" s="266">
        <v>53.1</v>
      </c>
      <c r="D527" s="268"/>
    </row>
    <row r="528" spans="3:4" x14ac:dyDescent="0.2">
      <c r="C528" s="267">
        <v>53.2</v>
      </c>
      <c r="D528" s="268"/>
    </row>
    <row r="529" spans="3:4" x14ac:dyDescent="0.2">
      <c r="C529" s="266">
        <v>53.3</v>
      </c>
      <c r="D529" s="268"/>
    </row>
    <row r="530" spans="3:4" x14ac:dyDescent="0.2">
      <c r="C530" s="267">
        <v>53.4</v>
      </c>
      <c r="D530" s="268"/>
    </row>
    <row r="531" spans="3:4" x14ac:dyDescent="0.2">
      <c r="C531" s="266">
        <v>53.5</v>
      </c>
      <c r="D531" s="268"/>
    </row>
    <row r="532" spans="3:4" x14ac:dyDescent="0.2">
      <c r="C532" s="267">
        <v>53.6</v>
      </c>
      <c r="D532" s="268"/>
    </row>
    <row r="533" spans="3:4" x14ac:dyDescent="0.2">
      <c r="C533" s="266">
        <v>53.7</v>
      </c>
      <c r="D533" s="268"/>
    </row>
    <row r="534" spans="3:4" x14ac:dyDescent="0.2">
      <c r="C534" s="267">
        <v>53.8</v>
      </c>
      <c r="D534" s="268"/>
    </row>
    <row r="535" spans="3:4" x14ac:dyDescent="0.2">
      <c r="C535" s="266">
        <v>53.9</v>
      </c>
      <c r="D535" s="268"/>
    </row>
    <row r="536" spans="3:4" x14ac:dyDescent="0.2">
      <c r="C536" s="267">
        <v>54</v>
      </c>
      <c r="D536" s="268"/>
    </row>
    <row r="537" spans="3:4" x14ac:dyDescent="0.2">
      <c r="C537" s="266">
        <v>54.1</v>
      </c>
      <c r="D537" s="268"/>
    </row>
    <row r="538" spans="3:4" x14ac:dyDescent="0.2">
      <c r="C538" s="267">
        <v>54.2</v>
      </c>
      <c r="D538" s="268"/>
    </row>
    <row r="539" spans="3:4" x14ac:dyDescent="0.2">
      <c r="C539" s="266">
        <v>54.3</v>
      </c>
      <c r="D539" s="268"/>
    </row>
    <row r="540" spans="3:4" x14ac:dyDescent="0.2">
      <c r="C540" s="267">
        <v>54.4</v>
      </c>
      <c r="D540" s="268"/>
    </row>
    <row r="541" spans="3:4" x14ac:dyDescent="0.2">
      <c r="C541" s="266">
        <v>54.5</v>
      </c>
      <c r="D541" s="268"/>
    </row>
    <row r="542" spans="3:4" x14ac:dyDescent="0.2">
      <c r="C542" s="267">
        <v>54.600000000000101</v>
      </c>
      <c r="D542" s="268"/>
    </row>
    <row r="543" spans="3:4" x14ac:dyDescent="0.2">
      <c r="C543" s="266">
        <v>54.7</v>
      </c>
      <c r="D543" s="268"/>
    </row>
    <row r="544" spans="3:4" x14ac:dyDescent="0.2">
      <c r="C544" s="267">
        <v>54.8</v>
      </c>
      <c r="D544" s="268"/>
    </row>
    <row r="545" spans="3:4" x14ac:dyDescent="0.2">
      <c r="C545" s="266">
        <v>54.9</v>
      </c>
      <c r="D545" s="268"/>
    </row>
    <row r="546" spans="3:4" x14ac:dyDescent="0.2">
      <c r="C546" s="267">
        <v>55</v>
      </c>
      <c r="D546" s="268"/>
    </row>
    <row r="547" spans="3:4" x14ac:dyDescent="0.2">
      <c r="C547" s="266">
        <v>55.100000000000101</v>
      </c>
      <c r="D547" s="268"/>
    </row>
    <row r="548" spans="3:4" x14ac:dyDescent="0.2">
      <c r="C548" s="267">
        <v>55.2</v>
      </c>
      <c r="D548" s="268"/>
    </row>
    <row r="549" spans="3:4" x14ac:dyDescent="0.2">
      <c r="C549" s="266">
        <v>55.3</v>
      </c>
      <c r="D549" s="268"/>
    </row>
    <row r="550" spans="3:4" x14ac:dyDescent="0.2">
      <c r="C550" s="267">
        <v>55.4</v>
      </c>
      <c r="D550" s="268"/>
    </row>
    <row r="551" spans="3:4" x14ac:dyDescent="0.2">
      <c r="C551" s="266">
        <v>55.5</v>
      </c>
      <c r="D551" s="268"/>
    </row>
    <row r="552" spans="3:4" x14ac:dyDescent="0.2">
      <c r="C552" s="267">
        <v>55.600000000000101</v>
      </c>
      <c r="D552" s="265"/>
    </row>
    <row r="553" spans="3:4" x14ac:dyDescent="0.2">
      <c r="C553" s="266">
        <v>55.7</v>
      </c>
      <c r="D553" s="265"/>
    </row>
    <row r="554" spans="3:4" x14ac:dyDescent="0.2">
      <c r="C554" s="267">
        <v>55.8</v>
      </c>
      <c r="D554" s="265"/>
    </row>
    <row r="555" spans="3:4" x14ac:dyDescent="0.2">
      <c r="C555" s="266">
        <v>55.9</v>
      </c>
      <c r="D555" s="265"/>
    </row>
    <row r="556" spans="3:4" x14ac:dyDescent="0.2">
      <c r="C556" s="267">
        <v>56</v>
      </c>
      <c r="D556" s="265"/>
    </row>
    <row r="557" spans="3:4" x14ac:dyDescent="0.2">
      <c r="C557" s="266">
        <v>56.100000000000101</v>
      </c>
      <c r="D557" s="265"/>
    </row>
    <row r="558" spans="3:4" x14ac:dyDescent="0.2">
      <c r="C558" s="267">
        <v>56.2</v>
      </c>
      <c r="D558" s="265"/>
    </row>
    <row r="559" spans="3:4" x14ac:dyDescent="0.2">
      <c r="C559" s="266">
        <v>56.3</v>
      </c>
      <c r="D559" s="265"/>
    </row>
    <row r="560" spans="3:4" x14ac:dyDescent="0.2">
      <c r="C560" s="267">
        <v>56.4</v>
      </c>
      <c r="D560" s="265"/>
    </row>
    <row r="561" spans="3:4" x14ac:dyDescent="0.2">
      <c r="C561" s="266">
        <v>56.5</v>
      </c>
      <c r="D561" s="265"/>
    </row>
    <row r="562" spans="3:4" x14ac:dyDescent="0.2">
      <c r="C562" s="267">
        <v>56.600000000000101</v>
      </c>
      <c r="D562" s="265"/>
    </row>
    <row r="563" spans="3:4" x14ac:dyDescent="0.2">
      <c r="C563" s="266">
        <v>56.700000000000102</v>
      </c>
      <c r="D563" s="265"/>
    </row>
    <row r="564" spans="3:4" x14ac:dyDescent="0.2">
      <c r="C564" s="267">
        <v>56.8</v>
      </c>
      <c r="D564" s="265"/>
    </row>
    <row r="565" spans="3:4" x14ac:dyDescent="0.2">
      <c r="C565" s="266">
        <v>56.9</v>
      </c>
      <c r="D565" s="265"/>
    </row>
    <row r="566" spans="3:4" x14ac:dyDescent="0.2">
      <c r="C566" s="267">
        <v>57</v>
      </c>
      <c r="D566" s="265"/>
    </row>
    <row r="567" spans="3:4" x14ac:dyDescent="0.2">
      <c r="C567" s="266">
        <v>57.100000000000101</v>
      </c>
      <c r="D567" s="265"/>
    </row>
    <row r="568" spans="3:4" x14ac:dyDescent="0.2">
      <c r="C568" s="267">
        <v>57.200000000000102</v>
      </c>
      <c r="D568" s="265"/>
    </row>
    <row r="569" spans="3:4" x14ac:dyDescent="0.2">
      <c r="C569" s="266">
        <v>57.3</v>
      </c>
      <c r="D569" s="265"/>
    </row>
    <row r="570" spans="3:4" x14ac:dyDescent="0.2">
      <c r="C570" s="267">
        <v>57.4</v>
      </c>
      <c r="D570" s="265"/>
    </row>
    <row r="571" spans="3:4" x14ac:dyDescent="0.2">
      <c r="C571" s="266">
        <v>57.5</v>
      </c>
      <c r="D571" s="265"/>
    </row>
    <row r="572" spans="3:4" x14ac:dyDescent="0.2">
      <c r="C572" s="267">
        <v>57.600000000000101</v>
      </c>
      <c r="D572" s="265"/>
    </row>
    <row r="573" spans="3:4" x14ac:dyDescent="0.2">
      <c r="C573" s="266">
        <v>57.700000000000102</v>
      </c>
      <c r="D573" s="265"/>
    </row>
    <row r="574" spans="3:4" x14ac:dyDescent="0.2">
      <c r="C574" s="267">
        <v>57.800000000000097</v>
      </c>
      <c r="D574" s="265"/>
    </row>
    <row r="575" spans="3:4" x14ac:dyDescent="0.2">
      <c r="C575" s="266">
        <v>57.9</v>
      </c>
      <c r="D575" s="265"/>
    </row>
    <row r="576" spans="3:4" x14ac:dyDescent="0.2">
      <c r="C576" s="267">
        <v>58</v>
      </c>
      <c r="D576" s="265"/>
    </row>
    <row r="577" spans="3:4" x14ac:dyDescent="0.2">
      <c r="C577" s="266">
        <v>58.100000000000101</v>
      </c>
      <c r="D577" s="265"/>
    </row>
    <row r="578" spans="3:4" x14ac:dyDescent="0.2">
      <c r="C578" s="267">
        <v>58.200000000000102</v>
      </c>
      <c r="D578" s="265"/>
    </row>
    <row r="579" spans="3:4" x14ac:dyDescent="0.2">
      <c r="C579" s="266">
        <v>58.300000000000097</v>
      </c>
      <c r="D579" s="265"/>
    </row>
    <row r="580" spans="3:4" x14ac:dyDescent="0.2">
      <c r="C580" s="267">
        <v>58.4</v>
      </c>
      <c r="D580" s="265"/>
    </row>
    <row r="581" spans="3:4" x14ac:dyDescent="0.2">
      <c r="C581" s="266">
        <v>58.5</v>
      </c>
      <c r="D581" s="265"/>
    </row>
    <row r="582" spans="3:4" x14ac:dyDescent="0.2">
      <c r="C582" s="267">
        <v>58.600000000000101</v>
      </c>
      <c r="D582" s="265"/>
    </row>
    <row r="583" spans="3:4" x14ac:dyDescent="0.2">
      <c r="C583" s="266">
        <v>58.700000000000102</v>
      </c>
      <c r="D583" s="265"/>
    </row>
    <row r="584" spans="3:4" x14ac:dyDescent="0.2">
      <c r="C584" s="267">
        <v>58.800000000000097</v>
      </c>
      <c r="D584" s="265"/>
    </row>
    <row r="585" spans="3:4" x14ac:dyDescent="0.2">
      <c r="C585" s="266">
        <v>58.9</v>
      </c>
      <c r="D585" s="265"/>
    </row>
    <row r="586" spans="3:4" x14ac:dyDescent="0.2">
      <c r="C586" s="267">
        <v>59</v>
      </c>
      <c r="D586" s="265"/>
    </row>
    <row r="587" spans="3:4" x14ac:dyDescent="0.2">
      <c r="C587" s="266">
        <v>59.100000000000101</v>
      </c>
      <c r="D587" s="265"/>
    </row>
    <row r="588" spans="3:4" x14ac:dyDescent="0.2">
      <c r="C588" s="267">
        <v>59.200000000000102</v>
      </c>
      <c r="D588" s="265"/>
    </row>
    <row r="589" spans="3:4" x14ac:dyDescent="0.2">
      <c r="C589" s="266">
        <v>59.300000000000097</v>
      </c>
      <c r="D589" s="265"/>
    </row>
    <row r="590" spans="3:4" x14ac:dyDescent="0.2">
      <c r="C590" s="267">
        <v>59.4</v>
      </c>
      <c r="D590" s="265"/>
    </row>
    <row r="591" spans="3:4" x14ac:dyDescent="0.2">
      <c r="C591" s="266">
        <v>59.5</v>
      </c>
      <c r="D591" s="265"/>
    </row>
    <row r="592" spans="3:4" x14ac:dyDescent="0.2">
      <c r="C592" s="267">
        <v>59.600000000000101</v>
      </c>
      <c r="D592" s="265"/>
    </row>
    <row r="593" spans="3:4" x14ac:dyDescent="0.2">
      <c r="C593" s="266">
        <v>59.700000000000102</v>
      </c>
      <c r="D593" s="265"/>
    </row>
    <row r="594" spans="3:4" x14ac:dyDescent="0.2">
      <c r="C594" s="267">
        <v>59.800000000000097</v>
      </c>
      <c r="D594" s="265"/>
    </row>
    <row r="595" spans="3:4" x14ac:dyDescent="0.2">
      <c r="C595" s="266">
        <v>59.900000000000098</v>
      </c>
      <c r="D595" s="265"/>
    </row>
    <row r="596" spans="3:4" x14ac:dyDescent="0.2">
      <c r="C596" s="267">
        <v>60</v>
      </c>
      <c r="D596" s="265"/>
    </row>
    <row r="597" spans="3:4" x14ac:dyDescent="0.2">
      <c r="C597" s="266">
        <v>60.100000000000101</v>
      </c>
      <c r="D597" s="265"/>
    </row>
    <row r="598" spans="3:4" x14ac:dyDescent="0.2">
      <c r="C598" s="267">
        <v>60.200000000000102</v>
      </c>
      <c r="D598" s="265"/>
    </row>
    <row r="599" spans="3:4" x14ac:dyDescent="0.2">
      <c r="C599" s="266">
        <v>60.300000000000097</v>
      </c>
      <c r="D599" s="265"/>
    </row>
    <row r="600" spans="3:4" x14ac:dyDescent="0.2">
      <c r="C600" s="267">
        <v>60.400000000000098</v>
      </c>
      <c r="D600" s="265"/>
    </row>
    <row r="601" spans="3:4" x14ac:dyDescent="0.2">
      <c r="C601" s="266">
        <v>60.5</v>
      </c>
      <c r="D601" s="265"/>
    </row>
    <row r="602" spans="3:4" x14ac:dyDescent="0.2">
      <c r="C602" s="267">
        <v>60.600000000000101</v>
      </c>
      <c r="D602" s="265"/>
    </row>
    <row r="603" spans="3:4" x14ac:dyDescent="0.2">
      <c r="C603" s="266">
        <v>60.700000000000102</v>
      </c>
      <c r="D603" s="265"/>
    </row>
    <row r="604" spans="3:4" x14ac:dyDescent="0.2">
      <c r="C604" s="267">
        <v>60.800000000000097</v>
      </c>
      <c r="D604" s="265"/>
    </row>
    <row r="605" spans="3:4" x14ac:dyDescent="0.2">
      <c r="C605" s="266">
        <v>60.900000000000098</v>
      </c>
      <c r="D605" s="265"/>
    </row>
    <row r="606" spans="3:4" x14ac:dyDescent="0.2">
      <c r="C606" s="267">
        <v>61.000000000000099</v>
      </c>
      <c r="D606" s="265"/>
    </row>
    <row r="607" spans="3:4" x14ac:dyDescent="0.2">
      <c r="C607" s="266">
        <v>61.100000000000101</v>
      </c>
      <c r="D607" s="265"/>
    </row>
    <row r="608" spans="3:4" x14ac:dyDescent="0.2">
      <c r="C608" s="267">
        <v>61.200000000000102</v>
      </c>
      <c r="D608" s="265"/>
    </row>
    <row r="609" spans="3:4" x14ac:dyDescent="0.2">
      <c r="C609" s="266">
        <v>61.300000000000097</v>
      </c>
      <c r="D609" s="265"/>
    </row>
    <row r="610" spans="3:4" x14ac:dyDescent="0.2">
      <c r="C610" s="267">
        <v>61.400000000000098</v>
      </c>
      <c r="D610" s="265"/>
    </row>
    <row r="611" spans="3:4" x14ac:dyDescent="0.2">
      <c r="C611" s="266">
        <v>61.500000000000099</v>
      </c>
      <c r="D611" s="265"/>
    </row>
    <row r="612" spans="3:4" x14ac:dyDescent="0.2">
      <c r="C612" s="267">
        <v>61.600000000000101</v>
      </c>
      <c r="D612" s="265"/>
    </row>
    <row r="613" spans="3:4" x14ac:dyDescent="0.2">
      <c r="C613" s="266">
        <v>61.700000000000102</v>
      </c>
      <c r="D613" s="265"/>
    </row>
    <row r="614" spans="3:4" x14ac:dyDescent="0.2">
      <c r="C614" s="267">
        <v>61.800000000000097</v>
      </c>
      <c r="D614" s="265"/>
    </row>
    <row r="615" spans="3:4" x14ac:dyDescent="0.2">
      <c r="C615" s="266">
        <v>61.900000000000098</v>
      </c>
      <c r="D615" s="265"/>
    </row>
    <row r="616" spans="3:4" x14ac:dyDescent="0.2">
      <c r="C616" s="267">
        <v>62.000000000000099</v>
      </c>
      <c r="D616" s="265"/>
    </row>
    <row r="617" spans="3:4" x14ac:dyDescent="0.2">
      <c r="C617" s="266">
        <v>62.100000000000101</v>
      </c>
      <c r="D617" s="265"/>
    </row>
    <row r="618" spans="3:4" x14ac:dyDescent="0.2">
      <c r="C618" s="267">
        <v>62.200000000000102</v>
      </c>
      <c r="D618" s="265"/>
    </row>
    <row r="619" spans="3:4" x14ac:dyDescent="0.2">
      <c r="C619" s="266">
        <v>62.300000000000097</v>
      </c>
      <c r="D619" s="265"/>
    </row>
    <row r="620" spans="3:4" x14ac:dyDescent="0.2">
      <c r="C620" s="267">
        <v>62.400000000000098</v>
      </c>
      <c r="D620" s="265"/>
    </row>
    <row r="621" spans="3:4" x14ac:dyDescent="0.2">
      <c r="C621" s="266">
        <v>62.500000000000099</v>
      </c>
      <c r="D621" s="265"/>
    </row>
    <row r="622" spans="3:4" x14ac:dyDescent="0.2">
      <c r="C622" s="267">
        <v>62.600000000000101</v>
      </c>
      <c r="D622" s="265"/>
    </row>
    <row r="623" spans="3:4" x14ac:dyDescent="0.2">
      <c r="C623" s="266">
        <v>62.700000000000102</v>
      </c>
      <c r="D623" s="265"/>
    </row>
    <row r="624" spans="3:4" x14ac:dyDescent="0.2">
      <c r="C624" s="267">
        <v>62.800000000000097</v>
      </c>
      <c r="D624" s="265"/>
    </row>
    <row r="625" spans="3:4" x14ac:dyDescent="0.2">
      <c r="C625" s="266">
        <v>62.900000000000098</v>
      </c>
      <c r="D625" s="265"/>
    </row>
    <row r="626" spans="3:4" x14ac:dyDescent="0.2">
      <c r="C626" s="267">
        <v>63.000000000000099</v>
      </c>
      <c r="D626" s="265"/>
    </row>
    <row r="627" spans="3:4" x14ac:dyDescent="0.2">
      <c r="C627" s="266">
        <v>63.100000000000101</v>
      </c>
      <c r="D627" s="265"/>
    </row>
    <row r="628" spans="3:4" x14ac:dyDescent="0.2">
      <c r="C628" s="267">
        <v>63.200000000000102</v>
      </c>
      <c r="D628" s="265"/>
    </row>
    <row r="629" spans="3:4" x14ac:dyDescent="0.2">
      <c r="C629" s="266">
        <v>63.300000000000097</v>
      </c>
      <c r="D629" s="265"/>
    </row>
    <row r="630" spans="3:4" x14ac:dyDescent="0.2">
      <c r="C630" s="267">
        <v>63.400000000000098</v>
      </c>
      <c r="D630" s="265"/>
    </row>
    <row r="631" spans="3:4" x14ac:dyDescent="0.2">
      <c r="C631" s="266">
        <v>63.500000000000099</v>
      </c>
      <c r="D631" s="265"/>
    </row>
    <row r="632" spans="3:4" x14ac:dyDescent="0.2">
      <c r="C632" s="267">
        <v>63.600000000000101</v>
      </c>
      <c r="D632" s="265"/>
    </row>
    <row r="633" spans="3:4" x14ac:dyDescent="0.2">
      <c r="C633" s="266">
        <v>63.700000000000102</v>
      </c>
      <c r="D633" s="265"/>
    </row>
    <row r="634" spans="3:4" x14ac:dyDescent="0.2">
      <c r="C634" s="267">
        <v>63.800000000000097</v>
      </c>
      <c r="D634" s="265"/>
    </row>
    <row r="635" spans="3:4" x14ac:dyDescent="0.2">
      <c r="C635" s="266">
        <v>63.900000000000098</v>
      </c>
      <c r="D635" s="265"/>
    </row>
    <row r="636" spans="3:4" x14ac:dyDescent="0.2">
      <c r="C636" s="267">
        <v>64.000000000000099</v>
      </c>
      <c r="D636" s="265"/>
    </row>
    <row r="637" spans="3:4" x14ac:dyDescent="0.2">
      <c r="C637" s="266">
        <v>64.100000000000094</v>
      </c>
      <c r="D637" s="265"/>
    </row>
    <row r="638" spans="3:4" x14ac:dyDescent="0.2">
      <c r="C638" s="267">
        <v>64.200000000000102</v>
      </c>
      <c r="D638" s="265"/>
    </row>
    <row r="639" spans="3:4" x14ac:dyDescent="0.2">
      <c r="C639" s="266">
        <v>64.300000000000097</v>
      </c>
      <c r="D639" s="265"/>
    </row>
    <row r="640" spans="3:4" x14ac:dyDescent="0.2">
      <c r="C640" s="267">
        <v>64.400000000000105</v>
      </c>
      <c r="D640" s="265"/>
    </row>
    <row r="641" spans="3:4" x14ac:dyDescent="0.2">
      <c r="C641" s="266">
        <v>64.500000000000099</v>
      </c>
      <c r="D641" s="265"/>
    </row>
    <row r="642" spans="3:4" x14ac:dyDescent="0.2">
      <c r="C642" s="267">
        <v>64.600000000000094</v>
      </c>
      <c r="D642" s="265"/>
    </row>
    <row r="643" spans="3:4" x14ac:dyDescent="0.2">
      <c r="C643" s="266">
        <v>64.700000000000102</v>
      </c>
      <c r="D643" s="265"/>
    </row>
    <row r="644" spans="3:4" x14ac:dyDescent="0.2">
      <c r="C644" s="267">
        <v>64.800000000000097</v>
      </c>
      <c r="D644" s="265"/>
    </row>
    <row r="645" spans="3:4" x14ac:dyDescent="0.2">
      <c r="C645" s="266">
        <v>64.900000000000105</v>
      </c>
      <c r="D645" s="265"/>
    </row>
    <row r="646" spans="3:4" x14ac:dyDescent="0.2">
      <c r="C646" s="267">
        <v>65.000000000000099</v>
      </c>
      <c r="D646" s="265"/>
    </row>
    <row r="647" spans="3:4" x14ac:dyDescent="0.2">
      <c r="C647" s="266">
        <v>65.100000000000094</v>
      </c>
      <c r="D647" s="265"/>
    </row>
    <row r="648" spans="3:4" x14ac:dyDescent="0.2">
      <c r="C648" s="267">
        <v>65.200000000000102</v>
      </c>
      <c r="D648" s="265"/>
    </row>
    <row r="649" spans="3:4" x14ac:dyDescent="0.2">
      <c r="C649" s="266">
        <v>65.300000000000097</v>
      </c>
      <c r="D649" s="265"/>
    </row>
    <row r="650" spans="3:4" x14ac:dyDescent="0.2">
      <c r="C650" s="267">
        <v>65.400000000000105</v>
      </c>
      <c r="D650" s="265"/>
    </row>
    <row r="651" spans="3:4" x14ac:dyDescent="0.2">
      <c r="C651" s="266">
        <v>65.500000000000099</v>
      </c>
      <c r="D651" s="265"/>
    </row>
    <row r="652" spans="3:4" x14ac:dyDescent="0.2">
      <c r="C652" s="267">
        <v>65.600000000000094</v>
      </c>
      <c r="D652" s="265"/>
    </row>
    <row r="653" spans="3:4" x14ac:dyDescent="0.2">
      <c r="C653" s="266">
        <v>65.700000000000102</v>
      </c>
      <c r="D653" s="265"/>
    </row>
    <row r="654" spans="3:4" x14ac:dyDescent="0.2">
      <c r="C654" s="267">
        <v>65.800000000000097</v>
      </c>
      <c r="D654" s="265"/>
    </row>
    <row r="655" spans="3:4" x14ac:dyDescent="0.2">
      <c r="C655" s="266">
        <v>65.900000000000105</v>
      </c>
      <c r="D655" s="265"/>
    </row>
    <row r="656" spans="3:4" x14ac:dyDescent="0.2">
      <c r="C656" s="267">
        <v>66.000000000000099</v>
      </c>
      <c r="D656" s="265"/>
    </row>
    <row r="657" spans="3:4" x14ac:dyDescent="0.2">
      <c r="C657" s="266">
        <v>66.100000000000094</v>
      </c>
      <c r="D657" s="265"/>
    </row>
    <row r="658" spans="3:4" x14ac:dyDescent="0.2">
      <c r="C658" s="267">
        <v>66.200000000000102</v>
      </c>
      <c r="D658" s="265"/>
    </row>
    <row r="659" spans="3:4" x14ac:dyDescent="0.2">
      <c r="C659" s="266">
        <v>66.300000000000097</v>
      </c>
      <c r="D659" s="265"/>
    </row>
    <row r="660" spans="3:4" x14ac:dyDescent="0.2">
      <c r="C660" s="267">
        <v>66.400000000000105</v>
      </c>
      <c r="D660" s="265"/>
    </row>
    <row r="661" spans="3:4" x14ac:dyDescent="0.2">
      <c r="C661" s="266">
        <v>66.500000000000099</v>
      </c>
      <c r="D661" s="265"/>
    </row>
    <row r="662" spans="3:4" x14ac:dyDescent="0.2">
      <c r="C662" s="267">
        <v>66.600000000000094</v>
      </c>
      <c r="D662" s="265"/>
    </row>
    <row r="663" spans="3:4" x14ac:dyDescent="0.2">
      <c r="C663" s="266">
        <v>66.700000000000102</v>
      </c>
      <c r="D663" s="265"/>
    </row>
    <row r="664" spans="3:4" x14ac:dyDescent="0.2">
      <c r="C664" s="267">
        <v>66.800000000000097</v>
      </c>
      <c r="D664" s="265"/>
    </row>
    <row r="665" spans="3:4" x14ac:dyDescent="0.2">
      <c r="C665" s="266">
        <v>66.900000000000105</v>
      </c>
      <c r="D665" s="265"/>
    </row>
    <row r="666" spans="3:4" x14ac:dyDescent="0.2">
      <c r="C666" s="267">
        <v>67.000000000000099</v>
      </c>
      <c r="D666" s="265"/>
    </row>
    <row r="667" spans="3:4" x14ac:dyDescent="0.2">
      <c r="C667" s="266">
        <v>67.100000000000094</v>
      </c>
      <c r="D667" s="265"/>
    </row>
    <row r="668" spans="3:4" x14ac:dyDescent="0.2">
      <c r="C668" s="267">
        <v>67.200000000000102</v>
      </c>
      <c r="D668" s="265"/>
    </row>
    <row r="669" spans="3:4" x14ac:dyDescent="0.2">
      <c r="C669" s="266">
        <v>67.300000000000097</v>
      </c>
      <c r="D669" s="265"/>
    </row>
    <row r="670" spans="3:4" x14ac:dyDescent="0.2">
      <c r="C670" s="267">
        <v>67.400000000000105</v>
      </c>
      <c r="D670" s="265"/>
    </row>
    <row r="671" spans="3:4" x14ac:dyDescent="0.2">
      <c r="C671" s="266">
        <v>67.500000000000099</v>
      </c>
      <c r="D671" s="265"/>
    </row>
    <row r="672" spans="3:4" x14ac:dyDescent="0.2">
      <c r="C672" s="267">
        <v>67.600000000000094</v>
      </c>
      <c r="D672" s="265"/>
    </row>
    <row r="673" spans="3:4" x14ac:dyDescent="0.2">
      <c r="C673" s="266">
        <v>67.700000000000102</v>
      </c>
      <c r="D673" s="265"/>
    </row>
    <row r="674" spans="3:4" x14ac:dyDescent="0.2">
      <c r="C674" s="267">
        <v>67.800000000000097</v>
      </c>
      <c r="D674" s="265"/>
    </row>
    <row r="675" spans="3:4" x14ac:dyDescent="0.2">
      <c r="C675" s="266">
        <v>67.900000000000105</v>
      </c>
      <c r="D675" s="265"/>
    </row>
    <row r="676" spans="3:4" x14ac:dyDescent="0.2">
      <c r="C676" s="267">
        <v>68.000000000000099</v>
      </c>
      <c r="D676" s="265"/>
    </row>
    <row r="677" spans="3:4" x14ac:dyDescent="0.2">
      <c r="C677" s="266">
        <v>68.100000000000094</v>
      </c>
      <c r="D677" s="265"/>
    </row>
    <row r="678" spans="3:4" x14ac:dyDescent="0.2">
      <c r="C678" s="267">
        <v>68.200000000000102</v>
      </c>
      <c r="D678" s="265"/>
    </row>
    <row r="679" spans="3:4" x14ac:dyDescent="0.2">
      <c r="C679" s="266">
        <v>68.300000000000097</v>
      </c>
      <c r="D679" s="265"/>
    </row>
    <row r="680" spans="3:4" x14ac:dyDescent="0.2">
      <c r="C680" s="267">
        <v>68.400000000000105</v>
      </c>
      <c r="D680" s="265"/>
    </row>
    <row r="681" spans="3:4" x14ac:dyDescent="0.2">
      <c r="C681" s="266">
        <v>68.500000000000099</v>
      </c>
      <c r="D681" s="265"/>
    </row>
    <row r="682" spans="3:4" x14ac:dyDescent="0.2">
      <c r="C682" s="267">
        <v>68.600000000000094</v>
      </c>
      <c r="D682" s="265"/>
    </row>
    <row r="683" spans="3:4" x14ac:dyDescent="0.2">
      <c r="C683" s="266">
        <v>68.700000000000102</v>
      </c>
      <c r="D683" s="265"/>
    </row>
    <row r="684" spans="3:4" x14ac:dyDescent="0.2">
      <c r="C684" s="267">
        <v>68.800000000000097</v>
      </c>
      <c r="D684" s="265"/>
    </row>
    <row r="685" spans="3:4" x14ac:dyDescent="0.2">
      <c r="C685" s="266">
        <v>68.900000000000105</v>
      </c>
      <c r="D685" s="265"/>
    </row>
    <row r="686" spans="3:4" x14ac:dyDescent="0.2">
      <c r="C686" s="267">
        <v>69.000000000000099</v>
      </c>
      <c r="D686" s="265"/>
    </row>
    <row r="687" spans="3:4" x14ac:dyDescent="0.2">
      <c r="C687" s="266">
        <v>69.100000000000094</v>
      </c>
      <c r="D687" s="265"/>
    </row>
    <row r="688" spans="3:4" x14ac:dyDescent="0.2">
      <c r="C688" s="267">
        <v>69.200000000000102</v>
      </c>
      <c r="D688" s="265"/>
    </row>
    <row r="689" spans="3:4" x14ac:dyDescent="0.2">
      <c r="C689" s="266">
        <v>69.300000000000097</v>
      </c>
      <c r="D689" s="265"/>
    </row>
    <row r="690" spans="3:4" x14ac:dyDescent="0.2">
      <c r="C690" s="267">
        <v>69.400000000000105</v>
      </c>
      <c r="D690" s="265"/>
    </row>
    <row r="691" spans="3:4" x14ac:dyDescent="0.2">
      <c r="C691" s="266">
        <v>69.500000000000099</v>
      </c>
      <c r="D691" s="265"/>
    </row>
    <row r="692" spans="3:4" x14ac:dyDescent="0.2">
      <c r="C692" s="267">
        <v>69.600000000000094</v>
      </c>
      <c r="D692" s="265"/>
    </row>
    <row r="693" spans="3:4" x14ac:dyDescent="0.2">
      <c r="C693" s="266">
        <v>69.700000000000102</v>
      </c>
      <c r="D693" s="265"/>
    </row>
    <row r="694" spans="3:4" x14ac:dyDescent="0.2">
      <c r="C694" s="267">
        <v>69.800000000000097</v>
      </c>
      <c r="D694" s="265"/>
    </row>
    <row r="695" spans="3:4" x14ac:dyDescent="0.2">
      <c r="C695" s="266">
        <v>69.900000000000105</v>
      </c>
      <c r="D695" s="265"/>
    </row>
    <row r="696" spans="3:4" x14ac:dyDescent="0.2">
      <c r="C696" s="267">
        <v>70.000000000000099</v>
      </c>
      <c r="D696" s="265"/>
    </row>
    <row r="697" spans="3:4" x14ac:dyDescent="0.2">
      <c r="C697" s="266">
        <v>70.100000000000094</v>
      </c>
      <c r="D697" s="265"/>
    </row>
    <row r="698" spans="3:4" x14ac:dyDescent="0.2">
      <c r="C698" s="267">
        <v>70.200000000000102</v>
      </c>
      <c r="D698" s="265"/>
    </row>
    <row r="699" spans="3:4" x14ac:dyDescent="0.2">
      <c r="C699" s="266">
        <v>70.300000000000097</v>
      </c>
      <c r="D699" s="265"/>
    </row>
    <row r="700" spans="3:4" x14ac:dyDescent="0.2">
      <c r="C700" s="267">
        <v>70.400000000000105</v>
      </c>
      <c r="D700" s="265"/>
    </row>
    <row r="701" spans="3:4" x14ac:dyDescent="0.2">
      <c r="C701" s="266">
        <v>70.500000000000099</v>
      </c>
      <c r="D701" s="265"/>
    </row>
    <row r="702" spans="3:4" x14ac:dyDescent="0.2">
      <c r="C702" s="267">
        <v>70.600000000000094</v>
      </c>
      <c r="D702" s="265"/>
    </row>
    <row r="703" spans="3:4" x14ac:dyDescent="0.2">
      <c r="C703" s="266">
        <v>70.700000000000102</v>
      </c>
      <c r="D703" s="265"/>
    </row>
    <row r="704" spans="3:4" x14ac:dyDescent="0.2">
      <c r="C704" s="267">
        <v>70.800000000000097</v>
      </c>
      <c r="D704" s="265"/>
    </row>
    <row r="705" spans="3:4" x14ac:dyDescent="0.2">
      <c r="C705" s="266">
        <v>70.900000000000105</v>
      </c>
      <c r="D705" s="265"/>
    </row>
    <row r="706" spans="3:4" x14ac:dyDescent="0.2">
      <c r="C706" s="267">
        <v>71.000000000000099</v>
      </c>
      <c r="D706" s="265"/>
    </row>
    <row r="707" spans="3:4" x14ac:dyDescent="0.2">
      <c r="C707" s="266">
        <v>71.100000000000094</v>
      </c>
      <c r="D707" s="265"/>
    </row>
    <row r="708" spans="3:4" x14ac:dyDescent="0.2">
      <c r="C708" s="267">
        <v>71.200000000000102</v>
      </c>
      <c r="D708" s="265"/>
    </row>
    <row r="709" spans="3:4" x14ac:dyDescent="0.2">
      <c r="C709" s="266">
        <v>71.300000000000097</v>
      </c>
      <c r="D709" s="265"/>
    </row>
    <row r="710" spans="3:4" x14ac:dyDescent="0.2">
      <c r="C710" s="267">
        <v>71.400000000000105</v>
      </c>
      <c r="D710" s="265"/>
    </row>
    <row r="711" spans="3:4" x14ac:dyDescent="0.2">
      <c r="C711" s="266">
        <v>71.500000000000099</v>
      </c>
      <c r="D711" s="265"/>
    </row>
    <row r="712" spans="3:4" x14ac:dyDescent="0.2">
      <c r="C712" s="267">
        <v>71.600000000000094</v>
      </c>
      <c r="D712" s="265"/>
    </row>
    <row r="713" spans="3:4" x14ac:dyDescent="0.2">
      <c r="C713" s="266">
        <v>71.700000000000102</v>
      </c>
      <c r="D713" s="265"/>
    </row>
    <row r="714" spans="3:4" x14ac:dyDescent="0.2">
      <c r="C714" s="267">
        <v>71.800000000000097</v>
      </c>
      <c r="D714" s="265"/>
    </row>
    <row r="715" spans="3:4" x14ac:dyDescent="0.2">
      <c r="C715" s="266">
        <v>71.900000000000105</v>
      </c>
      <c r="D715" s="265"/>
    </row>
    <row r="716" spans="3:4" x14ac:dyDescent="0.2">
      <c r="C716" s="267">
        <v>72.000000000000099</v>
      </c>
      <c r="D716" s="265"/>
    </row>
    <row r="717" spans="3:4" x14ac:dyDescent="0.2">
      <c r="C717" s="266">
        <v>72.100000000000094</v>
      </c>
      <c r="D717" s="265"/>
    </row>
    <row r="718" spans="3:4" x14ac:dyDescent="0.2">
      <c r="C718" s="267">
        <v>72.200000000000102</v>
      </c>
      <c r="D718" s="265"/>
    </row>
    <row r="719" spans="3:4" x14ac:dyDescent="0.2">
      <c r="C719" s="266">
        <v>72.300000000000097</v>
      </c>
      <c r="D719" s="265"/>
    </row>
    <row r="720" spans="3:4" x14ac:dyDescent="0.2">
      <c r="C720" s="267">
        <v>72.400000000000105</v>
      </c>
      <c r="D720" s="265"/>
    </row>
    <row r="721" spans="3:4" x14ac:dyDescent="0.2">
      <c r="C721" s="266">
        <v>72.500000000000099</v>
      </c>
      <c r="D721" s="265"/>
    </row>
    <row r="722" spans="3:4" x14ac:dyDescent="0.2">
      <c r="C722" s="267">
        <v>72.600000000000094</v>
      </c>
      <c r="D722" s="265"/>
    </row>
    <row r="723" spans="3:4" x14ac:dyDescent="0.2">
      <c r="C723" s="266">
        <v>72.700000000000102</v>
      </c>
      <c r="D723" s="265"/>
    </row>
    <row r="724" spans="3:4" x14ac:dyDescent="0.2">
      <c r="C724" s="267">
        <v>72.800000000000097</v>
      </c>
      <c r="D724" s="265"/>
    </row>
    <row r="725" spans="3:4" x14ac:dyDescent="0.2">
      <c r="C725" s="266">
        <v>72.900000000000105</v>
      </c>
      <c r="D725" s="265"/>
    </row>
    <row r="726" spans="3:4" x14ac:dyDescent="0.2">
      <c r="C726" s="267">
        <v>73.000000000000099</v>
      </c>
      <c r="D726" s="265"/>
    </row>
    <row r="727" spans="3:4" x14ac:dyDescent="0.2">
      <c r="C727" s="266">
        <v>73.100000000000094</v>
      </c>
      <c r="D727" s="265"/>
    </row>
    <row r="728" spans="3:4" x14ac:dyDescent="0.2">
      <c r="C728" s="267">
        <v>73.200000000000102</v>
      </c>
      <c r="D728" s="265"/>
    </row>
    <row r="729" spans="3:4" x14ac:dyDescent="0.2">
      <c r="C729" s="266">
        <v>73.300000000000097</v>
      </c>
      <c r="D729" s="265"/>
    </row>
    <row r="730" spans="3:4" x14ac:dyDescent="0.2">
      <c r="C730" s="267">
        <v>73.400000000000105</v>
      </c>
      <c r="D730" s="265"/>
    </row>
    <row r="731" spans="3:4" x14ac:dyDescent="0.2">
      <c r="C731" s="266">
        <v>73.500000000000099</v>
      </c>
      <c r="D731" s="265"/>
    </row>
    <row r="732" spans="3:4" x14ac:dyDescent="0.2">
      <c r="C732" s="267">
        <v>73.600000000000094</v>
      </c>
      <c r="D732" s="265"/>
    </row>
    <row r="733" spans="3:4" x14ac:dyDescent="0.2">
      <c r="C733" s="266">
        <v>73.700000000000102</v>
      </c>
      <c r="D733" s="265"/>
    </row>
    <row r="734" spans="3:4" x14ac:dyDescent="0.2">
      <c r="C734" s="267">
        <v>73.800000000000097</v>
      </c>
      <c r="D734" s="265"/>
    </row>
    <row r="735" spans="3:4" x14ac:dyDescent="0.2">
      <c r="C735" s="266">
        <v>73.900000000000105</v>
      </c>
      <c r="D735" s="265"/>
    </row>
    <row r="736" spans="3:4" x14ac:dyDescent="0.2">
      <c r="C736" s="267">
        <v>74.000000000000099</v>
      </c>
      <c r="D736" s="265"/>
    </row>
    <row r="737" spans="3:4" x14ac:dyDescent="0.2">
      <c r="C737" s="266">
        <v>74.100000000000094</v>
      </c>
      <c r="D737" s="265"/>
    </row>
    <row r="738" spans="3:4" x14ac:dyDescent="0.2">
      <c r="C738" s="267">
        <v>74.200000000000102</v>
      </c>
      <c r="D738" s="265"/>
    </row>
    <row r="739" spans="3:4" x14ac:dyDescent="0.2">
      <c r="C739" s="266">
        <v>74.300000000000097</v>
      </c>
      <c r="D739" s="265"/>
    </row>
    <row r="740" spans="3:4" x14ac:dyDescent="0.2">
      <c r="C740" s="267">
        <v>74.400000000000105</v>
      </c>
      <c r="D740" s="265"/>
    </row>
    <row r="741" spans="3:4" x14ac:dyDescent="0.2">
      <c r="C741" s="266">
        <v>74.500000000000099</v>
      </c>
      <c r="D741" s="265"/>
    </row>
    <row r="742" spans="3:4" x14ac:dyDescent="0.2">
      <c r="C742" s="267">
        <v>74.600000000000094</v>
      </c>
      <c r="D742" s="265"/>
    </row>
    <row r="743" spans="3:4" x14ac:dyDescent="0.2">
      <c r="C743" s="266">
        <v>74.700000000000102</v>
      </c>
      <c r="D743" s="265"/>
    </row>
    <row r="744" spans="3:4" x14ac:dyDescent="0.2">
      <c r="C744" s="267">
        <v>74.800000000000097</v>
      </c>
      <c r="D744" s="265"/>
    </row>
    <row r="745" spans="3:4" x14ac:dyDescent="0.2">
      <c r="C745" s="266">
        <v>74.900000000000105</v>
      </c>
      <c r="D745" s="265"/>
    </row>
    <row r="746" spans="3:4" x14ac:dyDescent="0.2">
      <c r="C746" s="267">
        <v>75.000000000000099</v>
      </c>
      <c r="D746" s="265"/>
    </row>
    <row r="747" spans="3:4" x14ac:dyDescent="0.2">
      <c r="C747" s="266">
        <v>75.100000000000094</v>
      </c>
      <c r="D747" s="265"/>
    </row>
    <row r="748" spans="3:4" x14ac:dyDescent="0.2">
      <c r="C748" s="267">
        <v>75.200000000000102</v>
      </c>
      <c r="D748" s="265"/>
    </row>
    <row r="749" spans="3:4" x14ac:dyDescent="0.2">
      <c r="C749" s="266">
        <v>75.300000000000097</v>
      </c>
      <c r="D749" s="265"/>
    </row>
    <row r="750" spans="3:4" x14ac:dyDescent="0.2">
      <c r="C750" s="267">
        <v>75.400000000000105</v>
      </c>
      <c r="D750" s="265"/>
    </row>
    <row r="751" spans="3:4" x14ac:dyDescent="0.2">
      <c r="C751" s="266">
        <v>75.500000000000099</v>
      </c>
      <c r="D751" s="265"/>
    </row>
    <row r="752" spans="3:4" x14ac:dyDescent="0.2">
      <c r="C752" s="267">
        <v>75.600000000000094</v>
      </c>
      <c r="D752" s="265"/>
    </row>
    <row r="753" spans="3:4" x14ac:dyDescent="0.2">
      <c r="C753" s="266">
        <v>75.700000000000102</v>
      </c>
      <c r="D753" s="265"/>
    </row>
    <row r="754" spans="3:4" x14ac:dyDescent="0.2">
      <c r="C754" s="267">
        <v>75.800000000000097</v>
      </c>
      <c r="D754" s="265"/>
    </row>
    <row r="755" spans="3:4" x14ac:dyDescent="0.2">
      <c r="C755" s="266">
        <v>75.900000000000105</v>
      </c>
      <c r="D755" s="265"/>
    </row>
    <row r="756" spans="3:4" x14ac:dyDescent="0.2">
      <c r="C756" s="267">
        <v>76.000000000000099</v>
      </c>
      <c r="D756" s="265"/>
    </row>
    <row r="757" spans="3:4" x14ac:dyDescent="0.2">
      <c r="C757" s="266">
        <v>76.100000000000094</v>
      </c>
      <c r="D757" s="265"/>
    </row>
    <row r="758" spans="3:4" x14ac:dyDescent="0.2">
      <c r="C758" s="267">
        <v>76.200000000000102</v>
      </c>
      <c r="D758" s="265"/>
    </row>
    <row r="759" spans="3:4" x14ac:dyDescent="0.2">
      <c r="C759" s="266">
        <v>76.300000000000097</v>
      </c>
      <c r="D759" s="265"/>
    </row>
    <row r="760" spans="3:4" x14ac:dyDescent="0.2">
      <c r="C760" s="267">
        <v>76.400000000000105</v>
      </c>
      <c r="D760" s="265"/>
    </row>
    <row r="761" spans="3:4" x14ac:dyDescent="0.2">
      <c r="C761" s="266">
        <v>76.500000000000099</v>
      </c>
      <c r="D761" s="265"/>
    </row>
    <row r="762" spans="3:4" x14ac:dyDescent="0.2">
      <c r="C762" s="267">
        <v>76.600000000000094</v>
      </c>
      <c r="D762" s="265"/>
    </row>
    <row r="763" spans="3:4" x14ac:dyDescent="0.2">
      <c r="C763" s="266">
        <v>76.700000000000102</v>
      </c>
      <c r="D763" s="265"/>
    </row>
    <row r="764" spans="3:4" x14ac:dyDescent="0.2">
      <c r="C764" s="267">
        <v>76.800000000000097</v>
      </c>
      <c r="D764" s="265"/>
    </row>
    <row r="765" spans="3:4" x14ac:dyDescent="0.2">
      <c r="C765" s="266">
        <v>76.900000000000105</v>
      </c>
      <c r="D765" s="265"/>
    </row>
    <row r="766" spans="3:4" x14ac:dyDescent="0.2">
      <c r="C766" s="267">
        <v>77.000000000000099</v>
      </c>
      <c r="D766" s="265"/>
    </row>
    <row r="767" spans="3:4" x14ac:dyDescent="0.2">
      <c r="C767" s="266">
        <v>77.100000000000094</v>
      </c>
      <c r="D767" s="265"/>
    </row>
    <row r="768" spans="3:4" x14ac:dyDescent="0.2">
      <c r="C768" s="267">
        <v>77.200000000000102</v>
      </c>
      <c r="D768" s="265"/>
    </row>
    <row r="769" spans="3:4" x14ac:dyDescent="0.2">
      <c r="C769" s="266">
        <v>77.300000000000097</v>
      </c>
      <c r="D769" s="265"/>
    </row>
    <row r="770" spans="3:4" x14ac:dyDescent="0.2">
      <c r="C770" s="267">
        <v>77.400000000000105</v>
      </c>
      <c r="D770" s="265"/>
    </row>
    <row r="771" spans="3:4" x14ac:dyDescent="0.2">
      <c r="C771" s="266">
        <v>77.500000000000099</v>
      </c>
      <c r="D771" s="265"/>
    </row>
    <row r="772" spans="3:4" x14ac:dyDescent="0.2">
      <c r="C772" s="267">
        <v>77.600000000000094</v>
      </c>
      <c r="D772" s="265"/>
    </row>
    <row r="773" spans="3:4" x14ac:dyDescent="0.2">
      <c r="C773" s="266">
        <v>77.700000000000102</v>
      </c>
      <c r="D773" s="265"/>
    </row>
    <row r="774" spans="3:4" x14ac:dyDescent="0.2">
      <c r="C774" s="267">
        <v>77.800000000000097</v>
      </c>
      <c r="D774" s="265"/>
    </row>
    <row r="775" spans="3:4" x14ac:dyDescent="0.2">
      <c r="C775" s="266">
        <v>77.900000000000105</v>
      </c>
      <c r="D775" s="265"/>
    </row>
    <row r="776" spans="3:4" x14ac:dyDescent="0.2">
      <c r="C776" s="267">
        <v>78.000000000000099</v>
      </c>
      <c r="D776" s="265"/>
    </row>
    <row r="777" spans="3:4" x14ac:dyDescent="0.2">
      <c r="C777" s="266">
        <v>78.100000000000094</v>
      </c>
      <c r="D777" s="265"/>
    </row>
    <row r="778" spans="3:4" x14ac:dyDescent="0.2">
      <c r="C778" s="267">
        <v>78.200000000000102</v>
      </c>
      <c r="D778" s="265"/>
    </row>
    <row r="779" spans="3:4" x14ac:dyDescent="0.2">
      <c r="C779" s="266">
        <v>78.300000000000097</v>
      </c>
      <c r="D779" s="265"/>
    </row>
    <row r="780" spans="3:4" x14ac:dyDescent="0.2">
      <c r="C780" s="267">
        <v>78.400000000000105</v>
      </c>
      <c r="D780" s="265"/>
    </row>
    <row r="781" spans="3:4" x14ac:dyDescent="0.2">
      <c r="C781" s="266">
        <v>78.500000000000099</v>
      </c>
      <c r="D781" s="265"/>
    </row>
    <row r="782" spans="3:4" x14ac:dyDescent="0.2">
      <c r="C782" s="267">
        <v>78.600000000000094</v>
      </c>
      <c r="D782" s="265"/>
    </row>
    <row r="783" spans="3:4" x14ac:dyDescent="0.2">
      <c r="C783" s="266">
        <v>78.700000000000102</v>
      </c>
      <c r="D783" s="265"/>
    </row>
    <row r="784" spans="3:4" x14ac:dyDescent="0.2">
      <c r="C784" s="267">
        <v>78.800000000000097</v>
      </c>
      <c r="D784" s="265"/>
    </row>
    <row r="785" spans="3:4" x14ac:dyDescent="0.2">
      <c r="C785" s="266">
        <v>78.900000000000105</v>
      </c>
      <c r="D785" s="265"/>
    </row>
    <row r="786" spans="3:4" x14ac:dyDescent="0.2">
      <c r="C786" s="267">
        <v>79.000000000000099</v>
      </c>
      <c r="D786" s="265"/>
    </row>
    <row r="787" spans="3:4" x14ac:dyDescent="0.2">
      <c r="C787" s="266">
        <v>79.100000000000094</v>
      </c>
      <c r="D787" s="265"/>
    </row>
    <row r="788" spans="3:4" x14ac:dyDescent="0.2">
      <c r="C788" s="267">
        <v>79.200000000000102</v>
      </c>
      <c r="D788" s="265"/>
    </row>
    <row r="789" spans="3:4" x14ac:dyDescent="0.2">
      <c r="C789" s="266">
        <v>79.300000000000097</v>
      </c>
      <c r="D789" s="265"/>
    </row>
    <row r="790" spans="3:4" x14ac:dyDescent="0.2">
      <c r="C790" s="267">
        <v>79.400000000000105</v>
      </c>
      <c r="D790" s="265"/>
    </row>
    <row r="791" spans="3:4" x14ac:dyDescent="0.2">
      <c r="C791" s="266">
        <v>79.500000000000099</v>
      </c>
      <c r="D791" s="265"/>
    </row>
    <row r="792" spans="3:4" x14ac:dyDescent="0.2">
      <c r="C792" s="267">
        <v>79.600000000000094</v>
      </c>
      <c r="D792" s="265"/>
    </row>
    <row r="793" spans="3:4" x14ac:dyDescent="0.2">
      <c r="C793" s="266">
        <v>79.700000000000102</v>
      </c>
      <c r="D793" s="265"/>
    </row>
    <row r="794" spans="3:4" x14ac:dyDescent="0.2">
      <c r="C794" s="267">
        <v>79.800000000000097</v>
      </c>
      <c r="D794" s="265"/>
    </row>
    <row r="795" spans="3:4" x14ac:dyDescent="0.2">
      <c r="C795" s="266">
        <v>79.900000000000105</v>
      </c>
      <c r="D795" s="265"/>
    </row>
    <row r="796" spans="3:4" x14ac:dyDescent="0.2">
      <c r="C796" s="267">
        <v>80.000000000000099</v>
      </c>
      <c r="D796" s="265"/>
    </row>
    <row r="797" spans="3:4" x14ac:dyDescent="0.2">
      <c r="C797" s="266">
        <v>80.100000000000094</v>
      </c>
      <c r="D797" s="265"/>
    </row>
    <row r="798" spans="3:4" x14ac:dyDescent="0.2">
      <c r="C798" s="267">
        <v>80.200000000000102</v>
      </c>
      <c r="D798" s="265"/>
    </row>
    <row r="799" spans="3:4" x14ac:dyDescent="0.2">
      <c r="C799" s="266">
        <v>80.300000000000097</v>
      </c>
      <c r="D799" s="265"/>
    </row>
    <row r="800" spans="3:4" x14ac:dyDescent="0.2">
      <c r="C800" s="267">
        <v>80.400000000000105</v>
      </c>
      <c r="D800" s="265"/>
    </row>
    <row r="801" spans="3:4" x14ac:dyDescent="0.2">
      <c r="C801" s="266">
        <v>80.500000000000099</v>
      </c>
      <c r="D801" s="265"/>
    </row>
    <row r="802" spans="3:4" x14ac:dyDescent="0.2">
      <c r="C802" s="267">
        <v>80.600000000000094</v>
      </c>
      <c r="D802" s="265"/>
    </row>
    <row r="803" spans="3:4" x14ac:dyDescent="0.2">
      <c r="C803" s="266">
        <v>80.700000000000102</v>
      </c>
      <c r="D803" s="265"/>
    </row>
    <row r="804" spans="3:4" x14ac:dyDescent="0.2">
      <c r="C804" s="267">
        <v>80.800000000000097</v>
      </c>
      <c r="D804" s="265"/>
    </row>
    <row r="805" spans="3:4" x14ac:dyDescent="0.2">
      <c r="C805" s="266">
        <v>80.900000000000105</v>
      </c>
      <c r="D805" s="265"/>
    </row>
    <row r="806" spans="3:4" x14ac:dyDescent="0.2">
      <c r="C806" s="267">
        <v>81.000000000000099</v>
      </c>
      <c r="D806" s="265"/>
    </row>
    <row r="807" spans="3:4" x14ac:dyDescent="0.2">
      <c r="C807" s="266">
        <v>81.100000000000094</v>
      </c>
      <c r="D807" s="265"/>
    </row>
    <row r="808" spans="3:4" x14ac:dyDescent="0.2">
      <c r="C808" s="267">
        <v>81.200000000000102</v>
      </c>
      <c r="D808" s="265"/>
    </row>
    <row r="809" spans="3:4" x14ac:dyDescent="0.2">
      <c r="C809" s="266">
        <v>81.300000000000097</v>
      </c>
      <c r="D809" s="265"/>
    </row>
    <row r="810" spans="3:4" x14ac:dyDescent="0.2">
      <c r="C810" s="267">
        <v>81.400000000000105</v>
      </c>
      <c r="D810" s="265"/>
    </row>
    <row r="811" spans="3:4" x14ac:dyDescent="0.2">
      <c r="C811" s="266">
        <v>81.500000000000099</v>
      </c>
      <c r="D811" s="265"/>
    </row>
    <row r="812" spans="3:4" x14ac:dyDescent="0.2">
      <c r="C812" s="267">
        <v>81.600000000000094</v>
      </c>
      <c r="D812" s="265"/>
    </row>
    <row r="813" spans="3:4" x14ac:dyDescent="0.2">
      <c r="C813" s="266">
        <v>81.700000000000102</v>
      </c>
      <c r="D813" s="265"/>
    </row>
    <row r="814" spans="3:4" x14ac:dyDescent="0.2">
      <c r="C814" s="267">
        <v>81.800000000000097</v>
      </c>
      <c r="D814" s="265"/>
    </row>
    <row r="815" spans="3:4" x14ac:dyDescent="0.2">
      <c r="C815" s="266">
        <v>81.900000000000105</v>
      </c>
      <c r="D815" s="265"/>
    </row>
    <row r="816" spans="3:4" x14ac:dyDescent="0.2">
      <c r="C816" s="267">
        <v>82.000000000000099</v>
      </c>
      <c r="D816" s="265"/>
    </row>
    <row r="817" spans="3:4" x14ac:dyDescent="0.2">
      <c r="C817" s="266">
        <v>82.100000000000094</v>
      </c>
      <c r="D817" s="265"/>
    </row>
    <row r="818" spans="3:4" x14ac:dyDescent="0.2">
      <c r="C818" s="267">
        <v>82.200000000000102</v>
      </c>
      <c r="D818" s="265"/>
    </row>
    <row r="819" spans="3:4" x14ac:dyDescent="0.2">
      <c r="C819" s="266">
        <v>82.300000000000097</v>
      </c>
      <c r="D819" s="265"/>
    </row>
    <row r="820" spans="3:4" x14ac:dyDescent="0.2">
      <c r="C820" s="267">
        <v>82.400000000000105</v>
      </c>
      <c r="D820" s="265"/>
    </row>
    <row r="821" spans="3:4" x14ac:dyDescent="0.2">
      <c r="C821" s="266">
        <v>82.500000000000099</v>
      </c>
      <c r="D821" s="265"/>
    </row>
    <row r="822" spans="3:4" x14ac:dyDescent="0.2">
      <c r="C822" s="267">
        <v>82.600000000000094</v>
      </c>
      <c r="D822" s="265"/>
    </row>
    <row r="823" spans="3:4" x14ac:dyDescent="0.2">
      <c r="C823" s="266">
        <v>82.700000000000102</v>
      </c>
      <c r="D823" s="265"/>
    </row>
    <row r="824" spans="3:4" x14ac:dyDescent="0.2">
      <c r="C824" s="267">
        <v>82.800000000000097</v>
      </c>
      <c r="D824" s="265"/>
    </row>
    <row r="825" spans="3:4" x14ac:dyDescent="0.2">
      <c r="C825" s="266">
        <v>82.900000000000105</v>
      </c>
      <c r="D825" s="265"/>
    </row>
    <row r="826" spans="3:4" x14ac:dyDescent="0.2">
      <c r="C826" s="267">
        <v>83.000000000000099</v>
      </c>
      <c r="D826" s="265"/>
    </row>
    <row r="827" spans="3:4" x14ac:dyDescent="0.2">
      <c r="C827" s="266">
        <v>83.100000000000094</v>
      </c>
      <c r="D827" s="265"/>
    </row>
    <row r="828" spans="3:4" x14ac:dyDescent="0.2">
      <c r="C828" s="267">
        <v>83.200000000000102</v>
      </c>
      <c r="D828" s="265"/>
    </row>
    <row r="829" spans="3:4" x14ac:dyDescent="0.2">
      <c r="C829" s="266">
        <v>83.300000000000097</v>
      </c>
      <c r="D829" s="265"/>
    </row>
    <row r="830" spans="3:4" x14ac:dyDescent="0.2">
      <c r="C830" s="267">
        <v>83.400000000000105</v>
      </c>
      <c r="D830" s="265"/>
    </row>
    <row r="831" spans="3:4" x14ac:dyDescent="0.2">
      <c r="C831" s="266">
        <v>83.500000000000099</v>
      </c>
      <c r="D831" s="265"/>
    </row>
    <row r="832" spans="3:4" x14ac:dyDescent="0.2">
      <c r="C832" s="267">
        <v>83.600000000000094</v>
      </c>
      <c r="D832" s="265"/>
    </row>
    <row r="833" spans="3:4" x14ac:dyDescent="0.2">
      <c r="C833" s="266">
        <v>83.700000000000102</v>
      </c>
      <c r="D833" s="265"/>
    </row>
    <row r="834" spans="3:4" x14ac:dyDescent="0.2">
      <c r="C834" s="267">
        <v>83.800000000000097</v>
      </c>
      <c r="D834" s="265"/>
    </row>
    <row r="835" spans="3:4" x14ac:dyDescent="0.2">
      <c r="C835" s="266">
        <v>83.900000000000105</v>
      </c>
      <c r="D835" s="265"/>
    </row>
    <row r="836" spans="3:4" x14ac:dyDescent="0.2">
      <c r="C836" s="267">
        <v>84.000000000000099</v>
      </c>
      <c r="D836" s="265"/>
    </row>
    <row r="837" spans="3:4" x14ac:dyDescent="0.2">
      <c r="C837" s="266">
        <v>84.100000000000094</v>
      </c>
      <c r="D837" s="265"/>
    </row>
    <row r="838" spans="3:4" x14ac:dyDescent="0.2">
      <c r="C838" s="267">
        <v>84.200000000000102</v>
      </c>
      <c r="D838" s="265"/>
    </row>
    <row r="839" spans="3:4" x14ac:dyDescent="0.2">
      <c r="C839" s="266">
        <v>84.300000000000097</v>
      </c>
      <c r="D839" s="265"/>
    </row>
    <row r="840" spans="3:4" x14ac:dyDescent="0.2">
      <c r="C840" s="267">
        <v>84.400000000000105</v>
      </c>
      <c r="D840" s="265"/>
    </row>
    <row r="841" spans="3:4" x14ac:dyDescent="0.2">
      <c r="C841" s="266">
        <v>84.500000000000099</v>
      </c>
      <c r="D841" s="265"/>
    </row>
    <row r="842" spans="3:4" x14ac:dyDescent="0.2">
      <c r="C842" s="267">
        <v>84.600000000000094</v>
      </c>
      <c r="D842" s="265"/>
    </row>
    <row r="843" spans="3:4" x14ac:dyDescent="0.2">
      <c r="C843" s="266">
        <v>84.700000000000102</v>
      </c>
      <c r="D843" s="265"/>
    </row>
    <row r="844" spans="3:4" x14ac:dyDescent="0.2">
      <c r="C844" s="267">
        <v>84.800000000000097</v>
      </c>
      <c r="D844" s="265"/>
    </row>
    <row r="845" spans="3:4" x14ac:dyDescent="0.2">
      <c r="C845" s="266">
        <v>84.900000000000105</v>
      </c>
      <c r="D845" s="265"/>
    </row>
    <row r="846" spans="3:4" x14ac:dyDescent="0.2">
      <c r="C846" s="267">
        <v>85.000000000000099</v>
      </c>
      <c r="D846" s="265"/>
    </row>
    <row r="847" spans="3:4" x14ac:dyDescent="0.2">
      <c r="C847" s="266">
        <v>85.100000000000094</v>
      </c>
      <c r="D847" s="265"/>
    </row>
    <row r="848" spans="3:4" x14ac:dyDescent="0.2">
      <c r="C848" s="267">
        <v>85.200000000000102</v>
      </c>
      <c r="D848" s="265"/>
    </row>
    <row r="849" spans="3:4" x14ac:dyDescent="0.2">
      <c r="C849" s="266">
        <v>85.300000000000097</v>
      </c>
      <c r="D849" s="265"/>
    </row>
    <row r="850" spans="3:4" x14ac:dyDescent="0.2">
      <c r="C850" s="267">
        <v>85.400000000000105</v>
      </c>
      <c r="D850" s="265"/>
    </row>
    <row r="851" spans="3:4" x14ac:dyDescent="0.2">
      <c r="C851" s="266">
        <v>85.500000000000099</v>
      </c>
      <c r="D851" s="265"/>
    </row>
    <row r="852" spans="3:4" x14ac:dyDescent="0.2">
      <c r="C852" s="267">
        <v>85.600000000000094</v>
      </c>
      <c r="D852" s="265"/>
    </row>
    <row r="853" spans="3:4" x14ac:dyDescent="0.2">
      <c r="C853" s="266">
        <v>85.700000000000102</v>
      </c>
      <c r="D853" s="265"/>
    </row>
    <row r="854" spans="3:4" x14ac:dyDescent="0.2">
      <c r="C854" s="267">
        <v>85.800000000000097</v>
      </c>
      <c r="D854" s="265"/>
    </row>
    <row r="855" spans="3:4" x14ac:dyDescent="0.2">
      <c r="C855" s="266">
        <v>85.900000000000105</v>
      </c>
      <c r="D855" s="265"/>
    </row>
    <row r="856" spans="3:4" x14ac:dyDescent="0.2">
      <c r="C856" s="267">
        <v>86.000000000000099</v>
      </c>
      <c r="D856" s="265"/>
    </row>
    <row r="857" spans="3:4" x14ac:dyDescent="0.2">
      <c r="C857" s="266">
        <v>86.100000000000094</v>
      </c>
      <c r="D857" s="265"/>
    </row>
    <row r="858" spans="3:4" x14ac:dyDescent="0.2">
      <c r="C858" s="267">
        <v>86.200000000000102</v>
      </c>
      <c r="D858" s="265"/>
    </row>
    <row r="859" spans="3:4" x14ac:dyDescent="0.2">
      <c r="C859" s="266">
        <v>86.300000000000097</v>
      </c>
      <c r="D859" s="265"/>
    </row>
    <row r="860" spans="3:4" x14ac:dyDescent="0.2">
      <c r="C860" s="267">
        <v>86.400000000000105</v>
      </c>
      <c r="D860" s="265"/>
    </row>
    <row r="861" spans="3:4" x14ac:dyDescent="0.2">
      <c r="C861" s="266">
        <v>86.500000000000099</v>
      </c>
      <c r="D861" s="265"/>
    </row>
    <row r="862" spans="3:4" x14ac:dyDescent="0.2">
      <c r="C862" s="267">
        <v>86.600000000000094</v>
      </c>
      <c r="D862" s="265"/>
    </row>
    <row r="863" spans="3:4" x14ac:dyDescent="0.2">
      <c r="C863" s="266">
        <v>86.700000000000102</v>
      </c>
      <c r="D863" s="265"/>
    </row>
    <row r="864" spans="3:4" x14ac:dyDescent="0.2">
      <c r="C864" s="267">
        <v>86.800000000000097</v>
      </c>
      <c r="D864" s="265"/>
    </row>
    <row r="865" spans="3:4" x14ac:dyDescent="0.2">
      <c r="C865" s="266">
        <v>86.900000000000105</v>
      </c>
      <c r="D865" s="265"/>
    </row>
    <row r="866" spans="3:4" x14ac:dyDescent="0.2">
      <c r="C866" s="267">
        <v>87.000000000000099</v>
      </c>
      <c r="D866" s="265"/>
    </row>
    <row r="867" spans="3:4" x14ac:dyDescent="0.2">
      <c r="C867" s="266">
        <v>87.100000000000094</v>
      </c>
      <c r="D867" s="265"/>
    </row>
    <row r="868" spans="3:4" x14ac:dyDescent="0.2">
      <c r="C868" s="267">
        <v>87.200000000000102</v>
      </c>
      <c r="D868" s="265"/>
    </row>
    <row r="869" spans="3:4" x14ac:dyDescent="0.2">
      <c r="C869" s="266">
        <v>87.300000000000097</v>
      </c>
      <c r="D869" s="265"/>
    </row>
    <row r="870" spans="3:4" x14ac:dyDescent="0.2">
      <c r="C870" s="267">
        <v>87.400000000000105</v>
      </c>
      <c r="D870" s="265"/>
    </row>
    <row r="871" spans="3:4" x14ac:dyDescent="0.2">
      <c r="C871" s="266">
        <v>87.500000000000099</v>
      </c>
      <c r="D871" s="265"/>
    </row>
    <row r="872" spans="3:4" x14ac:dyDescent="0.2">
      <c r="C872" s="267">
        <v>87.600000000000094</v>
      </c>
      <c r="D872" s="265"/>
    </row>
    <row r="873" spans="3:4" x14ac:dyDescent="0.2">
      <c r="C873" s="266">
        <v>87.700000000000102</v>
      </c>
      <c r="D873" s="265"/>
    </row>
    <row r="874" spans="3:4" x14ac:dyDescent="0.2">
      <c r="C874" s="267">
        <v>87.800000000000097</v>
      </c>
      <c r="D874" s="265"/>
    </row>
    <row r="875" spans="3:4" x14ac:dyDescent="0.2">
      <c r="C875" s="266">
        <v>87.900000000000105</v>
      </c>
      <c r="D875" s="265"/>
    </row>
    <row r="876" spans="3:4" x14ac:dyDescent="0.2">
      <c r="C876" s="267">
        <v>88.000000000000099</v>
      </c>
      <c r="D876" s="265"/>
    </row>
    <row r="877" spans="3:4" x14ac:dyDescent="0.2">
      <c r="C877" s="266">
        <v>88.100000000000094</v>
      </c>
      <c r="D877" s="265"/>
    </row>
    <row r="878" spans="3:4" x14ac:dyDescent="0.2">
      <c r="C878" s="267">
        <v>88.200000000000102</v>
      </c>
      <c r="D878" s="265"/>
    </row>
    <row r="879" spans="3:4" x14ac:dyDescent="0.2">
      <c r="C879" s="266">
        <v>88.300000000000097</v>
      </c>
      <c r="D879" s="265"/>
    </row>
    <row r="880" spans="3:4" x14ac:dyDescent="0.2">
      <c r="C880" s="267">
        <v>88.400000000000105</v>
      </c>
      <c r="D880" s="265"/>
    </row>
    <row r="881" spans="3:4" x14ac:dyDescent="0.2">
      <c r="C881" s="266">
        <v>88.500000000000099</v>
      </c>
      <c r="D881" s="265"/>
    </row>
    <row r="882" spans="3:4" x14ac:dyDescent="0.2">
      <c r="C882" s="267">
        <v>88.600000000000094</v>
      </c>
      <c r="D882" s="265"/>
    </row>
    <row r="883" spans="3:4" x14ac:dyDescent="0.2">
      <c r="C883" s="266">
        <v>88.700000000000102</v>
      </c>
      <c r="D883" s="265"/>
    </row>
    <row r="884" spans="3:4" x14ac:dyDescent="0.2">
      <c r="C884" s="267">
        <v>88.800000000000097</v>
      </c>
      <c r="D884" s="265"/>
    </row>
    <row r="885" spans="3:4" x14ac:dyDescent="0.2">
      <c r="C885" s="266">
        <v>88.900000000000105</v>
      </c>
      <c r="D885" s="265"/>
    </row>
    <row r="886" spans="3:4" x14ac:dyDescent="0.2">
      <c r="C886" s="267">
        <v>89.000000000000099</v>
      </c>
      <c r="D886" s="265"/>
    </row>
    <row r="887" spans="3:4" x14ac:dyDescent="0.2">
      <c r="C887" s="266">
        <v>89.100000000000094</v>
      </c>
      <c r="D887" s="265"/>
    </row>
    <row r="888" spans="3:4" x14ac:dyDescent="0.2">
      <c r="C888" s="267">
        <v>89.200000000000102</v>
      </c>
      <c r="D888" s="265"/>
    </row>
    <row r="889" spans="3:4" x14ac:dyDescent="0.2">
      <c r="C889" s="266">
        <v>89.300000000000097</v>
      </c>
      <c r="D889" s="265"/>
    </row>
    <row r="890" spans="3:4" x14ac:dyDescent="0.2">
      <c r="C890" s="267">
        <v>89.400000000000105</v>
      </c>
      <c r="D890" s="265"/>
    </row>
    <row r="891" spans="3:4" x14ac:dyDescent="0.2">
      <c r="C891" s="266">
        <v>89.500000000000099</v>
      </c>
      <c r="D891" s="265"/>
    </row>
    <row r="892" spans="3:4" x14ac:dyDescent="0.2">
      <c r="C892" s="267">
        <v>89.600000000000094</v>
      </c>
      <c r="D892" s="265"/>
    </row>
    <row r="893" spans="3:4" x14ac:dyDescent="0.2">
      <c r="C893" s="266">
        <v>89.700000000000102</v>
      </c>
      <c r="D893" s="265"/>
    </row>
    <row r="894" spans="3:4" x14ac:dyDescent="0.2">
      <c r="C894" s="267">
        <v>89.800000000000097</v>
      </c>
      <c r="D894" s="265"/>
    </row>
    <row r="895" spans="3:4" x14ac:dyDescent="0.2">
      <c r="C895" s="266">
        <v>89.900000000000105</v>
      </c>
      <c r="D895" s="265"/>
    </row>
    <row r="896" spans="3:4" x14ac:dyDescent="0.2">
      <c r="C896" s="267">
        <v>90.000000000000099</v>
      </c>
      <c r="D896" s="265"/>
    </row>
    <row r="897" spans="3:4" x14ac:dyDescent="0.2">
      <c r="C897" s="266">
        <v>90.100000000000094</v>
      </c>
      <c r="D897" s="265"/>
    </row>
    <row r="898" spans="3:4" x14ac:dyDescent="0.2">
      <c r="C898" s="267">
        <v>90.200000000000102</v>
      </c>
      <c r="D898" s="265"/>
    </row>
    <row r="899" spans="3:4" x14ac:dyDescent="0.2">
      <c r="C899" s="266">
        <v>90.300000000000097</v>
      </c>
      <c r="D899" s="265"/>
    </row>
    <row r="900" spans="3:4" x14ac:dyDescent="0.2">
      <c r="C900" s="267">
        <v>90.400000000000105</v>
      </c>
      <c r="D900" s="265"/>
    </row>
    <row r="901" spans="3:4" x14ac:dyDescent="0.2">
      <c r="C901" s="266">
        <v>90.500000000000099</v>
      </c>
      <c r="D901" s="265"/>
    </row>
    <row r="902" spans="3:4" x14ac:dyDescent="0.2">
      <c r="C902" s="267">
        <v>90.600000000000094</v>
      </c>
      <c r="D902" s="265"/>
    </row>
    <row r="903" spans="3:4" x14ac:dyDescent="0.2">
      <c r="C903" s="266">
        <v>90.700000000000102</v>
      </c>
      <c r="D903" s="265"/>
    </row>
    <row r="904" spans="3:4" x14ac:dyDescent="0.2">
      <c r="C904" s="267">
        <v>90.800000000000097</v>
      </c>
      <c r="D904" s="265"/>
    </row>
    <row r="905" spans="3:4" x14ac:dyDescent="0.2">
      <c r="C905" s="266">
        <v>90.900000000000105</v>
      </c>
      <c r="D905" s="265"/>
    </row>
    <row r="906" spans="3:4" x14ac:dyDescent="0.2">
      <c r="C906" s="267">
        <v>91.000000000000099</v>
      </c>
      <c r="D906" s="265"/>
    </row>
    <row r="907" spans="3:4" x14ac:dyDescent="0.2">
      <c r="C907" s="266">
        <v>91.100000000000094</v>
      </c>
      <c r="D907" s="265"/>
    </row>
    <row r="908" spans="3:4" x14ac:dyDescent="0.2">
      <c r="C908" s="267">
        <v>91.200000000000102</v>
      </c>
      <c r="D908" s="265"/>
    </row>
    <row r="909" spans="3:4" x14ac:dyDescent="0.2">
      <c r="C909" s="266">
        <v>91.300000000000097</v>
      </c>
      <c r="D909" s="265"/>
    </row>
    <row r="910" spans="3:4" x14ac:dyDescent="0.2">
      <c r="C910" s="267">
        <v>91.400000000000105</v>
      </c>
      <c r="D910" s="265"/>
    </row>
    <row r="911" spans="3:4" x14ac:dyDescent="0.2">
      <c r="C911" s="266">
        <v>91.500000000000099</v>
      </c>
      <c r="D911" s="265"/>
    </row>
    <row r="912" spans="3:4" x14ac:dyDescent="0.2">
      <c r="C912" s="267">
        <v>91.600000000000094</v>
      </c>
      <c r="D912" s="265"/>
    </row>
    <row r="913" spans="3:4" x14ac:dyDescent="0.2">
      <c r="C913" s="266">
        <v>91.700000000000102</v>
      </c>
      <c r="D913" s="265"/>
    </row>
    <row r="914" spans="3:4" x14ac:dyDescent="0.2">
      <c r="C914" s="267">
        <v>91.800000000000097</v>
      </c>
      <c r="D914" s="265"/>
    </row>
    <row r="915" spans="3:4" x14ac:dyDescent="0.2">
      <c r="C915" s="266">
        <v>91.900000000000105</v>
      </c>
      <c r="D915" s="265"/>
    </row>
    <row r="916" spans="3:4" x14ac:dyDescent="0.2">
      <c r="C916" s="267">
        <v>92.000000000000099</v>
      </c>
      <c r="D916" s="265"/>
    </row>
    <row r="917" spans="3:4" x14ac:dyDescent="0.2">
      <c r="C917" s="266">
        <v>92.100000000000094</v>
      </c>
      <c r="D917" s="265"/>
    </row>
    <row r="918" spans="3:4" x14ac:dyDescent="0.2">
      <c r="C918" s="267">
        <v>92.200000000000102</v>
      </c>
      <c r="D918" s="265"/>
    </row>
    <row r="919" spans="3:4" x14ac:dyDescent="0.2">
      <c r="C919" s="266">
        <v>92.300000000000097</v>
      </c>
      <c r="D919" s="265"/>
    </row>
    <row r="920" spans="3:4" x14ac:dyDescent="0.2">
      <c r="C920" s="267">
        <v>92.400000000000105</v>
      </c>
      <c r="D920" s="265"/>
    </row>
    <row r="921" spans="3:4" x14ac:dyDescent="0.2">
      <c r="C921" s="266">
        <v>92.500000000000099</v>
      </c>
      <c r="D921" s="265"/>
    </row>
    <row r="922" spans="3:4" x14ac:dyDescent="0.2">
      <c r="C922" s="267">
        <v>92.600000000000094</v>
      </c>
      <c r="D922" s="265"/>
    </row>
    <row r="923" spans="3:4" x14ac:dyDescent="0.2">
      <c r="C923" s="266">
        <v>92.700000000000102</v>
      </c>
      <c r="D923" s="265"/>
    </row>
    <row r="924" spans="3:4" x14ac:dyDescent="0.2">
      <c r="C924" s="267">
        <v>92.800000000000097</v>
      </c>
      <c r="D924" s="265"/>
    </row>
    <row r="925" spans="3:4" x14ac:dyDescent="0.2">
      <c r="C925" s="266">
        <v>92.900000000000105</v>
      </c>
      <c r="D925" s="265"/>
    </row>
    <row r="926" spans="3:4" x14ac:dyDescent="0.2">
      <c r="C926" s="267">
        <v>93.000000000000099</v>
      </c>
      <c r="D926" s="265"/>
    </row>
    <row r="927" spans="3:4" x14ac:dyDescent="0.2">
      <c r="C927" s="266">
        <v>93.100000000000094</v>
      </c>
      <c r="D927" s="265"/>
    </row>
    <row r="928" spans="3:4" x14ac:dyDescent="0.2">
      <c r="C928" s="267">
        <v>93.200000000000102</v>
      </c>
      <c r="D928" s="265"/>
    </row>
    <row r="929" spans="3:4" x14ac:dyDescent="0.2">
      <c r="C929" s="266">
        <v>93.300000000000097</v>
      </c>
      <c r="D929" s="265"/>
    </row>
    <row r="930" spans="3:4" x14ac:dyDescent="0.2">
      <c r="C930" s="267">
        <v>93.400000000000105</v>
      </c>
      <c r="D930" s="265"/>
    </row>
    <row r="931" spans="3:4" x14ac:dyDescent="0.2">
      <c r="C931" s="266">
        <v>93.500000000000099</v>
      </c>
      <c r="D931" s="265"/>
    </row>
    <row r="932" spans="3:4" x14ac:dyDescent="0.2">
      <c r="C932" s="267">
        <v>93.600000000000094</v>
      </c>
      <c r="D932" s="265"/>
    </row>
    <row r="933" spans="3:4" x14ac:dyDescent="0.2">
      <c r="C933" s="266">
        <v>93.700000000000102</v>
      </c>
      <c r="D933" s="265"/>
    </row>
    <row r="934" spans="3:4" x14ac:dyDescent="0.2">
      <c r="C934" s="267">
        <v>93.800000000000097</v>
      </c>
      <c r="D934" s="265"/>
    </row>
    <row r="935" spans="3:4" x14ac:dyDescent="0.2">
      <c r="C935" s="266">
        <v>93.900000000000105</v>
      </c>
      <c r="D935" s="265"/>
    </row>
    <row r="936" spans="3:4" x14ac:dyDescent="0.2">
      <c r="C936" s="267">
        <v>94.000000000000099</v>
      </c>
      <c r="D936" s="265"/>
    </row>
    <row r="937" spans="3:4" x14ac:dyDescent="0.2">
      <c r="C937" s="266">
        <v>94.100000000000094</v>
      </c>
      <c r="D937" s="265"/>
    </row>
    <row r="938" spans="3:4" x14ac:dyDescent="0.2">
      <c r="C938" s="267">
        <v>94.200000000000102</v>
      </c>
      <c r="D938" s="265"/>
    </row>
    <row r="939" spans="3:4" x14ac:dyDescent="0.2">
      <c r="C939" s="266">
        <v>94.300000000000097</v>
      </c>
      <c r="D939" s="265"/>
    </row>
    <row r="940" spans="3:4" x14ac:dyDescent="0.2">
      <c r="C940" s="267">
        <v>94.400000000000105</v>
      </c>
      <c r="D940" s="265"/>
    </row>
    <row r="941" spans="3:4" x14ac:dyDescent="0.2">
      <c r="C941" s="266">
        <v>94.500000000000099</v>
      </c>
      <c r="D941" s="265"/>
    </row>
    <row r="942" spans="3:4" x14ac:dyDescent="0.2">
      <c r="C942" s="267">
        <v>94.600000000000094</v>
      </c>
      <c r="D942" s="265"/>
    </row>
    <row r="943" spans="3:4" x14ac:dyDescent="0.2">
      <c r="C943" s="266">
        <v>94.700000000000102</v>
      </c>
      <c r="D943" s="265"/>
    </row>
    <row r="944" spans="3:4" x14ac:dyDescent="0.2">
      <c r="C944" s="267">
        <v>94.800000000000097</v>
      </c>
      <c r="D944" s="265"/>
    </row>
    <row r="945" spans="3:4" x14ac:dyDescent="0.2">
      <c r="C945" s="266">
        <v>94.900000000000105</v>
      </c>
      <c r="D945" s="265"/>
    </row>
    <row r="946" spans="3:4" x14ac:dyDescent="0.2">
      <c r="C946" s="267">
        <v>95.000000000000099</v>
      </c>
      <c r="D946" s="265"/>
    </row>
    <row r="947" spans="3:4" x14ac:dyDescent="0.2">
      <c r="C947" s="266">
        <v>95.100000000000094</v>
      </c>
      <c r="D947" s="265"/>
    </row>
    <row r="948" spans="3:4" x14ac:dyDescent="0.2">
      <c r="C948" s="267">
        <v>95.200000000000102</v>
      </c>
      <c r="D948" s="265"/>
    </row>
    <row r="949" spans="3:4" x14ac:dyDescent="0.2">
      <c r="C949" s="266">
        <v>95.300000000000097</v>
      </c>
      <c r="D949" s="265"/>
    </row>
    <row r="950" spans="3:4" x14ac:dyDescent="0.2">
      <c r="C950" s="267">
        <v>95.400000000000105</v>
      </c>
      <c r="D950" s="265"/>
    </row>
    <row r="951" spans="3:4" x14ac:dyDescent="0.2">
      <c r="C951" s="266">
        <v>95.500000000000099</v>
      </c>
      <c r="D951" s="265"/>
    </row>
    <row r="952" spans="3:4" x14ac:dyDescent="0.2">
      <c r="C952" s="267">
        <v>95.600000000000094</v>
      </c>
      <c r="D952" s="265"/>
    </row>
    <row r="953" spans="3:4" x14ac:dyDescent="0.2">
      <c r="C953" s="266">
        <v>95.700000000000102</v>
      </c>
      <c r="D953" s="265"/>
    </row>
    <row r="954" spans="3:4" x14ac:dyDescent="0.2">
      <c r="C954" s="267">
        <v>95.800000000000097</v>
      </c>
      <c r="D954" s="265"/>
    </row>
    <row r="955" spans="3:4" x14ac:dyDescent="0.2">
      <c r="C955" s="266">
        <v>95.900000000000105</v>
      </c>
      <c r="D955" s="265"/>
    </row>
    <row r="956" spans="3:4" x14ac:dyDescent="0.2">
      <c r="C956" s="267">
        <v>96.000000000000099</v>
      </c>
      <c r="D956" s="265"/>
    </row>
    <row r="957" spans="3:4" x14ac:dyDescent="0.2">
      <c r="C957" s="266">
        <v>96.100000000000094</v>
      </c>
      <c r="D957" s="265"/>
    </row>
    <row r="958" spans="3:4" x14ac:dyDescent="0.2">
      <c r="C958" s="267">
        <v>96.200000000000102</v>
      </c>
      <c r="D958" s="265"/>
    </row>
    <row r="959" spans="3:4" x14ac:dyDescent="0.2">
      <c r="C959" s="266">
        <v>96.300000000000097</v>
      </c>
      <c r="D959" s="265"/>
    </row>
    <row r="960" spans="3:4" x14ac:dyDescent="0.2">
      <c r="C960" s="267">
        <v>96.400000000000105</v>
      </c>
      <c r="D960" s="265"/>
    </row>
    <row r="961" spans="3:4" x14ac:dyDescent="0.2">
      <c r="C961" s="266">
        <v>96.500000000000099</v>
      </c>
      <c r="D961" s="265"/>
    </row>
    <row r="962" spans="3:4" x14ac:dyDescent="0.2">
      <c r="C962" s="267">
        <v>96.600000000000094</v>
      </c>
      <c r="D962" s="265"/>
    </row>
    <row r="963" spans="3:4" x14ac:dyDescent="0.2">
      <c r="C963" s="266">
        <v>96.700000000000102</v>
      </c>
      <c r="D963" s="265"/>
    </row>
    <row r="964" spans="3:4" x14ac:dyDescent="0.2">
      <c r="C964" s="267">
        <v>96.800000000000097</v>
      </c>
      <c r="D964" s="265"/>
    </row>
    <row r="965" spans="3:4" x14ac:dyDescent="0.2">
      <c r="C965" s="266">
        <v>96.900000000000105</v>
      </c>
      <c r="D965" s="265"/>
    </row>
    <row r="966" spans="3:4" x14ac:dyDescent="0.2">
      <c r="C966" s="267">
        <v>97.000000000000099</v>
      </c>
      <c r="D966" s="265"/>
    </row>
    <row r="967" spans="3:4" x14ac:dyDescent="0.2">
      <c r="C967" s="266">
        <v>97.100000000000094</v>
      </c>
      <c r="D967" s="265"/>
    </row>
    <row r="968" spans="3:4" x14ac:dyDescent="0.2">
      <c r="C968" s="267">
        <v>97.200000000000102</v>
      </c>
      <c r="D968" s="265"/>
    </row>
    <row r="969" spans="3:4" x14ac:dyDescent="0.2">
      <c r="C969" s="266">
        <v>97.300000000000097</v>
      </c>
      <c r="D969" s="265"/>
    </row>
    <row r="970" spans="3:4" x14ac:dyDescent="0.2">
      <c r="C970" s="267">
        <v>97.400000000000105</v>
      </c>
      <c r="D970" s="265"/>
    </row>
    <row r="971" spans="3:4" x14ac:dyDescent="0.2">
      <c r="C971" s="266">
        <v>97.500000000000099</v>
      </c>
      <c r="D971" s="265"/>
    </row>
    <row r="972" spans="3:4" x14ac:dyDescent="0.2">
      <c r="C972" s="267">
        <v>97.600000000000094</v>
      </c>
      <c r="D972" s="265"/>
    </row>
    <row r="973" spans="3:4" x14ac:dyDescent="0.2">
      <c r="C973" s="266">
        <v>97.700000000000102</v>
      </c>
      <c r="D973" s="265"/>
    </row>
    <row r="974" spans="3:4" x14ac:dyDescent="0.2">
      <c r="C974" s="267">
        <v>97.800000000000097</v>
      </c>
      <c r="D974" s="265"/>
    </row>
    <row r="975" spans="3:4" x14ac:dyDescent="0.2">
      <c r="C975" s="266">
        <v>97.900000000000105</v>
      </c>
      <c r="D975" s="265"/>
    </row>
    <row r="976" spans="3:4" x14ac:dyDescent="0.2">
      <c r="C976" s="267">
        <v>98.000000000000099</v>
      </c>
      <c r="D976" s="265"/>
    </row>
    <row r="977" spans="3:4" x14ac:dyDescent="0.2">
      <c r="C977" s="266">
        <v>98.100000000000094</v>
      </c>
      <c r="D977" s="265"/>
    </row>
    <row r="978" spans="3:4" x14ac:dyDescent="0.2">
      <c r="C978" s="267">
        <v>98.200000000000102</v>
      </c>
      <c r="D978" s="265"/>
    </row>
    <row r="979" spans="3:4" x14ac:dyDescent="0.2">
      <c r="C979" s="266">
        <v>98.300000000000097</v>
      </c>
      <c r="D979" s="265"/>
    </row>
    <row r="980" spans="3:4" x14ac:dyDescent="0.2">
      <c r="C980" s="267">
        <v>98.400000000000105</v>
      </c>
      <c r="D980" s="265"/>
    </row>
    <row r="981" spans="3:4" x14ac:dyDescent="0.2">
      <c r="C981" s="266">
        <v>98.500000000000099</v>
      </c>
      <c r="D981" s="265"/>
    </row>
    <row r="982" spans="3:4" x14ac:dyDescent="0.2">
      <c r="C982" s="267">
        <v>98.600000000000094</v>
      </c>
      <c r="D982" s="265"/>
    </row>
    <row r="983" spans="3:4" x14ac:dyDescent="0.2">
      <c r="C983" s="266">
        <v>98.700000000000102</v>
      </c>
      <c r="D983" s="265"/>
    </row>
    <row r="984" spans="3:4" x14ac:dyDescent="0.2">
      <c r="C984" s="267">
        <v>98.800000000000097</v>
      </c>
      <c r="D984" s="265"/>
    </row>
    <row r="985" spans="3:4" x14ac:dyDescent="0.2">
      <c r="C985" s="266">
        <v>98.900000000000105</v>
      </c>
      <c r="D985" s="265"/>
    </row>
    <row r="986" spans="3:4" x14ac:dyDescent="0.2">
      <c r="C986" s="267">
        <v>99.000000000000099</v>
      </c>
      <c r="D986" s="265"/>
    </row>
    <row r="987" spans="3:4" x14ac:dyDescent="0.2">
      <c r="C987" s="266">
        <v>99.100000000000094</v>
      </c>
      <c r="D987" s="265"/>
    </row>
    <row r="988" spans="3:4" x14ac:dyDescent="0.2">
      <c r="C988" s="267">
        <v>99.200000000000102</v>
      </c>
      <c r="D988" s="265"/>
    </row>
    <row r="989" spans="3:4" x14ac:dyDescent="0.2">
      <c r="C989" s="266">
        <v>99.300000000000097</v>
      </c>
      <c r="D989" s="265"/>
    </row>
    <row r="990" spans="3:4" x14ac:dyDescent="0.2">
      <c r="C990" s="267">
        <v>99.400000000000105</v>
      </c>
      <c r="D990" s="265"/>
    </row>
    <row r="991" spans="3:4" x14ac:dyDescent="0.2">
      <c r="C991" s="266">
        <v>99.500000000000099</v>
      </c>
      <c r="D991" s="265"/>
    </row>
    <row r="992" spans="3:4" x14ac:dyDescent="0.2">
      <c r="C992" s="267">
        <v>99.600000000000094</v>
      </c>
      <c r="D992" s="265"/>
    </row>
    <row r="993" spans="3:4" x14ac:dyDescent="0.2">
      <c r="C993" s="266">
        <v>99.700000000000102</v>
      </c>
      <c r="D993" s="265"/>
    </row>
    <row r="994" spans="3:4" x14ac:dyDescent="0.2">
      <c r="C994" s="267">
        <v>99.800000000000097</v>
      </c>
      <c r="D994" s="265"/>
    </row>
    <row r="995" spans="3:4" x14ac:dyDescent="0.2">
      <c r="C995" s="266">
        <v>99.900000000000105</v>
      </c>
      <c r="D995" s="265"/>
    </row>
    <row r="996" spans="3:4" ht="13.5" thickBot="1" x14ac:dyDescent="0.25">
      <c r="C996" s="264">
        <v>100</v>
      </c>
      <c r="D996" s="263"/>
    </row>
  </sheetData>
  <mergeCells count="4">
    <mergeCell ref="C4:D4"/>
    <mergeCell ref="C2:D3"/>
    <mergeCell ref="L66:P66"/>
    <mergeCell ref="L67:P67"/>
  </mergeCells>
  <phoneticPr fontId="33" type="noConversion"/>
  <pageMargins left="0.7" right="0.7" top="0.75" bottom="0.75" header="0.3" footer="0.3"/>
  <pageSetup paperSize="9"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1:L44"/>
  <sheetViews>
    <sheetView topLeftCell="A19" workbookViewId="0">
      <selection activeCell="B32" sqref="B32:D44"/>
    </sheetView>
  </sheetViews>
  <sheetFormatPr defaultRowHeight="12.75" x14ac:dyDescent="0.2"/>
  <cols>
    <col min="1" max="1" width="2.5703125" customWidth="1"/>
    <col min="2" max="2" width="21" customWidth="1"/>
    <col min="5" max="5" width="4.7109375" customWidth="1"/>
    <col min="6" max="6" width="20.7109375" customWidth="1"/>
    <col min="8" max="8" width="9.85546875" customWidth="1"/>
    <col min="10" max="10" width="25.140625" customWidth="1"/>
    <col min="11" max="11" width="6.5703125" bestFit="1" customWidth="1"/>
    <col min="12" max="12" width="6.7109375" bestFit="1" customWidth="1"/>
  </cols>
  <sheetData>
    <row r="1" spans="1:10" ht="18" x14ac:dyDescent="0.25">
      <c r="B1" s="6" t="s">
        <v>1237</v>
      </c>
    </row>
    <row r="2" spans="1:10" s="2" customFormat="1" x14ac:dyDescent="0.2">
      <c r="B2" s="9" t="s">
        <v>1163</v>
      </c>
      <c r="D2" s="9" t="s">
        <v>1164</v>
      </c>
    </row>
    <row r="3" spans="1:10" s="2" customFormat="1" x14ac:dyDescent="0.2">
      <c r="B3" s="9" t="s">
        <v>1165</v>
      </c>
      <c r="D3" s="9" t="s">
        <v>1235</v>
      </c>
      <c r="H3" s="1"/>
      <c r="I3" s="1"/>
    </row>
    <row r="4" spans="1:10" x14ac:dyDescent="0.2">
      <c r="B4" s="26" t="s">
        <v>1166</v>
      </c>
      <c r="D4" s="9" t="s">
        <v>1229</v>
      </c>
      <c r="H4" s="1"/>
      <c r="I4" s="1"/>
      <c r="J4" s="2"/>
    </row>
    <row r="5" spans="1:10" x14ac:dyDescent="0.2">
      <c r="B5" s="27"/>
      <c r="H5" s="1"/>
      <c r="I5" s="1"/>
      <c r="J5" s="2"/>
    </row>
    <row r="6" spans="1:10" x14ac:dyDescent="0.2">
      <c r="B6" s="28" t="s">
        <v>1167</v>
      </c>
      <c r="C6" s="23"/>
      <c r="D6" s="23"/>
      <c r="E6" s="23"/>
      <c r="F6" s="28" t="s">
        <v>1168</v>
      </c>
      <c r="G6" s="23"/>
      <c r="H6" s="23"/>
    </row>
    <row r="7" spans="1:10" x14ac:dyDescent="0.2">
      <c r="A7" s="7"/>
      <c r="B7" s="35" t="s">
        <v>1194</v>
      </c>
      <c r="C7" s="36">
        <v>151</v>
      </c>
      <c r="D7" s="37" t="s">
        <v>1197</v>
      </c>
      <c r="E7" s="23"/>
      <c r="F7" s="35" t="s">
        <v>1204</v>
      </c>
      <c r="G7" s="39">
        <v>1</v>
      </c>
      <c r="H7" s="37" t="s">
        <v>1169</v>
      </c>
      <c r="I7" s="7"/>
    </row>
    <row r="8" spans="1:10" x14ac:dyDescent="0.2">
      <c r="A8" s="7"/>
      <c r="B8" s="3" t="s">
        <v>1206</v>
      </c>
      <c r="C8" s="29">
        <f>psat_t(C7)</f>
        <v>4.8900004127206458</v>
      </c>
      <c r="D8" s="5" t="s">
        <v>1169</v>
      </c>
      <c r="E8" s="23"/>
      <c r="F8" s="3" t="s">
        <v>1205</v>
      </c>
      <c r="G8" s="30">
        <f>Tsat_p(G7)</f>
        <v>99.605918611337643</v>
      </c>
      <c r="H8" s="5" t="s">
        <v>1197</v>
      </c>
      <c r="I8" s="7"/>
    </row>
    <row r="9" spans="1:10" x14ac:dyDescent="0.2">
      <c r="A9" s="7"/>
      <c r="B9" s="4" t="s">
        <v>1170</v>
      </c>
      <c r="C9" s="7"/>
      <c r="D9" s="5"/>
      <c r="F9" s="4" t="s">
        <v>1170</v>
      </c>
      <c r="G9" s="7"/>
      <c r="H9" s="5"/>
      <c r="I9" s="7"/>
    </row>
    <row r="10" spans="1:10" x14ac:dyDescent="0.2">
      <c r="A10" s="7"/>
      <c r="B10" s="3" t="s">
        <v>1193</v>
      </c>
      <c r="C10" s="31">
        <f>hL_T(C7)</f>
        <v>636.57106554537768</v>
      </c>
      <c r="D10" s="5" t="s">
        <v>1189</v>
      </c>
      <c r="E10" s="23"/>
      <c r="F10" s="3" t="s">
        <v>1193</v>
      </c>
      <c r="G10" s="31">
        <f>hL_p(G7)</f>
        <v>417.43648581623171</v>
      </c>
      <c r="H10" s="5" t="s">
        <v>1189</v>
      </c>
      <c r="I10" s="7"/>
    </row>
    <row r="11" spans="1:10" x14ac:dyDescent="0.2">
      <c r="A11" s="7"/>
      <c r="B11" s="3" t="s">
        <v>1199</v>
      </c>
      <c r="C11" s="30">
        <f>rhoL_T(C7)</f>
        <v>916.07047100933357</v>
      </c>
      <c r="D11" s="5" t="s">
        <v>1195</v>
      </c>
      <c r="E11" s="23"/>
      <c r="F11" s="3" t="s">
        <v>1199</v>
      </c>
      <c r="G11" s="30">
        <f>rhoL_P(G7)</f>
        <v>958.63688967603287</v>
      </c>
      <c r="H11" s="5" t="s">
        <v>1195</v>
      </c>
      <c r="I11" s="7"/>
    </row>
    <row r="12" spans="1:10" x14ac:dyDescent="0.2">
      <c r="A12" s="7"/>
      <c r="B12" s="3" t="s">
        <v>1171</v>
      </c>
      <c r="C12" s="30">
        <f>sL_T(C7)</f>
        <v>1.8521147565879641</v>
      </c>
      <c r="D12" s="5" t="s">
        <v>1236</v>
      </c>
      <c r="E12" s="23"/>
      <c r="F12" s="3" t="s">
        <v>1171</v>
      </c>
      <c r="G12" s="30">
        <f>sL_p(G7)</f>
        <v>1.3025601737745953</v>
      </c>
      <c r="H12" s="5" t="s">
        <v>1236</v>
      </c>
      <c r="I12" s="7"/>
    </row>
    <row r="13" spans="1:10" x14ac:dyDescent="0.2">
      <c r="A13" s="7"/>
      <c r="B13" s="32" t="s">
        <v>1172</v>
      </c>
      <c r="C13" s="7"/>
      <c r="D13" s="5"/>
      <c r="F13" s="32" t="s">
        <v>1172</v>
      </c>
      <c r="G13" s="7"/>
      <c r="H13" s="5"/>
      <c r="I13" s="7"/>
    </row>
    <row r="14" spans="1:10" x14ac:dyDescent="0.2">
      <c r="A14" s="7"/>
      <c r="B14" s="3" t="s">
        <v>1173</v>
      </c>
      <c r="C14" s="31">
        <f>hV_T(C7)</f>
        <v>2747.1150247597507</v>
      </c>
      <c r="D14" s="5" t="s">
        <v>1189</v>
      </c>
      <c r="E14" s="23"/>
      <c r="F14" s="3" t="s">
        <v>1173</v>
      </c>
      <c r="G14" s="31">
        <f>hV_p(G7)</f>
        <v>2674.9496408321461</v>
      </c>
      <c r="H14" s="5" t="s">
        <v>1189</v>
      </c>
      <c r="I14" s="7"/>
    </row>
    <row r="15" spans="1:10" x14ac:dyDescent="0.2">
      <c r="A15" s="7"/>
      <c r="B15" s="3" t="s">
        <v>1174</v>
      </c>
      <c r="C15" s="30">
        <f>rhoV_T(C7)</f>
        <v>2.6127191883023366</v>
      </c>
      <c r="D15" s="5" t="s">
        <v>1195</v>
      </c>
      <c r="E15" s="23"/>
      <c r="F15" s="3" t="s">
        <v>1174</v>
      </c>
      <c r="G15" s="30">
        <f>rhoV_p(G7)</f>
        <v>0.59031092354457815</v>
      </c>
      <c r="H15" s="5" t="s">
        <v>1195</v>
      </c>
      <c r="I15" s="7"/>
    </row>
    <row r="16" spans="1:10" x14ac:dyDescent="0.2">
      <c r="A16" s="7"/>
      <c r="B16" s="3" t="s">
        <v>1175</v>
      </c>
      <c r="C16" s="30">
        <f>sV_T(C7)</f>
        <v>6.8280556625316731</v>
      </c>
      <c r="D16" s="5" t="s">
        <v>1236</v>
      </c>
      <c r="E16" s="23"/>
      <c r="F16" s="3" t="s">
        <v>1176</v>
      </c>
      <c r="G16" s="30">
        <f>sV_p(G7)</f>
        <v>7.3588066410693544</v>
      </c>
      <c r="H16" s="5" t="s">
        <v>1236</v>
      </c>
      <c r="I16" s="7"/>
    </row>
    <row r="17" spans="1:12" x14ac:dyDescent="0.2">
      <c r="A17" s="7"/>
      <c r="B17" s="19" t="s">
        <v>1177</v>
      </c>
      <c r="C17" s="33">
        <f>C14-C10</f>
        <v>2110.543959214373</v>
      </c>
      <c r="D17" s="21" t="s">
        <v>1189</v>
      </c>
      <c r="E17" s="23"/>
      <c r="F17" s="19" t="s">
        <v>1177</v>
      </c>
      <c r="G17" s="33">
        <f>G14-G10</f>
        <v>2257.5131550159144</v>
      </c>
      <c r="H17" s="21" t="s">
        <v>1189</v>
      </c>
      <c r="I17" s="7"/>
    </row>
    <row r="18" spans="1:12" x14ac:dyDescent="0.2">
      <c r="A18" s="7"/>
      <c r="I18" s="7"/>
    </row>
    <row r="19" spans="1:12" x14ac:dyDescent="0.2">
      <c r="A19" s="7"/>
      <c r="B19" s="28" t="s">
        <v>1178</v>
      </c>
      <c r="C19" s="23"/>
      <c r="D19" s="23"/>
      <c r="E19" s="23"/>
      <c r="F19" s="28" t="s">
        <v>1179</v>
      </c>
      <c r="G19" s="23"/>
      <c r="H19" s="23"/>
      <c r="I19" s="7"/>
    </row>
    <row r="20" spans="1:12" x14ac:dyDescent="0.2">
      <c r="A20" s="7"/>
      <c r="B20" s="35" t="s">
        <v>1204</v>
      </c>
      <c r="C20" s="36">
        <v>1</v>
      </c>
      <c r="D20" s="37" t="s">
        <v>1169</v>
      </c>
      <c r="E20" s="23"/>
      <c r="F20" s="35" t="s">
        <v>1204</v>
      </c>
      <c r="G20" s="36">
        <v>12.57</v>
      </c>
      <c r="H20" s="37" t="s">
        <v>1169</v>
      </c>
      <c r="I20" s="7"/>
    </row>
    <row r="21" spans="1:12" x14ac:dyDescent="0.2">
      <c r="A21" s="7"/>
      <c r="B21" s="17" t="s">
        <v>1194</v>
      </c>
      <c r="C21" s="38">
        <v>100</v>
      </c>
      <c r="D21" s="18" t="s">
        <v>1197</v>
      </c>
      <c r="E21" s="7"/>
      <c r="F21" s="17" t="s">
        <v>1193</v>
      </c>
      <c r="G21" s="38">
        <v>2788</v>
      </c>
      <c r="H21" s="18" t="s">
        <v>1189</v>
      </c>
      <c r="I21" s="7"/>
    </row>
    <row r="22" spans="1:12" x14ac:dyDescent="0.2">
      <c r="A22" s="7"/>
      <c r="B22" s="3" t="s">
        <v>1193</v>
      </c>
      <c r="C22" s="31">
        <f>h_pt(C20,C21)</f>
        <v>2675.7673672058295</v>
      </c>
      <c r="D22" s="5" t="s">
        <v>1189</v>
      </c>
      <c r="E22" s="7"/>
      <c r="F22" s="3" t="s">
        <v>1194</v>
      </c>
      <c r="G22" s="31">
        <f>T_ph(G20,G21)</f>
        <v>190.99878517007232</v>
      </c>
      <c r="H22" s="5" t="s">
        <v>1197</v>
      </c>
      <c r="I22" s="7"/>
    </row>
    <row r="23" spans="1:12" x14ac:dyDescent="0.2">
      <c r="A23" s="7"/>
      <c r="B23" s="3" t="s">
        <v>1199</v>
      </c>
      <c r="C23" s="30">
        <f>rho_pT(C20,C21)</f>
        <v>0.5896367540624714</v>
      </c>
      <c r="D23" s="5" t="s">
        <v>1195</v>
      </c>
      <c r="E23" s="7"/>
      <c r="F23" s="3" t="s">
        <v>1199</v>
      </c>
      <c r="G23" s="30">
        <f>rho_ph(G20,G21)</f>
        <v>6.3855415554886008</v>
      </c>
      <c r="H23" s="5" t="s">
        <v>1195</v>
      </c>
      <c r="I23" s="7"/>
    </row>
    <row r="24" spans="1:12" x14ac:dyDescent="0.2">
      <c r="A24" s="7"/>
      <c r="B24" s="3" t="s">
        <v>1171</v>
      </c>
      <c r="C24" s="30">
        <f>s_pT(C20,C21)</f>
        <v>7.3609992138666618</v>
      </c>
      <c r="D24" s="5" t="s">
        <v>1236</v>
      </c>
      <c r="E24" s="7"/>
      <c r="F24" s="3" t="s">
        <v>1171</v>
      </c>
      <c r="G24" s="30">
        <f>s_ph(G20,G21)</f>
        <v>6.5111125817764135</v>
      </c>
      <c r="H24" s="5" t="s">
        <v>1236</v>
      </c>
      <c r="I24" s="7"/>
    </row>
    <row r="25" spans="1:12" x14ac:dyDescent="0.2">
      <c r="A25" s="7"/>
      <c r="B25" s="22" t="s">
        <v>1224</v>
      </c>
      <c r="C25">
        <f>x_ph(C20,C22)*100</f>
        <v>100</v>
      </c>
      <c r="D25" s="24" t="s">
        <v>1226</v>
      </c>
      <c r="F25" s="22" t="s">
        <v>1224</v>
      </c>
      <c r="G25">
        <f>x_ph(G20,G21)*100</f>
        <v>100</v>
      </c>
      <c r="H25" s="24" t="s">
        <v>1226</v>
      </c>
      <c r="I25" s="7"/>
    </row>
    <row r="26" spans="1:12" x14ac:dyDescent="0.2">
      <c r="A26" s="7"/>
      <c r="B26" s="3" t="s">
        <v>1180</v>
      </c>
      <c r="C26" s="7">
        <f>region_pt(C20/10,C21+273.15)</f>
        <v>2</v>
      </c>
      <c r="D26" s="5"/>
      <c r="E26" s="7"/>
      <c r="F26" s="3" t="s">
        <v>1180</v>
      </c>
      <c r="G26" s="7">
        <f>region_ph(G20/10,G21)</f>
        <v>2</v>
      </c>
      <c r="H26" s="5"/>
      <c r="I26" s="7"/>
    </row>
    <row r="27" spans="1:12" x14ac:dyDescent="0.2">
      <c r="A27" s="7"/>
      <c r="B27" s="3" t="s">
        <v>1181</v>
      </c>
      <c r="C27" s="34" t="str">
        <f>IF(C26=2,"Steam",IF(C26=1,"Liquid",IF(C26=4,"Mixture","")))</f>
        <v>Steam</v>
      </c>
      <c r="D27" s="5"/>
      <c r="E27" s="7"/>
      <c r="F27" s="3" t="s">
        <v>1181</v>
      </c>
      <c r="G27" s="34" t="str">
        <f>IF(G26=2,"Steam",IF(G26=1,"Liquid",IF(G26=4,"Mixture","")))</f>
        <v>Steam</v>
      </c>
      <c r="H27" s="5"/>
      <c r="I27" s="7"/>
    </row>
    <row r="28" spans="1:12" x14ac:dyDescent="0.2">
      <c r="B28" s="3" t="s">
        <v>1182</v>
      </c>
      <c r="C28" s="7">
        <f>Cp_pT(C20,C21)</f>
        <v>2.0741085545801092</v>
      </c>
      <c r="D28" s="5" t="s">
        <v>1189</v>
      </c>
      <c r="F28" s="3" t="s">
        <v>1182</v>
      </c>
      <c r="G28" s="7">
        <f>Cp_ph(G20,G21)</f>
        <v>2.819479422450438</v>
      </c>
      <c r="H28" s="5" t="s">
        <v>1189</v>
      </c>
    </row>
    <row r="29" spans="1:12" x14ac:dyDescent="0.2">
      <c r="B29" s="19" t="s">
        <v>1183</v>
      </c>
      <c r="C29" s="20">
        <f>w_pT(C20,C21)</f>
        <v>472.33752352485521</v>
      </c>
      <c r="D29" s="21" t="s">
        <v>1192</v>
      </c>
      <c r="F29" s="19" t="s">
        <v>1183</v>
      </c>
      <c r="G29" s="20">
        <f>w_ph(G20,G21)</f>
        <v>503.55121714205848</v>
      </c>
      <c r="H29" s="21" t="s">
        <v>1192</v>
      </c>
    </row>
    <row r="31" spans="1:12" ht="18" x14ac:dyDescent="0.25">
      <c r="B31" s="852" t="s">
        <v>768</v>
      </c>
      <c r="C31" s="853"/>
      <c r="D31" s="853"/>
      <c r="E31" s="853"/>
      <c r="F31" s="853"/>
      <c r="G31" s="853"/>
      <c r="H31" s="853"/>
      <c r="I31" s="853"/>
      <c r="J31" s="853"/>
      <c r="K31" s="853"/>
      <c r="L31" s="854"/>
    </row>
    <row r="32" spans="1:12" x14ac:dyDescent="0.2">
      <c r="B32" s="851" t="s">
        <v>763</v>
      </c>
      <c r="C32" s="851"/>
      <c r="D32" s="851"/>
      <c r="F32" s="851" t="s">
        <v>764</v>
      </c>
      <c r="G32" s="851"/>
      <c r="H32" s="851"/>
      <c r="J32" s="851" t="s">
        <v>765</v>
      </c>
      <c r="K32" s="851"/>
      <c r="L32" s="851"/>
    </row>
    <row r="33" spans="2:12" x14ac:dyDescent="0.2">
      <c r="B33" s="35" t="s">
        <v>1204</v>
      </c>
      <c r="C33" s="39">
        <f>SELECTION!$R$14</f>
        <v>20</v>
      </c>
      <c r="D33" s="37" t="s">
        <v>1169</v>
      </c>
      <c r="F33" s="35" t="s">
        <v>1204</v>
      </c>
      <c r="G33" s="39">
        <f>SELECTION!$X$14</f>
        <v>15</v>
      </c>
      <c r="H33" s="37" t="s">
        <v>1169</v>
      </c>
      <c r="J33" s="35" t="s">
        <v>1204</v>
      </c>
      <c r="K33" s="39">
        <f>SELECTION!$AD$14</f>
        <v>20</v>
      </c>
      <c r="L33" s="37" t="s">
        <v>1169</v>
      </c>
    </row>
    <row r="34" spans="2:12" x14ac:dyDescent="0.2">
      <c r="B34" s="3" t="s">
        <v>1205</v>
      </c>
      <c r="C34" s="30">
        <f>Tsat_p(C33)</f>
        <v>212.38453531849029</v>
      </c>
      <c r="D34" s="5" t="s">
        <v>1197</v>
      </c>
      <c r="F34" s="3" t="s">
        <v>1205</v>
      </c>
      <c r="G34" s="30">
        <f>Tsat_p(G33)</f>
        <v>198.29524288241385</v>
      </c>
      <c r="H34" s="5" t="s">
        <v>1197</v>
      </c>
      <c r="J34" s="3" t="s">
        <v>1205</v>
      </c>
      <c r="K34" s="30">
        <f>Tsat_p(K33)</f>
        <v>212.38453531849029</v>
      </c>
      <c r="L34" s="5" t="s">
        <v>1197</v>
      </c>
    </row>
    <row r="35" spans="2:12" x14ac:dyDescent="0.2">
      <c r="B35" s="4" t="s">
        <v>1170</v>
      </c>
      <c r="C35" s="7"/>
      <c r="D35" s="5"/>
      <c r="F35" s="4" t="s">
        <v>1170</v>
      </c>
      <c r="G35" s="7"/>
      <c r="H35" s="5"/>
      <c r="J35" s="4" t="s">
        <v>1170</v>
      </c>
      <c r="K35" s="7"/>
      <c r="L35" s="5"/>
    </row>
    <row r="36" spans="2:12" x14ac:dyDescent="0.2">
      <c r="B36" s="3" t="s">
        <v>1193</v>
      </c>
      <c r="C36" s="31">
        <f>hL_p(C33)</f>
        <v>908.62185113645603</v>
      </c>
      <c r="D36" s="5" t="s">
        <v>1189</v>
      </c>
      <c r="F36" s="3" t="s">
        <v>1193</v>
      </c>
      <c r="G36" s="31">
        <f>hL_p(G33)</f>
        <v>844.71691478558705</v>
      </c>
      <c r="H36" s="5" t="s">
        <v>1189</v>
      </c>
      <c r="J36" s="3" t="s">
        <v>1193</v>
      </c>
      <c r="K36" s="31">
        <f>hL_p(K33)</f>
        <v>908.62185113645603</v>
      </c>
      <c r="L36" s="5" t="s">
        <v>1189</v>
      </c>
    </row>
    <row r="37" spans="2:12" x14ac:dyDescent="0.2">
      <c r="B37" s="3" t="s">
        <v>1199</v>
      </c>
      <c r="C37" s="30">
        <f>rhoL_P(C33)</f>
        <v>849.79799654911369</v>
      </c>
      <c r="D37" s="5" t="s">
        <v>1195</v>
      </c>
      <c r="F37" s="3" t="s">
        <v>1199</v>
      </c>
      <c r="G37" s="30">
        <f>rhoL_P(G33)</f>
        <v>866.64997836214286</v>
      </c>
      <c r="H37" s="5" t="s">
        <v>1195</v>
      </c>
      <c r="J37" s="3" t="s">
        <v>1199</v>
      </c>
      <c r="K37" s="30">
        <f>rhoL_P(K33)</f>
        <v>849.79799654911369</v>
      </c>
      <c r="L37" s="5" t="s">
        <v>1195</v>
      </c>
    </row>
    <row r="38" spans="2:12" x14ac:dyDescent="0.2">
      <c r="B38" s="3" t="s">
        <v>1171</v>
      </c>
      <c r="C38" s="30">
        <f>sL_p(C33)</f>
        <v>2.4470239083620626</v>
      </c>
      <c r="D38" s="5" t="s">
        <v>1236</v>
      </c>
      <c r="F38" s="3" t="s">
        <v>1171</v>
      </c>
      <c r="G38" s="30">
        <f>sL_p(G33)</f>
        <v>2.3146816304389946</v>
      </c>
      <c r="H38" s="5" t="s">
        <v>1236</v>
      </c>
      <c r="J38" s="3" t="s">
        <v>1171</v>
      </c>
      <c r="K38" s="30">
        <f>sL_p(K33)</f>
        <v>2.4470239083620626</v>
      </c>
      <c r="L38" s="5" t="s">
        <v>1236</v>
      </c>
    </row>
    <row r="39" spans="2:12" x14ac:dyDescent="0.2">
      <c r="B39" s="32" t="s">
        <v>1172</v>
      </c>
      <c r="C39" s="7"/>
      <c r="D39" s="5"/>
      <c r="F39" s="32" t="s">
        <v>1172</v>
      </c>
      <c r="G39" s="7"/>
      <c r="H39" s="5"/>
      <c r="J39" s="32" t="s">
        <v>1172</v>
      </c>
      <c r="K39" s="7"/>
      <c r="L39" s="5"/>
    </row>
    <row r="40" spans="2:12" x14ac:dyDescent="0.2">
      <c r="B40" s="3" t="s">
        <v>1173</v>
      </c>
      <c r="C40" s="31">
        <f>hV_p(C33)</f>
        <v>2798.3841402415142</v>
      </c>
      <c r="D40" s="5" t="s">
        <v>1189</v>
      </c>
      <c r="F40" s="3" t="s">
        <v>1173</v>
      </c>
      <c r="G40" s="31">
        <f>hV_p(G33)</f>
        <v>2791.0105362953245</v>
      </c>
      <c r="H40" s="5" t="s">
        <v>1189</v>
      </c>
      <c r="J40" s="3" t="s">
        <v>1173</v>
      </c>
      <c r="K40" s="31">
        <f>hV_p(K33)</f>
        <v>2798.3841402415142</v>
      </c>
      <c r="L40" s="5" t="s">
        <v>1189</v>
      </c>
    </row>
    <row r="41" spans="2:12" x14ac:dyDescent="0.2">
      <c r="B41" s="3" t="s">
        <v>1174</v>
      </c>
      <c r="C41" s="30">
        <f>rhoV_p(C33)</f>
        <v>10.042122267417218</v>
      </c>
      <c r="D41" s="5" t="s">
        <v>1195</v>
      </c>
      <c r="F41" s="3" t="s">
        <v>1174</v>
      </c>
      <c r="G41" s="30">
        <f>rhoV_p(G33)</f>
        <v>7.5928803259818363</v>
      </c>
      <c r="H41" s="5" t="s">
        <v>1195</v>
      </c>
      <c r="J41" s="3" t="s">
        <v>1174</v>
      </c>
      <c r="K41" s="30">
        <f>rhoV_p(K33)</f>
        <v>10.042122267417218</v>
      </c>
      <c r="L41" s="5" t="s">
        <v>1195</v>
      </c>
    </row>
    <row r="42" spans="2:12" x14ac:dyDescent="0.2">
      <c r="B42" s="3" t="s">
        <v>1176</v>
      </c>
      <c r="C42" s="30">
        <f>sV_p(C33)</f>
        <v>6.3391643771286583</v>
      </c>
      <c r="D42" s="5" t="s">
        <v>1236</v>
      </c>
      <c r="F42" s="3" t="s">
        <v>1176</v>
      </c>
      <c r="G42" s="30">
        <f>sV_p(G33)</f>
        <v>6.4430546561046258</v>
      </c>
      <c r="H42" s="5" t="s">
        <v>1236</v>
      </c>
      <c r="J42" s="3" t="s">
        <v>1176</v>
      </c>
      <c r="K42" s="30">
        <f>sV_p(K33)</f>
        <v>6.3391643771286583</v>
      </c>
      <c r="L42" s="5" t="s">
        <v>1236</v>
      </c>
    </row>
    <row r="43" spans="2:12" x14ac:dyDescent="0.2">
      <c r="B43" s="19" t="s">
        <v>1177</v>
      </c>
      <c r="C43" s="33">
        <f>C40-C36</f>
        <v>1889.7622891050582</v>
      </c>
      <c r="D43" s="21" t="s">
        <v>1189</v>
      </c>
      <c r="F43" s="19" t="s">
        <v>1177</v>
      </c>
      <c r="G43" s="33">
        <f>G40-G36</f>
        <v>1946.2936215097375</v>
      </c>
      <c r="H43" s="21" t="s">
        <v>1189</v>
      </c>
      <c r="J43" s="19" t="s">
        <v>1177</v>
      </c>
      <c r="K43" s="33">
        <f>K40-K36</f>
        <v>1889.7622891050582</v>
      </c>
      <c r="L43" s="21" t="s">
        <v>1189</v>
      </c>
    </row>
    <row r="44" spans="2:12" x14ac:dyDescent="0.2">
      <c r="B44" s="285" t="s">
        <v>770</v>
      </c>
      <c r="C44" s="286">
        <f>'FLUID Data'!$P$34</f>
        <v>1.33</v>
      </c>
      <c r="D44" s="287"/>
      <c r="F44" s="285" t="s">
        <v>770</v>
      </c>
      <c r="G44" s="286">
        <f>'FLUID Data'!$P$34</f>
        <v>1.33</v>
      </c>
      <c r="H44" s="287"/>
      <c r="J44" s="285" t="s">
        <v>770</v>
      </c>
      <c r="K44" s="286">
        <f>'FLUID Data'!$P$34</f>
        <v>1.33</v>
      </c>
      <c r="L44" s="287"/>
    </row>
  </sheetData>
  <mergeCells count="4">
    <mergeCell ref="B32:D32"/>
    <mergeCell ref="F32:H32"/>
    <mergeCell ref="J32:L32"/>
    <mergeCell ref="B31:L31"/>
  </mergeCells>
  <phoneticPr fontId="0" type="noConversion"/>
  <hyperlinks>
    <hyperlink ref="B4" r:id="rId1"/>
  </hyperlinks>
  <pageMargins left="0.75" right="0.75" top="1" bottom="1" header="0.5" footer="0.5"/>
  <pageSetup paperSize="9"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C000"/>
    <outlinePr summaryBelow="0"/>
  </sheetPr>
  <dimension ref="A1:M150"/>
  <sheetViews>
    <sheetView topLeftCell="A10" workbookViewId="0">
      <selection activeCell="U10" sqref="U10"/>
    </sheetView>
  </sheetViews>
  <sheetFormatPr defaultRowHeight="12.75" outlineLevelRow="1" x14ac:dyDescent="0.2"/>
  <cols>
    <col min="1" max="1" width="24.140625" customWidth="1"/>
    <col min="2" max="2" width="4.7109375" customWidth="1"/>
    <col min="3" max="3" width="7.7109375" customWidth="1"/>
    <col min="4" max="4" width="4.7109375" customWidth="1"/>
    <col min="5" max="5" width="8.28515625" customWidth="1"/>
    <col min="6" max="6" width="10.42578125" style="1" bestFit="1" customWidth="1"/>
    <col min="7" max="7" width="9.140625" style="1"/>
    <col min="8" max="8" width="7.5703125" style="2" customWidth="1"/>
  </cols>
  <sheetData>
    <row r="1" spans="1:8" s="14" customFormat="1" ht="18" x14ac:dyDescent="0.25">
      <c r="A1" s="6" t="s">
        <v>1237</v>
      </c>
      <c r="D1" s="2" t="s">
        <v>1018</v>
      </c>
      <c r="E1" s="15" t="s">
        <v>1238</v>
      </c>
      <c r="F1" s="6"/>
      <c r="G1" s="6"/>
    </row>
    <row r="2" spans="1:8" s="11" customFormat="1" ht="11.25" x14ac:dyDescent="0.2">
      <c r="A2" s="11" t="s">
        <v>1239</v>
      </c>
    </row>
    <row r="3" spans="1:8" s="9" customFormat="1" ht="11.25" x14ac:dyDescent="0.2">
      <c r="A3" s="9" t="s">
        <v>1160</v>
      </c>
    </row>
    <row r="4" spans="1:8" s="9" customFormat="1" ht="11.25" x14ac:dyDescent="0.2">
      <c r="A4" s="9" t="s">
        <v>1161</v>
      </c>
      <c r="F4" s="16" t="s">
        <v>1241</v>
      </c>
    </row>
    <row r="5" spans="1:8" s="9" customFormat="1" ht="11.25" x14ac:dyDescent="0.2">
      <c r="A5" s="9" t="s">
        <v>1235</v>
      </c>
    </row>
    <row r="6" spans="1:8" x14ac:dyDescent="0.2">
      <c r="A6" s="11" t="s">
        <v>1229</v>
      </c>
      <c r="B6" s="2"/>
      <c r="C6" s="2"/>
      <c r="D6" s="2"/>
      <c r="E6" s="2"/>
      <c r="F6" s="2"/>
      <c r="G6" s="2"/>
    </row>
    <row r="7" spans="1:8" x14ac:dyDescent="0.2">
      <c r="A7" s="11"/>
      <c r="B7" s="2"/>
      <c r="C7" s="2"/>
      <c r="D7" s="2"/>
      <c r="E7" s="2"/>
      <c r="F7" s="2"/>
      <c r="G7" s="2"/>
    </row>
    <row r="8" spans="1:8" s="13" customFormat="1" ht="15" x14ac:dyDescent="0.2">
      <c r="A8" s="25" t="s">
        <v>1194</v>
      </c>
      <c r="F8" s="12"/>
      <c r="G8" s="12"/>
    </row>
    <row r="9" spans="1:8" s="9" customFormat="1" outlineLevel="1" x14ac:dyDescent="0.2">
      <c r="A9" s="1" t="s">
        <v>1044</v>
      </c>
      <c r="B9" s="2">
        <v>1</v>
      </c>
      <c r="C9" s="2" t="s">
        <v>1196</v>
      </c>
      <c r="D9" s="2"/>
      <c r="E9" s="2"/>
      <c r="F9" s="1">
        <f>Tsat_p(B9)</f>
        <v>99.605918611337643</v>
      </c>
      <c r="G9" s="1" t="s">
        <v>1197</v>
      </c>
      <c r="H9" s="2" t="s">
        <v>1205</v>
      </c>
    </row>
    <row r="10" spans="1:8" s="9" customFormat="1" outlineLevel="1" x14ac:dyDescent="0.2">
      <c r="A10" s="1" t="s">
        <v>1043</v>
      </c>
      <c r="B10" s="2">
        <v>1</v>
      </c>
      <c r="C10" s="2" t="s">
        <v>1196</v>
      </c>
      <c r="D10" s="2">
        <v>100</v>
      </c>
      <c r="E10" s="2" t="s">
        <v>1189</v>
      </c>
      <c r="F10" s="1">
        <f>T_ph(B10,D10)</f>
        <v>23.844819075324835</v>
      </c>
      <c r="G10" s="1" t="s">
        <v>1197</v>
      </c>
      <c r="H10" s="2" t="s">
        <v>1230</v>
      </c>
    </row>
    <row r="11" spans="1:8" s="9" customFormat="1" outlineLevel="1" x14ac:dyDescent="0.2">
      <c r="A11" s="1" t="s">
        <v>1045</v>
      </c>
      <c r="B11" s="2">
        <v>1</v>
      </c>
      <c r="C11" s="2" t="s">
        <v>1196</v>
      </c>
      <c r="D11" s="2">
        <v>1</v>
      </c>
      <c r="E11" s="2" t="s">
        <v>1191</v>
      </c>
      <c r="F11" s="1">
        <f>T_ps(B11,D11)</f>
        <v>73.708594214408663</v>
      </c>
      <c r="G11" s="1" t="s">
        <v>1197</v>
      </c>
      <c r="H11" s="2" t="s">
        <v>1231</v>
      </c>
    </row>
    <row r="12" spans="1:8" s="9" customFormat="1" outlineLevel="1" x14ac:dyDescent="0.2">
      <c r="A12" s="1" t="s">
        <v>1042</v>
      </c>
      <c r="B12" s="2">
        <v>100</v>
      </c>
      <c r="C12" s="2" t="s">
        <v>1189</v>
      </c>
      <c r="D12" s="2">
        <v>0.2</v>
      </c>
      <c r="E12" s="2" t="s">
        <v>1191</v>
      </c>
      <c r="F12" s="1">
        <f>T_hs(B12,D12)</f>
        <v>13.849335111872563</v>
      </c>
      <c r="G12" s="1" t="s">
        <v>1197</v>
      </c>
      <c r="H12" s="2" t="s">
        <v>1245</v>
      </c>
    </row>
    <row r="13" spans="1:8" s="13" customFormat="1" ht="15" x14ac:dyDescent="0.2">
      <c r="A13" s="25" t="s">
        <v>1204</v>
      </c>
      <c r="F13" s="12"/>
      <c r="G13" s="12"/>
    </row>
    <row r="14" spans="1:8" s="9" customFormat="1" outlineLevel="1" x14ac:dyDescent="0.2">
      <c r="A14" s="1" t="s">
        <v>1041</v>
      </c>
      <c r="B14" s="2">
        <v>100</v>
      </c>
      <c r="C14" s="2" t="s">
        <v>1197</v>
      </c>
      <c r="D14" s="2"/>
      <c r="E14" s="2"/>
      <c r="F14" s="1">
        <f>psat_t(B14)</f>
        <v>1.0141797792131013</v>
      </c>
      <c r="G14" s="1" t="s">
        <v>1196</v>
      </c>
      <c r="H14" s="2" t="s">
        <v>1206</v>
      </c>
    </row>
    <row r="15" spans="1:8" s="9" customFormat="1" outlineLevel="1" x14ac:dyDescent="0.2">
      <c r="A15" s="1" t="s">
        <v>1040</v>
      </c>
      <c r="B15" s="2">
        <v>84</v>
      </c>
      <c r="C15" s="2" t="s">
        <v>1189</v>
      </c>
      <c r="D15" s="2">
        <v>0.29599999999999999</v>
      </c>
      <c r="E15" s="2" t="s">
        <v>1191</v>
      </c>
      <c r="F15" s="1">
        <f>p_hs(B15,D15)</f>
        <v>2.2954982692809138</v>
      </c>
      <c r="G15" s="1" t="s">
        <v>1196</v>
      </c>
      <c r="H15" s="2" t="s">
        <v>1240</v>
      </c>
    </row>
    <row r="16" spans="1:8" s="9" customFormat="1" outlineLevel="1" x14ac:dyDescent="0.2">
      <c r="A16" s="1" t="s">
        <v>1039</v>
      </c>
      <c r="B16" s="2">
        <v>2000</v>
      </c>
      <c r="C16" s="2" t="s">
        <v>1189</v>
      </c>
      <c r="D16" s="2">
        <v>5</v>
      </c>
      <c r="E16" s="2" t="s">
        <v>1195</v>
      </c>
      <c r="F16" s="1">
        <f>p_hrho(B16,D16)</f>
        <v>6.0464690304783115</v>
      </c>
      <c r="G16" s="1" t="s">
        <v>1196</v>
      </c>
      <c r="H16" s="2" t="s">
        <v>1021</v>
      </c>
    </row>
    <row r="17" spans="1:8" s="13" customFormat="1" ht="15" x14ac:dyDescent="0.2">
      <c r="A17" s="25" t="s">
        <v>1193</v>
      </c>
      <c r="F17" s="12"/>
      <c r="G17" s="12"/>
    </row>
    <row r="18" spans="1:8" s="9" customFormat="1" outlineLevel="1" x14ac:dyDescent="0.2">
      <c r="A18" s="1" t="s">
        <v>1046</v>
      </c>
      <c r="B18" s="2">
        <v>1</v>
      </c>
      <c r="C18" s="2" t="s">
        <v>1196</v>
      </c>
      <c r="D18" s="2"/>
      <c r="E18" s="2"/>
      <c r="F18" s="1">
        <f>hV_p(B18)</f>
        <v>2674.9496408321461</v>
      </c>
      <c r="G18" s="1" t="s">
        <v>1189</v>
      </c>
      <c r="H18" s="2" t="s">
        <v>1208</v>
      </c>
    </row>
    <row r="19" spans="1:8" s="9" customFormat="1" outlineLevel="1" x14ac:dyDescent="0.2">
      <c r="A19" s="1" t="s">
        <v>1047</v>
      </c>
      <c r="B19" s="2">
        <v>1</v>
      </c>
      <c r="C19" s="2" t="s">
        <v>1196</v>
      </c>
      <c r="D19" s="2"/>
      <c r="E19" s="2"/>
      <c r="F19" s="1">
        <f>hL_p(B19)</f>
        <v>417.43648581623171</v>
      </c>
      <c r="G19" s="1" t="s">
        <v>1189</v>
      </c>
      <c r="H19" s="2" t="s">
        <v>1213</v>
      </c>
    </row>
    <row r="20" spans="1:8" s="9" customFormat="1" outlineLevel="1" x14ac:dyDescent="0.2">
      <c r="A20" s="1" t="s">
        <v>1048</v>
      </c>
      <c r="B20" s="2">
        <v>100</v>
      </c>
      <c r="C20" s="2" t="s">
        <v>1197</v>
      </c>
      <c r="D20" s="2"/>
      <c r="E20" s="2"/>
      <c r="F20" s="1">
        <f>hV_T(B20)</f>
        <v>2675.5720292208343</v>
      </c>
      <c r="G20" s="1" t="s">
        <v>1189</v>
      </c>
      <c r="H20" s="2" t="s">
        <v>1208</v>
      </c>
    </row>
    <row r="21" spans="1:8" s="9" customFormat="1" outlineLevel="1" x14ac:dyDescent="0.2">
      <c r="A21" s="1" t="s">
        <v>1049</v>
      </c>
      <c r="B21" s="2">
        <v>100</v>
      </c>
      <c r="C21" s="2" t="s">
        <v>1197</v>
      </c>
      <c r="D21" s="2"/>
      <c r="E21" s="2"/>
      <c r="F21" s="1">
        <f>hL_T(B21)</f>
        <v>419.09915499770312</v>
      </c>
      <c r="G21" s="1" t="s">
        <v>1189</v>
      </c>
      <c r="H21" s="2" t="s">
        <v>1213</v>
      </c>
    </row>
    <row r="22" spans="1:8" s="9" customFormat="1" outlineLevel="1" x14ac:dyDescent="0.2">
      <c r="A22" s="1" t="s">
        <v>1050</v>
      </c>
      <c r="B22" s="2">
        <v>1</v>
      </c>
      <c r="C22" s="2" t="s">
        <v>1196</v>
      </c>
      <c r="D22" s="2">
        <v>20</v>
      </c>
      <c r="E22" s="2" t="s">
        <v>1197</v>
      </c>
      <c r="F22" s="1">
        <f>h_pt(B22,D22)</f>
        <v>84.01181116713623</v>
      </c>
      <c r="G22" s="1" t="s">
        <v>1189</v>
      </c>
      <c r="H22" s="2" t="s">
        <v>1232</v>
      </c>
    </row>
    <row r="23" spans="1:8" s="9" customFormat="1" outlineLevel="1" x14ac:dyDescent="0.2">
      <c r="A23" s="1" t="s">
        <v>1051</v>
      </c>
      <c r="B23" s="2">
        <v>1</v>
      </c>
      <c r="C23" s="2" t="s">
        <v>1196</v>
      </c>
      <c r="D23" s="2">
        <v>1</v>
      </c>
      <c r="E23" s="2" t="s">
        <v>1191</v>
      </c>
      <c r="F23" s="1">
        <f>h_ps(B23,D23)</f>
        <v>308.61071708294634</v>
      </c>
      <c r="G23" s="1" t="s">
        <v>1189</v>
      </c>
      <c r="H23" s="2" t="s">
        <v>1233</v>
      </c>
    </row>
    <row r="24" spans="1:8" s="9" customFormat="1" outlineLevel="1" x14ac:dyDescent="0.2">
      <c r="A24" s="1" t="s">
        <v>1052</v>
      </c>
      <c r="B24" s="2">
        <v>1</v>
      </c>
      <c r="C24" s="2" t="s">
        <v>1196</v>
      </c>
      <c r="D24" s="2">
        <v>0.5</v>
      </c>
      <c r="E24" s="2"/>
      <c r="F24" s="1">
        <f>h_px(B24,D24)</f>
        <v>1546.1930633241889</v>
      </c>
      <c r="G24" s="1" t="s">
        <v>1189</v>
      </c>
      <c r="H24" s="2" t="s">
        <v>1243</v>
      </c>
    </row>
    <row r="25" spans="1:8" s="9" customFormat="1" outlineLevel="1" x14ac:dyDescent="0.2">
      <c r="A25" s="1" t="s">
        <v>1053</v>
      </c>
      <c r="B25" s="2">
        <v>100</v>
      </c>
      <c r="C25" s="2" t="s">
        <v>1197</v>
      </c>
      <c r="D25" s="2">
        <v>0.5</v>
      </c>
      <c r="E25" s="2"/>
      <c r="F25" s="1">
        <f>h_tx(B25,D25)</f>
        <v>1547.3355921092686</v>
      </c>
      <c r="G25" s="1" t="s">
        <v>1189</v>
      </c>
      <c r="H25" s="2" t="s">
        <v>1244</v>
      </c>
    </row>
    <row r="26" spans="1:8" s="9" customFormat="1" outlineLevel="1" x14ac:dyDescent="0.2">
      <c r="A26" s="1" t="s">
        <v>1054</v>
      </c>
      <c r="B26" s="2">
        <v>1</v>
      </c>
      <c r="C26" s="2" t="s">
        <v>1196</v>
      </c>
      <c r="D26" s="2">
        <v>2</v>
      </c>
      <c r="E26" s="2" t="s">
        <v>1195</v>
      </c>
      <c r="F26" s="1">
        <f>h_prho(B26,D26)</f>
        <v>1082.7733907600204</v>
      </c>
      <c r="G26" s="1" t="s">
        <v>1189</v>
      </c>
      <c r="H26" s="2" t="s">
        <v>1162</v>
      </c>
    </row>
    <row r="27" spans="1:8" s="13" customFormat="1" ht="15" x14ac:dyDescent="0.2">
      <c r="A27" s="25" t="s">
        <v>1207</v>
      </c>
      <c r="F27" s="12"/>
      <c r="G27" s="12"/>
    </row>
    <row r="28" spans="1:8" s="9" customFormat="1" outlineLevel="1" x14ac:dyDescent="0.2">
      <c r="A28" s="1" t="s">
        <v>1055</v>
      </c>
      <c r="B28" s="2">
        <v>21</v>
      </c>
      <c r="C28" s="2" t="s">
        <v>1196</v>
      </c>
      <c r="D28" s="2"/>
      <c r="E28" s="2"/>
      <c r="F28" s="1">
        <f>vV_p(B28)</f>
        <v>9.4933940861810534E-2</v>
      </c>
      <c r="G28" s="1" t="s">
        <v>1190</v>
      </c>
      <c r="H28" s="2" t="s">
        <v>1209</v>
      </c>
    </row>
    <row r="29" spans="1:8" s="9" customFormat="1" outlineLevel="1" x14ac:dyDescent="0.2">
      <c r="A29" s="1" t="s">
        <v>1056</v>
      </c>
      <c r="B29" s="2">
        <v>1</v>
      </c>
      <c r="C29" s="2" t="s">
        <v>1196</v>
      </c>
      <c r="D29" s="2"/>
      <c r="E29" s="2"/>
      <c r="F29" s="1">
        <f>vL_p(B29)</f>
        <v>1.0431478391551838E-3</v>
      </c>
      <c r="G29" s="1" t="s">
        <v>1190</v>
      </c>
      <c r="H29" s="2" t="s">
        <v>1214</v>
      </c>
    </row>
    <row r="30" spans="1:8" s="9" customFormat="1" outlineLevel="1" x14ac:dyDescent="0.2">
      <c r="A30" s="1" t="s">
        <v>1057</v>
      </c>
      <c r="B30" s="2">
        <v>235.68</v>
      </c>
      <c r="C30" s="2" t="s">
        <v>1197</v>
      </c>
      <c r="D30" s="2"/>
      <c r="E30" s="2"/>
      <c r="F30" s="1">
        <f>vV_T(B30)</f>
        <v>6.4508764279152142E-2</v>
      </c>
      <c r="G30" s="1" t="s">
        <v>1190</v>
      </c>
      <c r="H30" s="2" t="s">
        <v>1209</v>
      </c>
    </row>
    <row r="31" spans="1:8" s="9" customFormat="1" outlineLevel="1" x14ac:dyDescent="0.2">
      <c r="A31" s="1" t="s">
        <v>1058</v>
      </c>
      <c r="B31" s="2">
        <v>100</v>
      </c>
      <c r="C31" s="2" t="s">
        <v>1197</v>
      </c>
      <c r="D31" s="2"/>
      <c r="E31" s="2"/>
      <c r="F31" s="1">
        <f>vL_T(B31)</f>
        <v>1.0434554566105269E-3</v>
      </c>
      <c r="G31" s="1" t="s">
        <v>1190</v>
      </c>
      <c r="H31" s="2" t="s">
        <v>1214</v>
      </c>
    </row>
    <row r="32" spans="1:8" s="9" customFormat="1" outlineLevel="1" x14ac:dyDescent="0.2">
      <c r="A32" s="1" t="s">
        <v>1059</v>
      </c>
      <c r="B32" s="2">
        <v>1</v>
      </c>
      <c r="C32" s="2" t="s">
        <v>1196</v>
      </c>
      <c r="D32" s="2">
        <v>100</v>
      </c>
      <c r="E32" s="2" t="s">
        <v>1197</v>
      </c>
      <c r="F32" s="1">
        <f>v_pT(B32,D32)</f>
        <v>1.6959594073982218</v>
      </c>
      <c r="G32" s="1" t="s">
        <v>1190</v>
      </c>
      <c r="H32" s="2" t="s">
        <v>1246</v>
      </c>
    </row>
    <row r="33" spans="1:8" s="9" customFormat="1" outlineLevel="1" x14ac:dyDescent="0.2">
      <c r="A33" s="1" t="s">
        <v>1060</v>
      </c>
      <c r="B33" s="2">
        <v>1</v>
      </c>
      <c r="C33" s="2" t="s">
        <v>1196</v>
      </c>
      <c r="D33" s="2">
        <v>1000</v>
      </c>
      <c r="E33" s="2" t="s">
        <v>1189</v>
      </c>
      <c r="F33" s="1">
        <f>v_ph(B33,D33)</f>
        <v>0.43792565812986356</v>
      </c>
      <c r="G33" s="1" t="s">
        <v>1190</v>
      </c>
      <c r="H33" s="2" t="s">
        <v>1247</v>
      </c>
    </row>
    <row r="34" spans="1:8" s="9" customFormat="1" outlineLevel="1" x14ac:dyDescent="0.2">
      <c r="A34" s="1" t="s">
        <v>1061</v>
      </c>
      <c r="B34" s="2">
        <v>1</v>
      </c>
      <c r="C34" s="2" t="s">
        <v>1196</v>
      </c>
      <c r="D34" s="2">
        <v>5</v>
      </c>
      <c r="E34" s="2" t="s">
        <v>1191</v>
      </c>
      <c r="F34" s="1">
        <f>v_ps(B34,D34)</f>
        <v>1.0346353901862877</v>
      </c>
      <c r="G34" s="1" t="s">
        <v>1190</v>
      </c>
      <c r="H34" s="2" t="s">
        <v>1248</v>
      </c>
    </row>
    <row r="35" spans="1:8" s="13" customFormat="1" ht="15" x14ac:dyDescent="0.2">
      <c r="A35" s="25" t="s">
        <v>1199</v>
      </c>
      <c r="F35" s="12"/>
      <c r="G35" s="12"/>
    </row>
    <row r="36" spans="1:8" s="9" customFormat="1" outlineLevel="1" x14ac:dyDescent="0.2">
      <c r="A36" s="1" t="s">
        <v>1062</v>
      </c>
      <c r="B36" s="2">
        <v>1</v>
      </c>
      <c r="C36" s="2" t="s">
        <v>1196</v>
      </c>
      <c r="D36" s="2"/>
      <c r="E36" s="2"/>
      <c r="F36" s="1">
        <f>rhoV_p(B36)</f>
        <v>0.59031092354457815</v>
      </c>
      <c r="G36" s="1" t="s">
        <v>1195</v>
      </c>
      <c r="H36" s="2" t="s">
        <v>1210</v>
      </c>
    </row>
    <row r="37" spans="1:8" s="9" customFormat="1" outlineLevel="1" x14ac:dyDescent="0.2">
      <c r="A37" s="1" t="s">
        <v>1063</v>
      </c>
      <c r="B37" s="2">
        <v>1</v>
      </c>
      <c r="C37" s="2" t="s">
        <v>1196</v>
      </c>
      <c r="D37" s="2"/>
      <c r="E37" s="2"/>
      <c r="F37" s="1">
        <f>rhoL_P(B37)</f>
        <v>958.63688967603287</v>
      </c>
      <c r="G37" s="1" t="s">
        <v>1195</v>
      </c>
      <c r="H37" s="2" t="s">
        <v>1215</v>
      </c>
    </row>
    <row r="38" spans="1:8" s="9" customFormat="1" outlineLevel="1" x14ac:dyDescent="0.2">
      <c r="A38" s="1" t="s">
        <v>1064</v>
      </c>
      <c r="B38" s="2">
        <v>100</v>
      </c>
      <c r="C38" s="2" t="s">
        <v>1197</v>
      </c>
      <c r="D38" s="2"/>
      <c r="E38" s="2"/>
      <c r="F38" s="1">
        <f>rhoV_T(B38)</f>
        <v>0.59813599252570293</v>
      </c>
      <c r="G38" s="1" t="s">
        <v>1195</v>
      </c>
      <c r="H38" s="2" t="s">
        <v>1210</v>
      </c>
    </row>
    <row r="39" spans="1:8" s="9" customFormat="1" outlineLevel="1" x14ac:dyDescent="0.2">
      <c r="A39" s="1" t="s">
        <v>1065</v>
      </c>
      <c r="B39" s="2">
        <v>100</v>
      </c>
      <c r="C39" s="2" t="s">
        <v>1197</v>
      </c>
      <c r="D39" s="2"/>
      <c r="E39" s="2"/>
      <c r="F39" s="1">
        <f>rhoL_T(B39)</f>
        <v>958.35427728589013</v>
      </c>
      <c r="G39" s="1" t="s">
        <v>1195</v>
      </c>
      <c r="H39" s="2" t="s">
        <v>1215</v>
      </c>
    </row>
    <row r="40" spans="1:8" s="9" customFormat="1" outlineLevel="1" x14ac:dyDescent="0.2">
      <c r="A40" s="1" t="s">
        <v>1066</v>
      </c>
      <c r="B40" s="2">
        <v>1</v>
      </c>
      <c r="C40" s="2" t="s">
        <v>1196</v>
      </c>
      <c r="D40" s="2">
        <v>100</v>
      </c>
      <c r="E40" s="2" t="s">
        <v>1197</v>
      </c>
      <c r="F40" s="1">
        <f>rho_pT(B40,D40)</f>
        <v>0.5896367540624714</v>
      </c>
      <c r="G40" s="1" t="s">
        <v>1195</v>
      </c>
      <c r="H40" s="2" t="s">
        <v>1249</v>
      </c>
    </row>
    <row r="41" spans="1:8" s="9" customFormat="1" outlineLevel="1" x14ac:dyDescent="0.2">
      <c r="A41" s="1" t="s">
        <v>1067</v>
      </c>
      <c r="B41" s="2">
        <v>1</v>
      </c>
      <c r="C41" s="2" t="s">
        <v>1196</v>
      </c>
      <c r="D41" s="2">
        <v>1000</v>
      </c>
      <c r="E41" s="2" t="s">
        <v>1189</v>
      </c>
      <c r="F41" s="1">
        <f>rho_ph(B41,D41)</f>
        <v>2.2834926007086289</v>
      </c>
      <c r="G41" s="1" t="s">
        <v>1195</v>
      </c>
      <c r="H41" s="2" t="s">
        <v>1250</v>
      </c>
    </row>
    <row r="42" spans="1:8" s="9" customFormat="1" outlineLevel="1" x14ac:dyDescent="0.2">
      <c r="A42" s="1" t="s">
        <v>1068</v>
      </c>
      <c r="B42" s="2">
        <v>1</v>
      </c>
      <c r="C42" s="2" t="s">
        <v>1196</v>
      </c>
      <c r="D42" s="2">
        <v>1</v>
      </c>
      <c r="E42" s="2" t="s">
        <v>1191</v>
      </c>
      <c r="F42" s="1">
        <f>rho_ps(B42,D42)</f>
        <v>975.62367884823243</v>
      </c>
      <c r="G42" s="1" t="s">
        <v>1195</v>
      </c>
      <c r="H42" s="2" t="s">
        <v>1251</v>
      </c>
    </row>
    <row r="43" spans="1:8" s="13" customFormat="1" ht="15" x14ac:dyDescent="0.2">
      <c r="A43" s="25" t="s">
        <v>1198</v>
      </c>
      <c r="F43" s="12"/>
      <c r="G43" s="12"/>
    </row>
    <row r="44" spans="1:8" s="9" customFormat="1" outlineLevel="1" x14ac:dyDescent="0.2">
      <c r="A44" s="1" t="s">
        <v>1069</v>
      </c>
      <c r="B44" s="2">
        <v>6.117E-3</v>
      </c>
      <c r="C44" s="2" t="s">
        <v>1196</v>
      </c>
      <c r="D44" s="2"/>
      <c r="E44" s="2"/>
      <c r="F44" s="1">
        <f>sV_p(B44)</f>
        <v>9.1554655557132456</v>
      </c>
      <c r="G44" s="1" t="s">
        <v>1191</v>
      </c>
      <c r="H44" s="2" t="s">
        <v>1211</v>
      </c>
    </row>
    <row r="45" spans="1:8" s="9" customFormat="1" outlineLevel="1" x14ac:dyDescent="0.2">
      <c r="A45" s="1" t="s">
        <v>1070</v>
      </c>
      <c r="B45" s="2">
        <v>6.1171000000000003E-3</v>
      </c>
      <c r="C45" s="2" t="s">
        <v>1196</v>
      </c>
      <c r="D45" s="2"/>
      <c r="E45" s="2"/>
      <c r="F45" s="1">
        <f>sL_p(B45)</f>
        <v>1.8359025119631999E-5</v>
      </c>
      <c r="G45" s="1" t="s">
        <v>1191</v>
      </c>
      <c r="H45" s="2" t="s">
        <v>1216</v>
      </c>
    </row>
    <row r="46" spans="1:8" s="9" customFormat="1" outlineLevel="1" x14ac:dyDescent="0.2">
      <c r="A46" s="1" t="s">
        <v>1071</v>
      </c>
      <c r="B46" s="2">
        <v>1E-4</v>
      </c>
      <c r="C46" s="2" t="s">
        <v>1197</v>
      </c>
      <c r="D46" s="2"/>
      <c r="E46" s="2"/>
      <c r="F46" s="1">
        <f>sV_T(B46)</f>
        <v>9.1557567158855857</v>
      </c>
      <c r="G46" s="1" t="s">
        <v>1191</v>
      </c>
      <c r="H46" s="2" t="s">
        <v>1211</v>
      </c>
    </row>
    <row r="47" spans="1:8" s="9" customFormat="1" outlineLevel="1" x14ac:dyDescent="0.2">
      <c r="A47" s="1" t="s">
        <v>1072</v>
      </c>
      <c r="B47" s="2">
        <v>100</v>
      </c>
      <c r="C47" s="2" t="s">
        <v>1197</v>
      </c>
      <c r="D47" s="2"/>
      <c r="E47" s="2"/>
      <c r="F47" s="1">
        <f>sL_T(B47)</f>
        <v>1.3070143278413395</v>
      </c>
      <c r="G47" s="1" t="s">
        <v>1191</v>
      </c>
      <c r="H47" s="2" t="s">
        <v>1216</v>
      </c>
    </row>
    <row r="48" spans="1:8" s="9" customFormat="1" outlineLevel="1" x14ac:dyDescent="0.2">
      <c r="A48" s="1" t="s">
        <v>1073</v>
      </c>
      <c r="B48" s="2">
        <v>1</v>
      </c>
      <c r="C48" s="2" t="s">
        <v>1196</v>
      </c>
      <c r="D48" s="2">
        <v>20</v>
      </c>
      <c r="E48" s="2" t="s">
        <v>1197</v>
      </c>
      <c r="F48" s="1">
        <f>s_pT(B48,D48)</f>
        <v>0.29648292080641009</v>
      </c>
      <c r="G48" s="1" t="s">
        <v>1191</v>
      </c>
      <c r="H48" s="2" t="s">
        <v>1146</v>
      </c>
    </row>
    <row r="49" spans="1:8" s="9" customFormat="1" outlineLevel="1" x14ac:dyDescent="0.2">
      <c r="A49" s="1" t="s">
        <v>1074</v>
      </c>
      <c r="B49" s="2">
        <v>1</v>
      </c>
      <c r="C49" s="2" t="s">
        <v>1196</v>
      </c>
      <c r="D49" s="2">
        <f>F22</f>
        <v>84.01181116713623</v>
      </c>
      <c r="E49" s="2" t="s">
        <v>1189</v>
      </c>
      <c r="F49" s="1">
        <f>s_ph(B49,D49)</f>
        <v>0.29681384467642941</v>
      </c>
      <c r="G49" s="1" t="s">
        <v>1191</v>
      </c>
      <c r="H49" s="2" t="s">
        <v>1252</v>
      </c>
    </row>
    <row r="50" spans="1:8" s="13" customFormat="1" ht="15" x14ac:dyDescent="0.2">
      <c r="A50" s="25" t="s">
        <v>1200</v>
      </c>
      <c r="F50" s="12"/>
      <c r="G50" s="12"/>
    </row>
    <row r="51" spans="1:8" s="9" customFormat="1" outlineLevel="1" x14ac:dyDescent="0.2">
      <c r="A51" s="1" t="s">
        <v>1075</v>
      </c>
      <c r="B51" s="2">
        <v>1</v>
      </c>
      <c r="C51" s="2" t="s">
        <v>1196</v>
      </c>
      <c r="D51" s="2"/>
      <c r="E51" s="2"/>
      <c r="F51" s="1">
        <f>uV_p(B51)</f>
        <v>2505.5473885418778</v>
      </c>
      <c r="G51" s="1" t="s">
        <v>1189</v>
      </c>
      <c r="H51" s="2" t="s">
        <v>1212</v>
      </c>
    </row>
    <row r="52" spans="1:8" s="9" customFormat="1" outlineLevel="1" x14ac:dyDescent="0.2">
      <c r="A52" s="1" t="s">
        <v>1076</v>
      </c>
      <c r="B52" s="2">
        <v>1</v>
      </c>
      <c r="C52" s="2" t="s">
        <v>1196</v>
      </c>
      <c r="D52" s="2"/>
      <c r="E52" s="2"/>
      <c r="F52" s="1">
        <f>uL_p(B52)</f>
        <v>417.33217103231618</v>
      </c>
      <c r="G52" s="1" t="s">
        <v>1189</v>
      </c>
      <c r="H52" s="2" t="s">
        <v>1217</v>
      </c>
    </row>
    <row r="53" spans="1:8" s="9" customFormat="1" outlineLevel="1" x14ac:dyDescent="0.2">
      <c r="A53" s="1" t="s">
        <v>1077</v>
      </c>
      <c r="B53" s="2">
        <v>100</v>
      </c>
      <c r="C53" s="2" t="s">
        <v>1197</v>
      </c>
      <c r="D53" s="2"/>
      <c r="E53" s="2"/>
      <c r="F53" s="1">
        <f>uV_T(B53)</f>
        <v>2506.0153076915708</v>
      </c>
      <c r="G53" s="1" t="s">
        <v>1189</v>
      </c>
      <c r="H53" s="2" t="s">
        <v>1212</v>
      </c>
    </row>
    <row r="54" spans="1:8" s="9" customFormat="1" outlineLevel="1" x14ac:dyDescent="0.2">
      <c r="A54" s="1" t="s">
        <v>1078</v>
      </c>
      <c r="B54" s="2">
        <v>100</v>
      </c>
      <c r="C54" s="2" t="s">
        <v>1197</v>
      </c>
      <c r="D54" s="2"/>
      <c r="E54" s="2"/>
      <c r="F54" s="1">
        <f>uL_T(B54)</f>
        <v>418.99332985524268</v>
      </c>
      <c r="G54" s="1" t="s">
        <v>1189</v>
      </c>
      <c r="H54" s="2" t="s">
        <v>1217</v>
      </c>
    </row>
    <row r="55" spans="1:8" s="9" customFormat="1" outlineLevel="1" x14ac:dyDescent="0.2">
      <c r="A55" s="1" t="s">
        <v>1079</v>
      </c>
      <c r="B55" s="2">
        <v>1</v>
      </c>
      <c r="C55" s="2" t="s">
        <v>1196</v>
      </c>
      <c r="D55" s="2">
        <v>100</v>
      </c>
      <c r="E55" s="2" t="s">
        <v>1197</v>
      </c>
      <c r="F55" s="1">
        <f>u_pT(B55,D55)</f>
        <v>2506.1714264660072</v>
      </c>
      <c r="G55" s="1" t="s">
        <v>1189</v>
      </c>
      <c r="H55" s="2" t="s">
        <v>1253</v>
      </c>
    </row>
    <row r="56" spans="1:8" s="9" customFormat="1" outlineLevel="1" x14ac:dyDescent="0.2">
      <c r="A56" s="1" t="s">
        <v>1080</v>
      </c>
      <c r="B56" s="2">
        <v>1</v>
      </c>
      <c r="C56" s="2" t="s">
        <v>1196</v>
      </c>
      <c r="D56" s="2">
        <v>1000</v>
      </c>
      <c r="E56" s="2" t="s">
        <v>1189</v>
      </c>
      <c r="F56" s="1">
        <f>u_ph(B56,D56)</f>
        <v>956.20743418701375</v>
      </c>
      <c r="G56" s="1" t="s">
        <v>1189</v>
      </c>
      <c r="H56" s="2" t="s">
        <v>1254</v>
      </c>
    </row>
    <row r="57" spans="1:8" s="9" customFormat="1" outlineLevel="1" x14ac:dyDescent="0.2">
      <c r="A57" s="1" t="s">
        <v>1081</v>
      </c>
      <c r="B57" s="2">
        <v>1</v>
      </c>
      <c r="C57" s="2" t="s">
        <v>1196</v>
      </c>
      <c r="D57" s="2">
        <v>1</v>
      </c>
      <c r="E57" s="2" t="s">
        <v>1191</v>
      </c>
      <c r="F57" s="1">
        <f>u_ps(B57,D57)</f>
        <v>308.50821854568443</v>
      </c>
      <c r="G57" s="1" t="s">
        <v>1189</v>
      </c>
      <c r="H57" s="2" t="s">
        <v>1255</v>
      </c>
    </row>
    <row r="58" spans="1:8" s="13" customFormat="1" ht="15" x14ac:dyDescent="0.2">
      <c r="A58" s="25" t="s">
        <v>1201</v>
      </c>
      <c r="F58" s="12"/>
      <c r="G58" s="12"/>
    </row>
    <row r="59" spans="1:8" s="9" customFormat="1" outlineLevel="1" x14ac:dyDescent="0.2">
      <c r="A59" s="1" t="s">
        <v>1082</v>
      </c>
      <c r="B59" s="2">
        <v>1</v>
      </c>
      <c r="C59" s="2" t="s">
        <v>1196</v>
      </c>
      <c r="D59" s="2"/>
      <c r="E59" s="2"/>
      <c r="F59" s="1">
        <f>CpV_p(B59)</f>
        <v>2.0759380252044393</v>
      </c>
      <c r="G59" s="1" t="s">
        <v>1242</v>
      </c>
      <c r="H59" s="2" t="s">
        <v>1219</v>
      </c>
    </row>
    <row r="60" spans="1:8" s="9" customFormat="1" outlineLevel="1" x14ac:dyDescent="0.2">
      <c r="A60" s="1" t="s">
        <v>1083</v>
      </c>
      <c r="B60" s="2">
        <v>1</v>
      </c>
      <c r="C60" s="2" t="s">
        <v>1196</v>
      </c>
      <c r="D60" s="2"/>
      <c r="E60" s="2"/>
      <c r="F60" s="1">
        <f>CpL_p(B60)</f>
        <v>4.2161494308387475</v>
      </c>
      <c r="G60" s="1" t="s">
        <v>1242</v>
      </c>
      <c r="H60" s="2" t="s">
        <v>1218</v>
      </c>
    </row>
    <row r="61" spans="1:8" s="9" customFormat="1" outlineLevel="1" x14ac:dyDescent="0.2">
      <c r="A61" s="1" t="s">
        <v>1084</v>
      </c>
      <c r="B61" s="2">
        <v>100</v>
      </c>
      <c r="C61" s="2" t="s">
        <v>1197</v>
      </c>
      <c r="D61" s="2"/>
      <c r="E61" s="2"/>
      <c r="F61" s="1">
        <f>CpV_T(B61)</f>
        <v>2.0774918684822654</v>
      </c>
      <c r="G61" s="1" t="s">
        <v>1242</v>
      </c>
      <c r="H61" s="2" t="s">
        <v>1219</v>
      </c>
    </row>
    <row r="62" spans="1:8" s="9" customFormat="1" outlineLevel="1" x14ac:dyDescent="0.2">
      <c r="A62" s="1" t="s">
        <v>1085</v>
      </c>
      <c r="B62" s="2">
        <v>100</v>
      </c>
      <c r="C62" s="2" t="s">
        <v>1197</v>
      </c>
      <c r="D62" s="2"/>
      <c r="E62" s="2"/>
      <c r="F62" s="1">
        <f>CpL_T(B62)</f>
        <v>4.2166451189235845</v>
      </c>
      <c r="G62" s="1" t="s">
        <v>1242</v>
      </c>
      <c r="H62" s="2" t="s">
        <v>1218</v>
      </c>
    </row>
    <row r="63" spans="1:8" s="9" customFormat="1" outlineLevel="1" x14ac:dyDescent="0.2">
      <c r="A63" s="1" t="s">
        <v>1086</v>
      </c>
      <c r="B63" s="2">
        <v>1</v>
      </c>
      <c r="C63" s="2" t="s">
        <v>1196</v>
      </c>
      <c r="D63" s="2">
        <v>100</v>
      </c>
      <c r="E63" s="2" t="s">
        <v>1197</v>
      </c>
      <c r="F63" s="1">
        <f>Cp_pT(B63,D63)</f>
        <v>2.0741085545801092</v>
      </c>
      <c r="G63" s="1" t="s">
        <v>1242</v>
      </c>
      <c r="H63" s="2" t="s">
        <v>1256</v>
      </c>
    </row>
    <row r="64" spans="1:8" s="9" customFormat="1" outlineLevel="1" x14ac:dyDescent="0.2">
      <c r="A64" s="1" t="s">
        <v>1087</v>
      </c>
      <c r="B64" s="2">
        <v>1</v>
      </c>
      <c r="C64" s="2" t="s">
        <v>1196</v>
      </c>
      <c r="D64" s="2">
        <v>200</v>
      </c>
      <c r="E64" s="2" t="s">
        <v>1189</v>
      </c>
      <c r="F64" s="1">
        <f>Cp_ph(B64,D64)</f>
        <v>4.1791357316880209</v>
      </c>
      <c r="G64" s="1" t="s">
        <v>1242</v>
      </c>
      <c r="H64" s="2" t="s">
        <v>1257</v>
      </c>
    </row>
    <row r="65" spans="1:8" s="9" customFormat="1" outlineLevel="1" x14ac:dyDescent="0.2">
      <c r="A65" s="1" t="s">
        <v>1088</v>
      </c>
      <c r="B65" s="2">
        <v>1</v>
      </c>
      <c r="C65" s="2" t="s">
        <v>1196</v>
      </c>
      <c r="D65" s="2">
        <v>1</v>
      </c>
      <c r="E65" s="2" t="s">
        <v>1191</v>
      </c>
      <c r="F65" s="1">
        <f>Cp_ps(B65,D65)</f>
        <v>4.1906070379012936</v>
      </c>
      <c r="G65" s="1" t="s">
        <v>1242</v>
      </c>
      <c r="H65" s="2" t="s">
        <v>1258</v>
      </c>
    </row>
    <row r="66" spans="1:8" s="13" customFormat="1" ht="15" x14ac:dyDescent="0.2">
      <c r="A66" s="25" t="s">
        <v>1203</v>
      </c>
      <c r="F66" s="12"/>
      <c r="G66" s="12"/>
    </row>
    <row r="67" spans="1:8" s="9" customFormat="1" outlineLevel="1" x14ac:dyDescent="0.2">
      <c r="A67" s="1" t="s">
        <v>1089</v>
      </c>
      <c r="B67" s="2">
        <v>1</v>
      </c>
      <c r="C67" s="2" t="s">
        <v>1196</v>
      </c>
      <c r="D67" s="2"/>
      <c r="E67" s="2"/>
      <c r="F67" s="1">
        <f>CvV_p(B67)</f>
        <v>1.5526969793308025</v>
      </c>
      <c r="G67" s="1" t="s">
        <v>1242</v>
      </c>
      <c r="H67" s="2" t="s">
        <v>1221</v>
      </c>
    </row>
    <row r="68" spans="1:8" s="9" customFormat="1" outlineLevel="1" x14ac:dyDescent="0.2">
      <c r="A68" s="1" t="s">
        <v>1090</v>
      </c>
      <c r="B68" s="2">
        <v>1</v>
      </c>
      <c r="C68" s="2" t="s">
        <v>1196</v>
      </c>
      <c r="D68" s="2"/>
      <c r="E68" s="2"/>
      <c r="F68" s="1">
        <f>CvL_p(B68)</f>
        <v>3.7696996827334974</v>
      </c>
      <c r="G68" s="1" t="s">
        <v>1242</v>
      </c>
      <c r="H68" s="2" t="s">
        <v>1220</v>
      </c>
    </row>
    <row r="69" spans="1:8" s="9" customFormat="1" outlineLevel="1" x14ac:dyDescent="0.2">
      <c r="A69" s="1" t="s">
        <v>1091</v>
      </c>
      <c r="B69" s="2">
        <v>100</v>
      </c>
      <c r="C69" s="2" t="s">
        <v>1197</v>
      </c>
      <c r="D69" s="2"/>
      <c r="E69" s="2"/>
      <c r="F69" s="1">
        <f>CvV_T(B69)</f>
        <v>1.5536986960345103</v>
      </c>
      <c r="G69" s="1" t="s">
        <v>1242</v>
      </c>
      <c r="H69" s="2" t="s">
        <v>1221</v>
      </c>
    </row>
    <row r="70" spans="1:8" s="9" customFormat="1" outlineLevel="1" x14ac:dyDescent="0.2">
      <c r="A70" s="1" t="s">
        <v>1092</v>
      </c>
      <c r="B70" s="2">
        <v>100</v>
      </c>
      <c r="C70" s="2" t="s">
        <v>1197</v>
      </c>
      <c r="D70" s="2"/>
      <c r="E70" s="2"/>
      <c r="F70" s="1">
        <f>CvL_T(B70)</f>
        <v>3.7677002201427507</v>
      </c>
      <c r="G70" s="1" t="s">
        <v>1242</v>
      </c>
      <c r="H70" s="2" t="s">
        <v>1220</v>
      </c>
    </row>
    <row r="71" spans="1:8" s="9" customFormat="1" outlineLevel="1" x14ac:dyDescent="0.2">
      <c r="A71" s="1" t="s">
        <v>1093</v>
      </c>
      <c r="B71" s="2">
        <v>1</v>
      </c>
      <c r="C71" s="2" t="s">
        <v>1196</v>
      </c>
      <c r="D71" s="2">
        <v>100</v>
      </c>
      <c r="E71" s="2" t="s">
        <v>1197</v>
      </c>
      <c r="F71" s="1">
        <f>Cv_pT(B71,D71)</f>
        <v>1.5513972494644879</v>
      </c>
      <c r="G71" s="1" t="s">
        <v>1242</v>
      </c>
      <c r="H71" s="2" t="s">
        <v>1259</v>
      </c>
    </row>
    <row r="72" spans="1:8" s="9" customFormat="1" outlineLevel="1" x14ac:dyDescent="0.2">
      <c r="A72" s="1" t="s">
        <v>1094</v>
      </c>
      <c r="B72" s="2">
        <v>1</v>
      </c>
      <c r="C72" s="2" t="s">
        <v>1196</v>
      </c>
      <c r="D72" s="2">
        <v>200</v>
      </c>
      <c r="E72" s="2" t="s">
        <v>1189</v>
      </c>
      <c r="F72" s="1">
        <f>Cv_ph(B72,D72)</f>
        <v>4.0351763635796729</v>
      </c>
      <c r="G72" s="1" t="s">
        <v>1242</v>
      </c>
      <c r="H72" s="2" t="s">
        <v>1260</v>
      </c>
    </row>
    <row r="73" spans="1:8" s="9" customFormat="1" outlineLevel="1" x14ac:dyDescent="0.2">
      <c r="A73" s="1" t="s">
        <v>1095</v>
      </c>
      <c r="B73" s="2">
        <v>1</v>
      </c>
      <c r="C73" s="2" t="s">
        <v>1196</v>
      </c>
      <c r="D73" s="2">
        <v>1</v>
      </c>
      <c r="E73" s="2" t="s">
        <v>1191</v>
      </c>
      <c r="F73" s="1">
        <f>Cv_ps(B73,D73)</f>
        <v>3.9029194681136645</v>
      </c>
      <c r="G73" s="1" t="s">
        <v>1242</v>
      </c>
      <c r="H73" s="2" t="s">
        <v>1261</v>
      </c>
    </row>
    <row r="74" spans="1:8" s="13" customFormat="1" ht="15" x14ac:dyDescent="0.2">
      <c r="A74" s="25" t="s">
        <v>1202</v>
      </c>
      <c r="F74" s="12"/>
      <c r="G74" s="12"/>
    </row>
    <row r="75" spans="1:8" s="9" customFormat="1" outlineLevel="1" x14ac:dyDescent="0.2">
      <c r="A75" s="1" t="s">
        <v>1096</v>
      </c>
      <c r="B75" s="2">
        <v>1</v>
      </c>
      <c r="C75" s="2" t="s">
        <v>1196</v>
      </c>
      <c r="D75" s="2"/>
      <c r="E75" s="2"/>
      <c r="F75" s="1">
        <f>wV_p(B75)</f>
        <v>472.05415710604763</v>
      </c>
      <c r="G75" s="1" t="s">
        <v>1192</v>
      </c>
      <c r="H75" s="2" t="s">
        <v>1223</v>
      </c>
    </row>
    <row r="76" spans="1:8" s="9" customFormat="1" outlineLevel="1" x14ac:dyDescent="0.2">
      <c r="A76" s="1" t="s">
        <v>1097</v>
      </c>
      <c r="B76" s="2">
        <v>1</v>
      </c>
      <c r="C76" s="2" t="s">
        <v>1196</v>
      </c>
      <c r="D76" s="2"/>
      <c r="E76" s="2"/>
      <c r="F76" s="1">
        <f>wL_p(B76)</f>
        <v>1545.4519475339648</v>
      </c>
      <c r="G76" s="1" t="s">
        <v>1192</v>
      </c>
      <c r="H76" s="2" t="s">
        <v>1222</v>
      </c>
    </row>
    <row r="77" spans="1:8" s="9" customFormat="1" outlineLevel="1" x14ac:dyDescent="0.2">
      <c r="A77" s="1" t="s">
        <v>1098</v>
      </c>
      <c r="B77" s="2">
        <v>100</v>
      </c>
      <c r="C77" s="2" t="s">
        <v>1197</v>
      </c>
      <c r="D77" s="2"/>
      <c r="E77" s="2"/>
      <c r="F77" s="1">
        <f>wV_T(B77)</f>
        <v>472.2559492389438</v>
      </c>
      <c r="G77" s="1" t="s">
        <v>1192</v>
      </c>
      <c r="H77" s="2" t="s">
        <v>1223</v>
      </c>
    </row>
    <row r="78" spans="1:8" s="9" customFormat="1" outlineLevel="1" x14ac:dyDescent="0.2">
      <c r="A78" s="1" t="s">
        <v>1099</v>
      </c>
      <c r="B78" s="2">
        <v>100</v>
      </c>
      <c r="C78" s="2" t="s">
        <v>1197</v>
      </c>
      <c r="D78" s="2"/>
      <c r="E78" s="2"/>
      <c r="F78" s="1">
        <f>wL_T(B78)</f>
        <v>1545.0922491938707</v>
      </c>
      <c r="G78" s="1" t="s">
        <v>1192</v>
      </c>
      <c r="H78" s="2" t="s">
        <v>1222</v>
      </c>
    </row>
    <row r="79" spans="1:8" s="9" customFormat="1" outlineLevel="1" x14ac:dyDescent="0.2">
      <c r="A79" s="1" t="s">
        <v>1100</v>
      </c>
      <c r="B79" s="2">
        <v>1</v>
      </c>
      <c r="C79" s="2" t="s">
        <v>1196</v>
      </c>
      <c r="D79" s="2">
        <v>100</v>
      </c>
      <c r="E79" s="2" t="s">
        <v>1197</v>
      </c>
      <c r="F79" s="1">
        <f>w_pT(B79,D79)</f>
        <v>472.33752352485521</v>
      </c>
      <c r="G79" s="1" t="s">
        <v>1192</v>
      </c>
      <c r="H79" s="2" t="s">
        <v>1262</v>
      </c>
    </row>
    <row r="80" spans="1:8" s="9" customFormat="1" outlineLevel="1" x14ac:dyDescent="0.2">
      <c r="A80" s="1" t="s">
        <v>1101</v>
      </c>
      <c r="B80" s="2">
        <v>1</v>
      </c>
      <c r="C80" s="2" t="s">
        <v>1196</v>
      </c>
      <c r="D80" s="2">
        <v>200</v>
      </c>
      <c r="E80" s="2" t="s">
        <v>1189</v>
      </c>
      <c r="F80" s="1">
        <f>w_ph(B80,D80)</f>
        <v>1542.6824750114695</v>
      </c>
      <c r="G80" s="1" t="s">
        <v>1192</v>
      </c>
      <c r="H80" s="2" t="s">
        <v>1263</v>
      </c>
    </row>
    <row r="81" spans="1:13" s="9" customFormat="1" outlineLevel="1" x14ac:dyDescent="0.2">
      <c r="A81" s="1" t="s">
        <v>1102</v>
      </c>
      <c r="B81" s="2">
        <v>1</v>
      </c>
      <c r="C81" s="2" t="s">
        <v>1196</v>
      </c>
      <c r="D81" s="2">
        <v>1</v>
      </c>
      <c r="E81" s="2" t="s">
        <v>1191</v>
      </c>
      <c r="F81" s="1">
        <f>w_ps(B81,D81)</f>
        <v>1557.8585355322159</v>
      </c>
      <c r="G81" s="1" t="s">
        <v>1192</v>
      </c>
      <c r="H81" s="2" t="s">
        <v>1132</v>
      </c>
    </row>
    <row r="82" spans="1:13" s="13" customFormat="1" ht="15" x14ac:dyDescent="0.2">
      <c r="A82" s="25" t="s">
        <v>1025</v>
      </c>
      <c r="F82" s="12"/>
      <c r="G82" s="12"/>
    </row>
    <row r="83" spans="1:13" s="9" customFormat="1" ht="11.25" outlineLevel="1" x14ac:dyDescent="0.2">
      <c r="A83" s="9" t="s">
        <v>1145</v>
      </c>
      <c r="F83" s="11"/>
      <c r="G83" s="11"/>
    </row>
    <row r="84" spans="1:13" s="9" customFormat="1" ht="11.25" outlineLevel="1" x14ac:dyDescent="0.2">
      <c r="A84" s="9" t="s">
        <v>1228</v>
      </c>
      <c r="F84" s="11"/>
      <c r="G84" s="11"/>
    </row>
    <row r="85" spans="1:13" s="9" customFormat="1" outlineLevel="1" x14ac:dyDescent="0.2">
      <c r="A85" s="1" t="s">
        <v>1103</v>
      </c>
      <c r="B85" s="2">
        <v>1</v>
      </c>
      <c r="C85" s="2" t="s">
        <v>1196</v>
      </c>
      <c r="D85" s="2">
        <v>100</v>
      </c>
      <c r="E85" s="2" t="s">
        <v>1197</v>
      </c>
      <c r="F85" s="1">
        <f>my_pT(B85,D85)</f>
        <v>1.2270405707196506E-5</v>
      </c>
      <c r="G85" s="1" t="s">
        <v>1225</v>
      </c>
      <c r="H85" s="2" t="s">
        <v>1133</v>
      </c>
    </row>
    <row r="86" spans="1:13" s="9" customFormat="1" outlineLevel="1" x14ac:dyDescent="0.2">
      <c r="A86" s="1" t="s">
        <v>1104</v>
      </c>
      <c r="B86" s="2">
        <v>1</v>
      </c>
      <c r="C86" s="2" t="s">
        <v>1196</v>
      </c>
      <c r="D86" s="2">
        <v>100</v>
      </c>
      <c r="E86" s="2" t="s">
        <v>1189</v>
      </c>
      <c r="F86" s="10">
        <f>my_ph(B86,D86)</f>
        <v>9.1400377030210805E-4</v>
      </c>
      <c r="G86" s="1" t="s">
        <v>1225</v>
      </c>
      <c r="H86" s="2" t="s">
        <v>1134</v>
      </c>
    </row>
    <row r="87" spans="1:13" s="9" customFormat="1" outlineLevel="1" x14ac:dyDescent="0.2">
      <c r="A87" s="1" t="s">
        <v>1105</v>
      </c>
      <c r="B87" s="2">
        <v>1</v>
      </c>
      <c r="C87" s="2" t="s">
        <v>1196</v>
      </c>
      <c r="D87" s="2">
        <v>1</v>
      </c>
      <c r="E87" s="2" t="s">
        <v>1191</v>
      </c>
      <c r="F87" s="10">
        <f>my_ps(B87,D87)</f>
        <v>3.8422186564756434E-4</v>
      </c>
      <c r="G87" s="1" t="s">
        <v>1225</v>
      </c>
      <c r="H87" s="2" t="s">
        <v>1135</v>
      </c>
    </row>
    <row r="88" spans="1:13" ht="18" x14ac:dyDescent="0.25">
      <c r="A88" s="6" t="s">
        <v>1020</v>
      </c>
      <c r="F88" s="10"/>
      <c r="H88" s="40"/>
      <c r="I88" s="7"/>
      <c r="J88" s="7"/>
      <c r="K88" s="7"/>
      <c r="L88" s="7"/>
      <c r="M88" s="7"/>
    </row>
    <row r="89" spans="1:13" outlineLevel="1" x14ac:dyDescent="0.2">
      <c r="A89" s="9" t="s">
        <v>1026</v>
      </c>
      <c r="F89" s="10"/>
      <c r="H89" s="40"/>
      <c r="I89" s="7"/>
      <c r="J89" s="7"/>
      <c r="K89" s="7"/>
      <c r="L89" s="7"/>
      <c r="M89" s="7"/>
    </row>
    <row r="90" spans="1:13" outlineLevel="1" x14ac:dyDescent="0.2">
      <c r="A90" s="1" t="s">
        <v>1106</v>
      </c>
      <c r="B90">
        <v>1</v>
      </c>
      <c r="C90" t="s">
        <v>1196</v>
      </c>
      <c r="D90">
        <v>200</v>
      </c>
      <c r="E90" t="s">
        <v>1197</v>
      </c>
      <c r="F90" s="10">
        <f>pr_pT(B90,D90)</f>
        <v>0.95780821438588049</v>
      </c>
      <c r="G90" s="1" t="s">
        <v>1029</v>
      </c>
      <c r="H90" s="40"/>
      <c r="I90" s="7"/>
      <c r="J90" s="7"/>
      <c r="K90" s="7"/>
      <c r="L90" s="7"/>
      <c r="M90" s="7"/>
    </row>
    <row r="91" spans="1:13" outlineLevel="1" x14ac:dyDescent="0.2">
      <c r="A91" s="1" t="s">
        <v>1107</v>
      </c>
      <c r="B91">
        <v>1</v>
      </c>
      <c r="C91" t="s">
        <v>1196</v>
      </c>
      <c r="D91">
        <v>2875.4750649489024</v>
      </c>
      <c r="E91" t="s">
        <v>1189</v>
      </c>
      <c r="F91" s="10">
        <f>pr_ph(B91,D91)</f>
        <v>0.95780826148355769</v>
      </c>
      <c r="G91" s="1" t="s">
        <v>1029</v>
      </c>
      <c r="H91" s="40"/>
      <c r="I91" s="7"/>
      <c r="J91" s="7"/>
      <c r="K91" s="7"/>
      <c r="L91" s="7"/>
      <c r="M91" s="7"/>
    </row>
    <row r="92" spans="1:13" s="13" customFormat="1" ht="15" x14ac:dyDescent="0.2">
      <c r="A92" s="25" t="s">
        <v>1147</v>
      </c>
      <c r="F92" s="12"/>
      <c r="G92" s="12"/>
      <c r="H92" s="41"/>
      <c r="I92" s="41"/>
      <c r="J92" s="41"/>
      <c r="K92" s="41"/>
      <c r="L92" s="41"/>
      <c r="M92" s="41"/>
    </row>
    <row r="93" spans="1:13" s="9" customFormat="1" ht="11.25" outlineLevel="1" x14ac:dyDescent="0.2">
      <c r="A93" s="9" t="s">
        <v>1148</v>
      </c>
      <c r="F93" s="11"/>
      <c r="G93" s="11"/>
    </row>
    <row r="94" spans="1:13" s="9" customFormat="1" outlineLevel="1" x14ac:dyDescent="0.2">
      <c r="A94" s="1" t="s">
        <v>1108</v>
      </c>
      <c r="B94" s="2">
        <v>100</v>
      </c>
      <c r="C94" s="2" t="s">
        <v>1196</v>
      </c>
      <c r="D94" s="2"/>
      <c r="E94" s="2"/>
      <c r="F94" s="1">
        <f>tcL_p(B94)</f>
        <v>0.52454019458257217</v>
      </c>
      <c r="G94" s="1" t="s">
        <v>1149</v>
      </c>
      <c r="H94" s="2" t="s">
        <v>1150</v>
      </c>
    </row>
    <row r="95" spans="1:13" s="9" customFormat="1" outlineLevel="1" x14ac:dyDescent="0.2">
      <c r="A95" s="1" t="s">
        <v>1109</v>
      </c>
      <c r="B95" s="2">
        <v>1</v>
      </c>
      <c r="C95" s="2" t="s">
        <v>1196</v>
      </c>
      <c r="D95" s="2"/>
      <c r="E95" s="2"/>
      <c r="F95" s="1">
        <f>tcV_p(B95)</f>
        <v>2.4753667592350453E-2</v>
      </c>
      <c r="G95" s="1" t="s">
        <v>1149</v>
      </c>
      <c r="H95" s="2" t="s">
        <v>1151</v>
      </c>
    </row>
    <row r="96" spans="1:13" s="9" customFormat="1" outlineLevel="1" x14ac:dyDescent="0.2">
      <c r="A96" s="1" t="s">
        <v>1110</v>
      </c>
      <c r="B96" s="2">
        <v>100</v>
      </c>
      <c r="C96" s="2" t="s">
        <v>1197</v>
      </c>
      <c r="D96" s="2"/>
      <c r="E96" s="2"/>
      <c r="F96" s="1">
        <f>tcL_T(B96)</f>
        <v>0.67775751158715036</v>
      </c>
      <c r="G96" s="1" t="s">
        <v>1149</v>
      </c>
      <c r="H96" s="2" t="s">
        <v>1150</v>
      </c>
    </row>
    <row r="97" spans="1:8" s="9" customFormat="1" outlineLevel="1" x14ac:dyDescent="0.2">
      <c r="A97" s="1" t="s">
        <v>1111</v>
      </c>
      <c r="B97" s="2">
        <v>100</v>
      </c>
      <c r="C97" s="2" t="s">
        <v>1197</v>
      </c>
      <c r="D97" s="2"/>
      <c r="E97" s="2"/>
      <c r="F97" s="1">
        <f>tcV_T(B97)</f>
        <v>2.4793871441017475E-2</v>
      </c>
      <c r="G97" s="1" t="s">
        <v>1149</v>
      </c>
      <c r="H97" s="2" t="s">
        <v>1151</v>
      </c>
    </row>
    <row r="98" spans="1:8" s="9" customFormat="1" outlineLevel="1" x14ac:dyDescent="0.2">
      <c r="A98" s="1" t="s">
        <v>1112</v>
      </c>
      <c r="B98" s="2">
        <v>100</v>
      </c>
      <c r="C98" s="2" t="s">
        <v>1196</v>
      </c>
      <c r="D98" s="2">
        <v>350</v>
      </c>
      <c r="E98" s="2" t="s">
        <v>1197</v>
      </c>
      <c r="F98" s="1">
        <f>tc_pt(B98,D98)</f>
        <v>6.8545303752530942E-2</v>
      </c>
      <c r="G98" s="1" t="s">
        <v>1149</v>
      </c>
      <c r="H98" s="2" t="s">
        <v>1152</v>
      </c>
    </row>
    <row r="99" spans="1:8" s="9" customFormat="1" outlineLevel="1" x14ac:dyDescent="0.2">
      <c r="A99" s="1" t="s">
        <v>1113</v>
      </c>
      <c r="B99" s="2">
        <v>1</v>
      </c>
      <c r="C99" s="2" t="s">
        <v>1196</v>
      </c>
      <c r="D99" s="2">
        <v>350</v>
      </c>
      <c r="E99" s="2" t="s">
        <v>1191</v>
      </c>
      <c r="F99" s="1">
        <f>tc_ph(B99,D99)</f>
        <v>0.66929633215745066</v>
      </c>
      <c r="G99" s="1" t="s">
        <v>1149</v>
      </c>
      <c r="H99" s="2" t="s">
        <v>1153</v>
      </c>
    </row>
    <row r="100" spans="1:8" s="9" customFormat="1" outlineLevel="1" x14ac:dyDescent="0.2">
      <c r="A100" s="1" t="s">
        <v>1114</v>
      </c>
      <c r="B100" s="2">
        <v>100</v>
      </c>
      <c r="C100" s="2" t="s">
        <v>1191</v>
      </c>
      <c r="D100" s="2">
        <v>0.34</v>
      </c>
      <c r="E100" s="2" t="s">
        <v>1191</v>
      </c>
      <c r="F100" s="1">
        <f>tc_hs(B100,D100)</f>
        <v>0.60628312384891225</v>
      </c>
      <c r="G100" s="1" t="s">
        <v>1149</v>
      </c>
      <c r="H100" s="2" t="s">
        <v>1154</v>
      </c>
    </row>
    <row r="101" spans="1:8" s="9" customFormat="1" ht="15" x14ac:dyDescent="0.2">
      <c r="A101" s="25" t="s">
        <v>1155</v>
      </c>
      <c r="B101" s="2"/>
      <c r="C101" s="2"/>
      <c r="D101" s="2"/>
      <c r="E101" s="2"/>
      <c r="F101" s="1"/>
      <c r="G101" s="1"/>
      <c r="H101" s="2"/>
    </row>
    <row r="102" spans="1:8" s="9" customFormat="1" ht="11.25" outlineLevel="1" x14ac:dyDescent="0.2">
      <c r="A102" s="9" t="s">
        <v>1156</v>
      </c>
      <c r="F102" s="11"/>
      <c r="G102" s="11"/>
    </row>
    <row r="103" spans="1:8" s="9" customFormat="1" outlineLevel="1" x14ac:dyDescent="0.2">
      <c r="A103" s="1" t="s">
        <v>1115</v>
      </c>
      <c r="B103" s="2">
        <v>100</v>
      </c>
      <c r="C103" s="2" t="s">
        <v>1197</v>
      </c>
      <c r="D103" s="2"/>
      <c r="E103" s="2"/>
      <c r="F103" s="1">
        <f>st_T(B104)</f>
        <v>7.5507661585837646E-2</v>
      </c>
      <c r="G103" s="1" t="s">
        <v>1157</v>
      </c>
      <c r="H103" s="2" t="s">
        <v>1159</v>
      </c>
    </row>
    <row r="104" spans="1:8" s="9" customFormat="1" outlineLevel="1" x14ac:dyDescent="0.2">
      <c r="A104" s="1" t="s">
        <v>1116</v>
      </c>
      <c r="B104" s="2">
        <v>1</v>
      </c>
      <c r="C104" s="2" t="s">
        <v>1196</v>
      </c>
      <c r="D104" s="2"/>
      <c r="E104" s="2"/>
      <c r="F104" s="1">
        <f>st_p(B104)</f>
        <v>5.8987784180859933E-2</v>
      </c>
      <c r="G104" s="1" t="s">
        <v>1157</v>
      </c>
      <c r="H104" s="2" t="s">
        <v>1159</v>
      </c>
    </row>
    <row r="105" spans="1:8" s="13" customFormat="1" ht="15" x14ac:dyDescent="0.2">
      <c r="A105" s="25" t="s">
        <v>1224</v>
      </c>
      <c r="F105" s="12"/>
      <c r="G105" s="12"/>
    </row>
    <row r="106" spans="1:8" s="9" customFormat="1" outlineLevel="1" x14ac:dyDescent="0.2">
      <c r="A106" s="1" t="s">
        <v>1117</v>
      </c>
      <c r="B106" s="2">
        <v>1</v>
      </c>
      <c r="C106" s="2" t="s">
        <v>1196</v>
      </c>
      <c r="D106" s="2">
        <v>1000</v>
      </c>
      <c r="E106" s="2" t="s">
        <v>1189</v>
      </c>
      <c r="F106" s="1">
        <f>x_ph(B106,D106)</f>
        <v>0.25805542390279518</v>
      </c>
      <c r="G106" s="1"/>
      <c r="H106" s="2" t="s">
        <v>1136</v>
      </c>
    </row>
    <row r="107" spans="1:8" s="9" customFormat="1" outlineLevel="1" x14ac:dyDescent="0.2">
      <c r="A107" s="1" t="s">
        <v>1118</v>
      </c>
      <c r="B107" s="2">
        <v>1</v>
      </c>
      <c r="C107" s="2" t="s">
        <v>1196</v>
      </c>
      <c r="D107" s="2">
        <v>4</v>
      </c>
      <c r="E107" s="2" t="s">
        <v>1191</v>
      </c>
      <c r="F107" s="1">
        <f>x_ps(B107,D107)</f>
        <v>0.4453979607323203</v>
      </c>
      <c r="G107" s="1"/>
      <c r="H107" s="2" t="s">
        <v>1137</v>
      </c>
    </row>
    <row r="108" spans="1:8" s="13" customFormat="1" ht="15" x14ac:dyDescent="0.2">
      <c r="A108" s="25" t="s">
        <v>1144</v>
      </c>
      <c r="F108" s="12"/>
      <c r="G108" s="12"/>
    </row>
    <row r="109" spans="1:8" s="9" customFormat="1" ht="11.25" outlineLevel="1" x14ac:dyDescent="0.2">
      <c r="A109" s="9" t="s">
        <v>1234</v>
      </c>
      <c r="F109" s="11"/>
      <c r="G109" s="11"/>
    </row>
    <row r="110" spans="1:8" s="9" customFormat="1" ht="11.25" outlineLevel="1" x14ac:dyDescent="0.2">
      <c r="A110" s="9" t="s">
        <v>1227</v>
      </c>
      <c r="F110" s="11"/>
      <c r="G110" s="11"/>
    </row>
    <row r="111" spans="1:8" s="9" customFormat="1" outlineLevel="1" x14ac:dyDescent="0.2">
      <c r="A111" s="1" t="s">
        <v>1119</v>
      </c>
      <c r="B111" s="2">
        <v>1</v>
      </c>
      <c r="C111" s="2" t="s">
        <v>1196</v>
      </c>
      <c r="D111" s="2">
        <v>418</v>
      </c>
      <c r="E111" s="2" t="s">
        <v>1189</v>
      </c>
      <c r="F111" s="8">
        <f>vx_ph(B111,D111)</f>
        <v>0.28849309343706725</v>
      </c>
      <c r="G111" s="1"/>
      <c r="H111" s="2" t="s">
        <v>1138</v>
      </c>
    </row>
    <row r="112" spans="1:8" s="9" customFormat="1" outlineLevel="1" x14ac:dyDescent="0.2">
      <c r="A112" s="1" t="s">
        <v>1120</v>
      </c>
      <c r="B112" s="2">
        <v>1</v>
      </c>
      <c r="C112" s="2" t="s">
        <v>1196</v>
      </c>
      <c r="D112" s="2">
        <v>4</v>
      </c>
      <c r="E112" s="2" t="s">
        <v>1191</v>
      </c>
      <c r="F112" s="8">
        <f>vx_ps(B112,D112)</f>
        <v>0.99923382663888027</v>
      </c>
      <c r="G112" s="1"/>
      <c r="H112" s="2" t="s">
        <v>1139</v>
      </c>
    </row>
    <row r="113" spans="1:7" s="9" customFormat="1" ht="11.25" x14ac:dyDescent="0.2">
      <c r="F113" s="11"/>
      <c r="G113" s="11"/>
    </row>
    <row r="114" spans="1:7" ht="15" x14ac:dyDescent="0.2">
      <c r="A114" s="25" t="s">
        <v>1030</v>
      </c>
    </row>
    <row r="115" spans="1:7" x14ac:dyDescent="0.2">
      <c r="A115" s="11" t="s">
        <v>1131</v>
      </c>
    </row>
    <row r="116" spans="1:7" x14ac:dyDescent="0.2">
      <c r="A116" s="9" t="s">
        <v>1019</v>
      </c>
    </row>
    <row r="117" spans="1:7" x14ac:dyDescent="0.2">
      <c r="A117" s="9" t="s">
        <v>1130</v>
      </c>
    </row>
    <row r="118" spans="1:7" x14ac:dyDescent="0.2">
      <c r="A118" s="11" t="s">
        <v>1127</v>
      </c>
    </row>
    <row r="119" spans="1:7" x14ac:dyDescent="0.2">
      <c r="A119" s="9" t="s">
        <v>1129</v>
      </c>
    </row>
    <row r="120" spans="1:7" x14ac:dyDescent="0.2">
      <c r="A120" s="9" t="s">
        <v>1128</v>
      </c>
    </row>
    <row r="121" spans="1:7" x14ac:dyDescent="0.2">
      <c r="A121" s="9" t="s">
        <v>1126</v>
      </c>
    </row>
    <row r="122" spans="1:7" x14ac:dyDescent="0.2">
      <c r="A122" s="11" t="s">
        <v>1124</v>
      </c>
    </row>
    <row r="123" spans="1:7" x14ac:dyDescent="0.2">
      <c r="A123" s="9" t="s">
        <v>1125</v>
      </c>
    </row>
    <row r="124" spans="1:7" x14ac:dyDescent="0.2">
      <c r="A124" s="11" t="s">
        <v>1037</v>
      </c>
    </row>
    <row r="125" spans="1:7" x14ac:dyDescent="0.2">
      <c r="A125" s="9" t="s">
        <v>1123</v>
      </c>
    </row>
    <row r="126" spans="1:7" x14ac:dyDescent="0.2">
      <c r="A126" s="9" t="s">
        <v>1122</v>
      </c>
    </row>
    <row r="127" spans="1:7" ht="10.9" customHeight="1" x14ac:dyDescent="0.2">
      <c r="A127" s="9" t="s">
        <v>1121</v>
      </c>
    </row>
    <row r="128" spans="1:7" ht="11.45" customHeight="1" x14ac:dyDescent="0.2">
      <c r="A128" s="9" t="s">
        <v>1038</v>
      </c>
    </row>
    <row r="129" spans="1:1" ht="11.45" customHeight="1" x14ac:dyDescent="0.2">
      <c r="A129" s="11" t="s">
        <v>1032</v>
      </c>
    </row>
    <row r="130" spans="1:1" x14ac:dyDescent="0.2">
      <c r="A130" s="9" t="s">
        <v>1035</v>
      </c>
    </row>
    <row r="131" spans="1:1" x14ac:dyDescent="0.2">
      <c r="A131" s="9" t="s">
        <v>1028</v>
      </c>
    </row>
    <row r="132" spans="1:1" x14ac:dyDescent="0.2">
      <c r="A132" s="9" t="s">
        <v>1033</v>
      </c>
    </row>
    <row r="133" spans="1:1" x14ac:dyDescent="0.2">
      <c r="A133" s="9" t="s">
        <v>1034</v>
      </c>
    </row>
    <row r="134" spans="1:1" x14ac:dyDescent="0.2">
      <c r="A134" s="9" t="s">
        <v>1036</v>
      </c>
    </row>
    <row r="135" spans="1:1" x14ac:dyDescent="0.2">
      <c r="A135" s="11" t="s">
        <v>1022</v>
      </c>
    </row>
    <row r="136" spans="1:1" x14ac:dyDescent="0.2">
      <c r="A136" s="9" t="s">
        <v>1028</v>
      </c>
    </row>
    <row r="137" spans="1:1" x14ac:dyDescent="0.2">
      <c r="A137" s="9" t="s">
        <v>1024</v>
      </c>
    </row>
    <row r="138" spans="1:1" x14ac:dyDescent="0.2">
      <c r="A138" s="9" t="s">
        <v>1023</v>
      </c>
    </row>
    <row r="139" spans="1:1" x14ac:dyDescent="0.2">
      <c r="A139" s="9" t="s">
        <v>1031</v>
      </c>
    </row>
    <row r="140" spans="1:1" x14ac:dyDescent="0.2">
      <c r="A140" s="9" t="s">
        <v>1027</v>
      </c>
    </row>
    <row r="141" spans="1:1" x14ac:dyDescent="0.2">
      <c r="A141" s="11" t="s">
        <v>1188</v>
      </c>
    </row>
    <row r="142" spans="1:1" x14ac:dyDescent="0.2">
      <c r="A142" s="9" t="s">
        <v>1184</v>
      </c>
    </row>
    <row r="143" spans="1:1" x14ac:dyDescent="0.2">
      <c r="A143" s="9" t="s">
        <v>1185</v>
      </c>
    </row>
    <row r="144" spans="1:1" x14ac:dyDescent="0.2">
      <c r="A144" s="9" t="s">
        <v>1186</v>
      </c>
    </row>
    <row r="145" spans="1:1" x14ac:dyDescent="0.2">
      <c r="A145" s="11" t="s">
        <v>1187</v>
      </c>
    </row>
    <row r="146" spans="1:1" x14ac:dyDescent="0.2">
      <c r="A146" s="9" t="s">
        <v>1140</v>
      </c>
    </row>
    <row r="147" spans="1:1" x14ac:dyDescent="0.2">
      <c r="A147" s="9" t="s">
        <v>1158</v>
      </c>
    </row>
    <row r="148" spans="1:1" x14ac:dyDescent="0.2">
      <c r="A148" s="9" t="s">
        <v>1141</v>
      </c>
    </row>
    <row r="149" spans="1:1" x14ac:dyDescent="0.2">
      <c r="A149" s="9" t="s">
        <v>1142</v>
      </c>
    </row>
    <row r="150" spans="1:1" x14ac:dyDescent="0.2">
      <c r="A150" s="9" t="s">
        <v>1143</v>
      </c>
    </row>
  </sheetData>
  <phoneticPr fontId="0" type="noConversion"/>
  <hyperlinks>
    <hyperlink ref="E1" r:id="rId1"/>
    <hyperlink ref="F4" r:id="rId2"/>
  </hyperlinks>
  <pageMargins left="0.75" right="0.75" top="1" bottom="1" header="0.5" footer="0.5"/>
  <pageSetup paperSize="9" orientation="portrait" r:id="rId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Z34"/>
  <sheetViews>
    <sheetView topLeftCell="S1" zoomScale="80" zoomScaleNormal="80" workbookViewId="0">
      <selection activeCell="AB5" sqref="AB5"/>
    </sheetView>
  </sheetViews>
  <sheetFormatPr defaultRowHeight="12.75" x14ac:dyDescent="0.2"/>
  <cols>
    <col min="1" max="1" width="9.140625" style="444"/>
    <col min="4" max="4" width="5.85546875" customWidth="1"/>
    <col min="5" max="5" width="5.28515625" customWidth="1"/>
    <col min="6" max="6" width="6.5703125" customWidth="1"/>
    <col min="7" max="7" width="4.5703125" customWidth="1"/>
    <col min="8" max="8" width="2.85546875" customWidth="1"/>
    <col min="9" max="9" width="6.5703125" customWidth="1"/>
    <col min="10" max="10" width="5.28515625" customWidth="1"/>
    <col min="12" max="12" width="6" customWidth="1"/>
    <col min="14" max="14" width="5.85546875" customWidth="1"/>
    <col min="15" max="15" width="4.5703125" customWidth="1"/>
    <col min="16" max="16" width="3.140625" customWidth="1"/>
    <col min="17" max="17" width="6" customWidth="1"/>
    <col min="21" max="21" width="14.42578125" customWidth="1"/>
    <col min="22" max="23" width="10.42578125" customWidth="1"/>
    <col min="24" max="24" width="15.5703125" customWidth="1"/>
    <col min="25" max="25" width="10" customWidth="1"/>
    <col min="27" max="27" width="14.5703125" customWidth="1"/>
    <col min="28" max="28" width="14.140625" customWidth="1"/>
    <col min="29" max="29" width="13.28515625" customWidth="1"/>
    <col min="35" max="37" width="12" customWidth="1"/>
  </cols>
  <sheetData>
    <row r="1" spans="1:52" ht="23.25" x14ac:dyDescent="0.35">
      <c r="A1" s="438" t="s">
        <v>1420</v>
      </c>
      <c r="B1" s="378"/>
      <c r="C1" s="378"/>
      <c r="D1" s="378"/>
      <c r="E1" s="378"/>
      <c r="F1" s="378"/>
      <c r="G1" s="378"/>
      <c r="H1" s="378"/>
      <c r="I1" s="378"/>
      <c r="J1" s="378"/>
      <c r="K1" s="378"/>
      <c r="L1" s="378"/>
      <c r="M1" s="378"/>
      <c r="N1" s="378"/>
      <c r="O1" s="378"/>
      <c r="P1" s="378"/>
      <c r="Q1" s="378"/>
    </row>
    <row r="2" spans="1:52" ht="12.75" customHeight="1" x14ac:dyDescent="0.2">
      <c r="A2" s="437" t="s">
        <v>1001</v>
      </c>
      <c r="B2" s="386" t="s">
        <v>1421</v>
      </c>
      <c r="C2" s="387" t="s">
        <v>1422</v>
      </c>
      <c r="D2" s="382" t="s">
        <v>1423</v>
      </c>
      <c r="E2" s="383"/>
      <c r="F2" s="383"/>
      <c r="G2" s="383"/>
      <c r="H2" s="383"/>
      <c r="I2" s="383"/>
      <c r="J2" s="383"/>
      <c r="K2" s="383"/>
      <c r="L2" s="383"/>
      <c r="M2" s="383"/>
      <c r="N2" s="383"/>
      <c r="O2" s="383"/>
      <c r="P2" s="383"/>
      <c r="Q2" s="383"/>
    </row>
    <row r="3" spans="1:52" x14ac:dyDescent="0.2">
      <c r="A3" s="439"/>
      <c r="B3" s="429"/>
      <c r="C3" s="430"/>
      <c r="D3" s="424">
        <v>15</v>
      </c>
      <c r="E3" s="424">
        <v>20</v>
      </c>
      <c r="F3" s="427">
        <v>25</v>
      </c>
      <c r="G3" s="431">
        <v>32</v>
      </c>
      <c r="H3" s="432"/>
      <c r="I3" s="428">
        <v>40</v>
      </c>
      <c r="J3" s="426">
        <v>50</v>
      </c>
      <c r="K3" s="427">
        <v>65</v>
      </c>
      <c r="L3" s="426">
        <v>80</v>
      </c>
      <c r="M3" s="424">
        <v>100</v>
      </c>
      <c r="N3" s="424">
        <v>125</v>
      </c>
      <c r="O3" s="433">
        <v>150</v>
      </c>
      <c r="P3" s="434"/>
      <c r="Q3" s="425">
        <v>200</v>
      </c>
      <c r="T3" s="2"/>
      <c r="U3" s="2" t="s">
        <v>1446</v>
      </c>
      <c r="V3" s="2" t="s">
        <v>1447</v>
      </c>
      <c r="W3" s="2" t="s">
        <v>1448</v>
      </c>
      <c r="X3" s="2" t="s">
        <v>1449</v>
      </c>
      <c r="Y3" s="2" t="s">
        <v>1450</v>
      </c>
      <c r="Z3" s="2" t="s">
        <v>1451</v>
      </c>
      <c r="AA3" s="2" t="s">
        <v>1510</v>
      </c>
      <c r="AB3" s="2" t="s">
        <v>1511</v>
      </c>
      <c r="AC3" t="s">
        <v>1512</v>
      </c>
      <c r="AD3" t="s">
        <v>1513</v>
      </c>
      <c r="AE3" t="s">
        <v>2368</v>
      </c>
    </row>
    <row r="4" spans="1:52" x14ac:dyDescent="0.2">
      <c r="A4" s="440">
        <v>5.8999999999999997E-2</v>
      </c>
      <c r="B4" s="379" t="s">
        <v>1424</v>
      </c>
      <c r="C4" s="379" t="s">
        <v>1425</v>
      </c>
      <c r="D4" s="380"/>
      <c r="E4" s="380"/>
      <c r="F4" s="380"/>
      <c r="G4" s="388"/>
      <c r="H4" s="389"/>
      <c r="I4" s="381"/>
      <c r="J4" s="381"/>
      <c r="K4" s="381"/>
      <c r="L4" s="381"/>
      <c r="M4" s="381"/>
      <c r="N4" s="381"/>
      <c r="O4" s="388"/>
      <c r="P4" s="389"/>
      <c r="Q4" s="381"/>
      <c r="U4" t="str">
        <f>SELECTION!$T$10</f>
        <v>Gas</v>
      </c>
      <c r="V4">
        <f>ValveSIZING!$F$162</f>
        <v>4.6934804114279931</v>
      </c>
      <c r="W4">
        <f>ValveSIZING!$E$28</f>
        <v>1.4795743132758863</v>
      </c>
      <c r="X4">
        <f>SELECTION!$J$29</f>
        <v>20</v>
      </c>
      <c r="Y4" s="2">
        <f>IF(U4 ="Liquid",IF(ValveSIZING!F56="NO CAVITATION",SPL!E6,SPL!E12),SPL!E18)</f>
        <v>58.05598678390745</v>
      </c>
      <c r="Z4" t="str">
        <f>IF(U4="Liquid",IF(ValveSIZING!F56="NO CAVITATION","4,0","3,0"),IF(OR(U4="Steam Saturated",U4="Steam Superheated"),"0,32","0,35"))</f>
        <v>0,35</v>
      </c>
      <c r="AA4" t="str">
        <f>IF(Y4&gt;SELECTION!R23,"  NO","  OK")</f>
        <v xml:space="preserve">  OK</v>
      </c>
      <c r="AB4" t="str">
        <f>IF(W4&gt;Z4,"NO"," OK")</f>
        <v xml:space="preserve"> OK</v>
      </c>
      <c r="AC4">
        <f>V4*1.1</f>
        <v>5.1628284525707926</v>
      </c>
      <c r="AE4">
        <v>25</v>
      </c>
      <c r="AW4">
        <v>200</v>
      </c>
      <c r="AZ4">
        <v>20</v>
      </c>
    </row>
    <row r="5" spans="1:52" x14ac:dyDescent="0.2">
      <c r="A5" s="441">
        <v>0.15</v>
      </c>
      <c r="B5" s="379" t="s">
        <v>1426</v>
      </c>
      <c r="C5" s="379" t="s">
        <v>1425</v>
      </c>
      <c r="D5" s="380"/>
      <c r="E5" s="380"/>
      <c r="F5" s="380"/>
      <c r="G5" s="388"/>
      <c r="H5" s="389"/>
      <c r="I5" s="381"/>
      <c r="J5" s="381"/>
      <c r="K5" s="381"/>
      <c r="L5" s="381"/>
      <c r="M5" s="381"/>
      <c r="N5" s="381"/>
      <c r="O5" s="388"/>
      <c r="P5" s="389"/>
      <c r="Q5" s="381"/>
      <c r="AZ5">
        <v>25</v>
      </c>
    </row>
    <row r="6" spans="1:52" x14ac:dyDescent="0.2">
      <c r="A6" s="441">
        <v>0.3</v>
      </c>
      <c r="B6" s="379" t="s">
        <v>1426</v>
      </c>
      <c r="C6" s="379" t="s">
        <v>1425</v>
      </c>
      <c r="D6" s="380"/>
      <c r="E6" s="380"/>
      <c r="F6" s="380"/>
      <c r="G6" s="388"/>
      <c r="H6" s="389"/>
      <c r="I6" s="381"/>
      <c r="J6" s="381"/>
      <c r="K6" s="381"/>
      <c r="L6" s="381"/>
      <c r="M6" s="381"/>
      <c r="N6" s="381"/>
      <c r="O6" s="388"/>
      <c r="P6" s="389"/>
      <c r="Q6" s="381"/>
      <c r="X6" s="2" t="s">
        <v>2293</v>
      </c>
      <c r="Y6">
        <f>IF(U4="LIQUID",Y4-6,Y4+9)</f>
        <v>67.055986783907457</v>
      </c>
      <c r="AZ6">
        <v>32</v>
      </c>
    </row>
    <row r="7" spans="1:52" x14ac:dyDescent="0.2">
      <c r="A7" s="441">
        <v>0.5</v>
      </c>
      <c r="B7" s="379" t="s">
        <v>1426</v>
      </c>
      <c r="C7" s="379" t="s">
        <v>1425</v>
      </c>
      <c r="D7" s="380"/>
      <c r="E7" s="380"/>
      <c r="F7" s="380"/>
      <c r="G7" s="388"/>
      <c r="H7" s="389"/>
      <c r="I7" s="381"/>
      <c r="J7" s="381"/>
      <c r="K7" s="381"/>
      <c r="L7" s="381"/>
      <c r="M7" s="381"/>
      <c r="N7" s="381"/>
      <c r="O7" s="388"/>
      <c r="P7" s="389"/>
      <c r="Q7" s="381"/>
      <c r="AZ7">
        <v>40</v>
      </c>
    </row>
    <row r="8" spans="1:52" x14ac:dyDescent="0.2">
      <c r="A8" s="441">
        <v>0.75</v>
      </c>
      <c r="B8" s="379" t="s">
        <v>1426</v>
      </c>
      <c r="C8" s="379" t="s">
        <v>1425</v>
      </c>
      <c r="D8" s="380"/>
      <c r="E8" s="380"/>
      <c r="F8" s="380"/>
      <c r="G8" s="388"/>
      <c r="H8" s="389"/>
      <c r="I8" s="381"/>
      <c r="J8" s="381"/>
      <c r="K8" s="381"/>
      <c r="L8" s="381"/>
      <c r="M8" s="381"/>
      <c r="N8" s="381"/>
      <c r="O8" s="388"/>
      <c r="P8" s="389"/>
      <c r="Q8" s="381"/>
      <c r="AI8">
        <f>AC4</f>
        <v>5.1628284525707926</v>
      </c>
      <c r="AZ8">
        <v>50</v>
      </c>
    </row>
    <row r="9" spans="1:52" x14ac:dyDescent="0.2">
      <c r="A9" s="441">
        <v>1</v>
      </c>
      <c r="B9" s="379" t="s">
        <v>1426</v>
      </c>
      <c r="C9" s="379" t="s">
        <v>1425</v>
      </c>
      <c r="D9" s="380"/>
      <c r="E9" s="380"/>
      <c r="F9" s="380"/>
      <c r="G9" s="388"/>
      <c r="H9" s="389"/>
      <c r="I9" s="381"/>
      <c r="J9" s="381"/>
      <c r="K9" s="381"/>
      <c r="L9" s="381"/>
      <c r="M9" s="381"/>
      <c r="N9" s="381"/>
      <c r="O9" s="388"/>
      <c r="P9" s="389"/>
      <c r="Q9" s="381"/>
      <c r="U9" s="2"/>
    </row>
    <row r="10" spans="1:52" x14ac:dyDescent="0.2">
      <c r="A10" s="441">
        <v>1.3</v>
      </c>
      <c r="B10" s="379" t="s">
        <v>1427</v>
      </c>
      <c r="C10" s="379" t="s">
        <v>1425</v>
      </c>
      <c r="D10" s="380"/>
      <c r="E10" s="380"/>
      <c r="F10" s="380"/>
      <c r="G10" s="388"/>
      <c r="H10" s="389"/>
      <c r="I10" s="381"/>
      <c r="J10" s="381"/>
      <c r="K10" s="381"/>
      <c r="L10" s="381"/>
      <c r="M10" s="381"/>
      <c r="N10" s="381"/>
      <c r="O10" s="388"/>
      <c r="P10" s="389"/>
      <c r="Q10" s="381"/>
      <c r="V10" s="424">
        <v>15</v>
      </c>
      <c r="W10" s="424">
        <v>20</v>
      </c>
      <c r="X10" s="427">
        <v>25</v>
      </c>
      <c r="Y10" s="431">
        <v>32</v>
      </c>
      <c r="Z10" s="432">
        <v>40</v>
      </c>
      <c r="AA10" s="428">
        <v>50</v>
      </c>
      <c r="AB10" s="426">
        <v>65</v>
      </c>
      <c r="AC10" s="427">
        <v>80</v>
      </c>
      <c r="AD10" s="426">
        <v>100</v>
      </c>
      <c r="AE10" s="424">
        <v>125</v>
      </c>
      <c r="AF10" s="424">
        <v>150</v>
      </c>
      <c r="AG10" s="433">
        <v>200</v>
      </c>
      <c r="AI10" t="s">
        <v>2503</v>
      </c>
      <c r="AJ10" t="s">
        <v>2504</v>
      </c>
      <c r="AK10" t="s">
        <v>2505</v>
      </c>
    </row>
    <row r="11" spans="1:52" x14ac:dyDescent="0.2">
      <c r="A11" s="441">
        <v>1.5</v>
      </c>
      <c r="B11" s="379" t="s">
        <v>1428</v>
      </c>
      <c r="C11" s="379" t="s">
        <v>1425</v>
      </c>
      <c r="D11" s="380"/>
      <c r="E11" s="380"/>
      <c r="F11" s="380"/>
      <c r="G11" s="388"/>
      <c r="H11" s="389"/>
      <c r="I11" s="381"/>
      <c r="J11" s="381"/>
      <c r="K11" s="381"/>
      <c r="L11" s="381"/>
      <c r="M11" s="381"/>
      <c r="N11" s="381"/>
      <c r="O11" s="388"/>
      <c r="P11" s="389"/>
      <c r="Q11" s="381"/>
      <c r="U11" s="861">
        <v>647</v>
      </c>
      <c r="AG11" t="s">
        <v>2502</v>
      </c>
      <c r="AI11">
        <f>MATCH(AI8,U11:U34,-1)</f>
        <v>11</v>
      </c>
      <c r="AJ11">
        <f>INDEX(V10:AG10,,MATCH("yes",INDEX(V11:AG33,MATCH(AI8,U11:U33,-1),),0))</f>
        <v>20</v>
      </c>
      <c r="AK11">
        <f>INDEX(U11:U33,AI11,)</f>
        <v>6.3</v>
      </c>
    </row>
    <row r="12" spans="1:52" x14ac:dyDescent="0.2">
      <c r="A12" s="441">
        <v>2</v>
      </c>
      <c r="B12" s="379" t="s">
        <v>1429</v>
      </c>
      <c r="C12" s="379" t="s">
        <v>1425</v>
      </c>
      <c r="D12" s="380"/>
      <c r="E12" s="380"/>
      <c r="F12" s="380"/>
      <c r="G12" s="388"/>
      <c r="H12" s="389"/>
      <c r="I12" s="381"/>
      <c r="J12" s="381"/>
      <c r="K12" s="381"/>
      <c r="L12" s="381"/>
      <c r="M12" s="381"/>
      <c r="N12" s="381"/>
      <c r="O12" s="388"/>
      <c r="P12" s="389"/>
      <c r="Q12" s="381"/>
      <c r="U12" s="441">
        <v>368</v>
      </c>
      <c r="AF12" t="s">
        <v>2502</v>
      </c>
      <c r="AG12" t="s">
        <v>2502</v>
      </c>
    </row>
    <row r="13" spans="1:52" x14ac:dyDescent="0.2">
      <c r="A13" s="441">
        <v>2.2999999999999998</v>
      </c>
      <c r="B13" s="379" t="s">
        <v>1429</v>
      </c>
      <c r="C13" s="379" t="s">
        <v>1425</v>
      </c>
      <c r="D13" s="380"/>
      <c r="E13" s="380"/>
      <c r="F13" s="380"/>
      <c r="G13" s="388"/>
      <c r="H13" s="389"/>
      <c r="I13" s="381"/>
      <c r="J13" s="381"/>
      <c r="K13" s="381"/>
      <c r="L13" s="381"/>
      <c r="M13" s="381"/>
      <c r="N13" s="381"/>
      <c r="O13" s="388"/>
      <c r="P13" s="389"/>
      <c r="Q13" s="381"/>
      <c r="U13" s="441">
        <v>267</v>
      </c>
      <c r="AE13" t="s">
        <v>2502</v>
      </c>
      <c r="AF13" t="s">
        <v>2502</v>
      </c>
      <c r="AG13" t="s">
        <v>2502</v>
      </c>
    </row>
    <row r="14" spans="1:52" x14ac:dyDescent="0.2">
      <c r="A14" s="441">
        <v>3</v>
      </c>
      <c r="B14" s="379" t="s">
        <v>1429</v>
      </c>
      <c r="C14" s="379" t="s">
        <v>1425</v>
      </c>
      <c r="D14" s="380"/>
      <c r="E14" s="380"/>
      <c r="F14" s="380"/>
      <c r="G14" s="388"/>
      <c r="H14" s="389"/>
      <c r="I14" s="381"/>
      <c r="J14" s="381"/>
      <c r="K14" s="381"/>
      <c r="L14" s="381"/>
      <c r="M14" s="381"/>
      <c r="N14" s="381"/>
      <c r="O14" s="388"/>
      <c r="P14" s="389"/>
      <c r="Q14" s="381"/>
      <c r="U14" s="441">
        <v>160</v>
      </c>
      <c r="AD14" t="s">
        <v>2502</v>
      </c>
      <c r="AE14" t="s">
        <v>2502</v>
      </c>
      <c r="AF14" t="s">
        <v>2502</v>
      </c>
      <c r="AG14" t="s">
        <v>2502</v>
      </c>
    </row>
    <row r="15" spans="1:52" x14ac:dyDescent="0.2">
      <c r="A15" s="441">
        <v>4.5</v>
      </c>
      <c r="B15" s="379" t="s">
        <v>1430</v>
      </c>
      <c r="C15" s="379" t="s">
        <v>1425</v>
      </c>
      <c r="D15" s="390"/>
      <c r="E15" s="380"/>
      <c r="F15" s="380"/>
      <c r="G15" s="384"/>
      <c r="H15" s="385"/>
      <c r="I15" s="380"/>
      <c r="J15" s="380"/>
      <c r="K15" s="381"/>
      <c r="L15" s="381"/>
      <c r="M15" s="381"/>
      <c r="N15" s="381"/>
      <c r="O15" s="388"/>
      <c r="P15" s="389"/>
      <c r="Q15" s="381"/>
      <c r="U15" s="441">
        <v>105</v>
      </c>
      <c r="AC15" t="s">
        <v>2502</v>
      </c>
      <c r="AD15" t="s">
        <v>2502</v>
      </c>
      <c r="AE15" t="s">
        <v>2502</v>
      </c>
      <c r="AF15" t="s">
        <v>2502</v>
      </c>
      <c r="AG15" t="s">
        <v>2502</v>
      </c>
    </row>
    <row r="16" spans="1:52" x14ac:dyDescent="0.2">
      <c r="A16" s="441">
        <v>6.3</v>
      </c>
      <c r="B16" s="379" t="s">
        <v>1431</v>
      </c>
      <c r="C16" s="379" t="s">
        <v>1425</v>
      </c>
      <c r="D16" s="381"/>
      <c r="E16" s="390"/>
      <c r="F16" s="380"/>
      <c r="G16" s="384"/>
      <c r="H16" s="385"/>
      <c r="I16" s="380"/>
      <c r="J16" s="380"/>
      <c r="K16" s="381"/>
      <c r="L16" s="381"/>
      <c r="M16" s="381"/>
      <c r="N16" s="381"/>
      <c r="O16" s="388"/>
      <c r="P16" s="389"/>
      <c r="Q16" s="381"/>
      <c r="U16" s="441">
        <v>72.7</v>
      </c>
      <c r="AB16" t="s">
        <v>2502</v>
      </c>
      <c r="AC16" t="s">
        <v>2502</v>
      </c>
      <c r="AD16" t="s">
        <v>2502</v>
      </c>
      <c r="AE16" t="s">
        <v>2502</v>
      </c>
      <c r="AF16" t="s">
        <v>2502</v>
      </c>
    </row>
    <row r="17" spans="1:31" x14ac:dyDescent="0.2">
      <c r="A17" s="441">
        <v>11</v>
      </c>
      <c r="B17" s="379" t="s">
        <v>1432</v>
      </c>
      <c r="C17" s="379" t="s">
        <v>1425</v>
      </c>
      <c r="D17" s="381"/>
      <c r="E17" s="381"/>
      <c r="F17" s="390"/>
      <c r="G17" s="384"/>
      <c r="H17" s="385"/>
      <c r="I17" s="380"/>
      <c r="J17" s="380"/>
      <c r="K17" s="380"/>
      <c r="L17" s="381"/>
      <c r="M17" s="381"/>
      <c r="N17" s="381"/>
      <c r="O17" s="388"/>
      <c r="P17" s="389"/>
      <c r="Q17" s="381"/>
      <c r="U17" s="441">
        <v>46.6</v>
      </c>
      <c r="AA17" t="s">
        <v>2502</v>
      </c>
      <c r="AB17" t="s">
        <v>2502</v>
      </c>
      <c r="AC17" t="s">
        <v>2502</v>
      </c>
      <c r="AD17" t="s">
        <v>2502</v>
      </c>
      <c r="AE17" t="s">
        <v>2502</v>
      </c>
    </row>
    <row r="18" spans="1:31" x14ac:dyDescent="0.2">
      <c r="A18" s="441">
        <v>18</v>
      </c>
      <c r="B18" s="379" t="s">
        <v>1433</v>
      </c>
      <c r="C18" s="379" t="s">
        <v>1431</v>
      </c>
      <c r="D18" s="381"/>
      <c r="E18" s="381"/>
      <c r="F18" s="381"/>
      <c r="G18" s="435"/>
      <c r="H18" s="436"/>
      <c r="I18" s="380"/>
      <c r="J18" s="380"/>
      <c r="K18" s="380"/>
      <c r="L18" s="380"/>
      <c r="M18" s="381"/>
      <c r="N18" s="381"/>
      <c r="O18" s="388"/>
      <c r="P18" s="389"/>
      <c r="Q18" s="381"/>
      <c r="U18" s="441">
        <v>30</v>
      </c>
      <c r="Z18" t="s">
        <v>2502</v>
      </c>
      <c r="AA18" t="s">
        <v>2502</v>
      </c>
      <c r="AB18" t="s">
        <v>2502</v>
      </c>
      <c r="AC18" t="s">
        <v>2502</v>
      </c>
      <c r="AD18" t="s">
        <v>2502</v>
      </c>
    </row>
    <row r="19" spans="1:31" x14ac:dyDescent="0.2">
      <c r="A19" s="441">
        <v>30</v>
      </c>
      <c r="B19" s="379" t="s">
        <v>1434</v>
      </c>
      <c r="C19" s="379" t="s">
        <v>1431</v>
      </c>
      <c r="D19" s="381"/>
      <c r="E19" s="381"/>
      <c r="F19" s="381"/>
      <c r="G19" s="388"/>
      <c r="H19" s="389"/>
      <c r="I19" s="390"/>
      <c r="J19" s="380"/>
      <c r="K19" s="380"/>
      <c r="L19" s="380"/>
      <c r="M19" s="380"/>
      <c r="N19" s="381"/>
      <c r="O19" s="388"/>
      <c r="P19" s="389"/>
      <c r="Q19" s="381"/>
      <c r="U19" s="441">
        <v>18</v>
      </c>
      <c r="Y19" t="s">
        <v>2502</v>
      </c>
      <c r="Z19" t="s">
        <v>2502</v>
      </c>
      <c r="AA19" t="s">
        <v>2502</v>
      </c>
      <c r="AB19" t="s">
        <v>2502</v>
      </c>
      <c r="AC19" t="s">
        <v>2502</v>
      </c>
    </row>
    <row r="20" spans="1:31" x14ac:dyDescent="0.2">
      <c r="A20" s="441">
        <v>46.6</v>
      </c>
      <c r="B20" s="379" t="s">
        <v>1435</v>
      </c>
      <c r="C20" s="379" t="s">
        <v>1431</v>
      </c>
      <c r="D20" s="381"/>
      <c r="E20" s="381"/>
      <c r="F20" s="381"/>
      <c r="G20" s="388"/>
      <c r="H20" s="389"/>
      <c r="I20" s="381"/>
      <c r="J20" s="390"/>
      <c r="K20" s="380"/>
      <c r="L20" s="380"/>
      <c r="M20" s="380"/>
      <c r="N20" s="380"/>
      <c r="O20" s="388"/>
      <c r="P20" s="389"/>
      <c r="Q20" s="381"/>
      <c r="U20" s="441">
        <v>11</v>
      </c>
      <c r="X20" t="s">
        <v>2502</v>
      </c>
      <c r="Y20" t="s">
        <v>2502</v>
      </c>
      <c r="Z20" t="s">
        <v>2502</v>
      </c>
      <c r="AA20" t="s">
        <v>2502</v>
      </c>
      <c r="AB20" t="s">
        <v>2502</v>
      </c>
    </row>
    <row r="21" spans="1:31" x14ac:dyDescent="0.2">
      <c r="A21" s="441">
        <v>72.7</v>
      </c>
      <c r="B21" s="379" t="s">
        <v>1436</v>
      </c>
      <c r="C21" s="379" t="s">
        <v>1432</v>
      </c>
      <c r="D21" s="381"/>
      <c r="E21" s="381"/>
      <c r="F21" s="381"/>
      <c r="G21" s="388"/>
      <c r="H21" s="389"/>
      <c r="I21" s="381"/>
      <c r="J21" s="381"/>
      <c r="K21" s="390"/>
      <c r="L21" s="380"/>
      <c r="M21" s="380"/>
      <c r="N21" s="380"/>
      <c r="O21" s="384"/>
      <c r="P21" s="385"/>
      <c r="Q21" s="381"/>
      <c r="U21" s="441">
        <v>6.3</v>
      </c>
      <c r="W21" t="s">
        <v>2502</v>
      </c>
      <c r="X21" t="s">
        <v>2502</v>
      </c>
      <c r="Y21" t="s">
        <v>2502</v>
      </c>
      <c r="Z21" t="s">
        <v>2502</v>
      </c>
      <c r="AA21" t="s">
        <v>2502</v>
      </c>
    </row>
    <row r="22" spans="1:31" x14ac:dyDescent="0.2">
      <c r="A22" s="441">
        <v>105</v>
      </c>
      <c r="B22" s="379" t="s">
        <v>1437</v>
      </c>
      <c r="C22" s="379" t="s">
        <v>1432</v>
      </c>
      <c r="D22" s="381"/>
      <c r="E22" s="381"/>
      <c r="F22" s="381"/>
      <c r="G22" s="388"/>
      <c r="H22" s="389"/>
      <c r="I22" s="381"/>
      <c r="J22" s="381"/>
      <c r="K22" s="381"/>
      <c r="L22" s="390"/>
      <c r="M22" s="380"/>
      <c r="N22" s="380"/>
      <c r="O22" s="384"/>
      <c r="P22" s="385"/>
      <c r="Q22" s="380"/>
      <c r="U22" s="441">
        <v>4.5</v>
      </c>
      <c r="V22" t="s">
        <v>2502</v>
      </c>
      <c r="W22" t="s">
        <v>2502</v>
      </c>
      <c r="X22" t="s">
        <v>2502</v>
      </c>
      <c r="Y22" t="s">
        <v>2502</v>
      </c>
      <c r="Z22" t="s">
        <v>2502</v>
      </c>
      <c r="AA22" t="s">
        <v>2502</v>
      </c>
    </row>
    <row r="23" spans="1:31" x14ac:dyDescent="0.2">
      <c r="A23" s="441">
        <v>160</v>
      </c>
      <c r="B23" s="379" t="s">
        <v>1438</v>
      </c>
      <c r="C23" s="379" t="s">
        <v>1439</v>
      </c>
      <c r="D23" s="381"/>
      <c r="E23" s="381"/>
      <c r="F23" s="381"/>
      <c r="G23" s="388"/>
      <c r="H23" s="389"/>
      <c r="I23" s="381"/>
      <c r="J23" s="381"/>
      <c r="K23" s="381"/>
      <c r="L23" s="381"/>
      <c r="M23" s="390"/>
      <c r="N23" s="380"/>
      <c r="O23" s="384"/>
      <c r="P23" s="385"/>
      <c r="Q23" s="380"/>
      <c r="U23" s="441">
        <v>3</v>
      </c>
      <c r="V23" t="s">
        <v>2502</v>
      </c>
      <c r="W23" t="s">
        <v>2502</v>
      </c>
      <c r="X23" t="s">
        <v>2502</v>
      </c>
    </row>
    <row r="24" spans="1:31" x14ac:dyDescent="0.2">
      <c r="A24" s="441">
        <v>267</v>
      </c>
      <c r="B24" s="379" t="s">
        <v>1440</v>
      </c>
      <c r="C24" s="379" t="s">
        <v>1441</v>
      </c>
      <c r="D24" s="381"/>
      <c r="E24" s="381"/>
      <c r="F24" s="381"/>
      <c r="G24" s="388"/>
      <c r="H24" s="389"/>
      <c r="I24" s="381"/>
      <c r="J24" s="381"/>
      <c r="K24" s="381"/>
      <c r="L24" s="381"/>
      <c r="M24" s="381"/>
      <c r="N24" s="390"/>
      <c r="O24" s="384"/>
      <c r="P24" s="385"/>
      <c r="Q24" s="380"/>
      <c r="U24" s="441">
        <v>2.2999999999999998</v>
      </c>
      <c r="V24" t="s">
        <v>2502</v>
      </c>
      <c r="W24" t="s">
        <v>2502</v>
      </c>
      <c r="X24" t="s">
        <v>2502</v>
      </c>
    </row>
    <row r="25" spans="1:31" x14ac:dyDescent="0.2">
      <c r="A25" s="441">
        <v>368</v>
      </c>
      <c r="B25" s="379" t="s">
        <v>1442</v>
      </c>
      <c r="C25" s="379" t="s">
        <v>1435</v>
      </c>
      <c r="D25" s="381"/>
      <c r="E25" s="381"/>
      <c r="F25" s="381"/>
      <c r="G25" s="388"/>
      <c r="H25" s="389"/>
      <c r="I25" s="381"/>
      <c r="J25" s="381"/>
      <c r="K25" s="381"/>
      <c r="L25" s="381"/>
      <c r="M25" s="381"/>
      <c r="N25" s="381"/>
      <c r="O25" s="435"/>
      <c r="P25" s="436"/>
      <c r="Q25" s="380"/>
      <c r="U25" s="441">
        <v>2</v>
      </c>
      <c r="V25" t="s">
        <v>2502</v>
      </c>
      <c r="W25" t="s">
        <v>2502</v>
      </c>
      <c r="X25" t="s">
        <v>2502</v>
      </c>
    </row>
    <row r="26" spans="1:31" x14ac:dyDescent="0.2">
      <c r="A26" s="441">
        <v>647</v>
      </c>
      <c r="B26" s="379" t="s">
        <v>1443</v>
      </c>
      <c r="C26" s="379" t="s">
        <v>1435</v>
      </c>
      <c r="D26" s="381"/>
      <c r="E26" s="381"/>
      <c r="F26" s="381"/>
      <c r="G26" s="388"/>
      <c r="H26" s="389"/>
      <c r="I26" s="381"/>
      <c r="J26" s="381"/>
      <c r="K26" s="381"/>
      <c r="L26" s="381"/>
      <c r="M26" s="381"/>
      <c r="N26" s="381"/>
      <c r="O26" s="388"/>
      <c r="P26" s="389"/>
      <c r="Q26" s="390"/>
      <c r="U26" s="441">
        <v>1.5</v>
      </c>
      <c r="V26" t="s">
        <v>2502</v>
      </c>
      <c r="W26" t="s">
        <v>2502</v>
      </c>
      <c r="X26" t="s">
        <v>2502</v>
      </c>
    </row>
    <row r="27" spans="1:31" x14ac:dyDescent="0.2">
      <c r="A27" s="442"/>
      <c r="B27" s="378"/>
      <c r="C27" s="378"/>
      <c r="D27" s="378"/>
      <c r="E27" s="378"/>
      <c r="F27" s="378"/>
      <c r="G27" s="378"/>
      <c r="H27" s="378"/>
      <c r="I27" s="378"/>
      <c r="J27" s="378"/>
      <c r="K27" s="378"/>
      <c r="L27" s="378"/>
      <c r="M27" s="378"/>
      <c r="N27" s="378"/>
      <c r="O27" s="378"/>
      <c r="P27" s="378"/>
      <c r="Q27" s="378"/>
      <c r="U27" s="441">
        <v>1.3</v>
      </c>
      <c r="V27" t="s">
        <v>2502</v>
      </c>
      <c r="W27" t="s">
        <v>2502</v>
      </c>
      <c r="X27" t="s">
        <v>2502</v>
      </c>
    </row>
    <row r="28" spans="1:31" x14ac:dyDescent="0.2">
      <c r="A28" s="443"/>
      <c r="B28" s="378"/>
      <c r="C28" s="378"/>
      <c r="D28" s="378"/>
      <c r="E28" s="378"/>
      <c r="F28" s="378"/>
      <c r="G28" s="378"/>
      <c r="H28" s="378"/>
      <c r="I28" s="378"/>
      <c r="J28" s="378"/>
      <c r="K28" s="378"/>
      <c r="L28" s="378"/>
      <c r="M28" s="378"/>
      <c r="N28" s="378"/>
      <c r="O28" s="378"/>
      <c r="P28" s="378"/>
      <c r="Q28" s="378"/>
      <c r="U28" s="441">
        <v>1</v>
      </c>
      <c r="V28" t="s">
        <v>2502</v>
      </c>
      <c r="W28" t="s">
        <v>2502</v>
      </c>
      <c r="X28" t="s">
        <v>2502</v>
      </c>
    </row>
    <row r="29" spans="1:31" ht="12.75" customHeight="1" x14ac:dyDescent="0.2">
      <c r="A29" s="440" t="s">
        <v>1444</v>
      </c>
      <c r="B29" s="391"/>
      <c r="C29" s="391"/>
      <c r="D29" s="391"/>
      <c r="E29" s="391"/>
      <c r="F29" s="391"/>
      <c r="G29" s="392"/>
      <c r="H29" s="378"/>
      <c r="I29" s="378"/>
      <c r="J29" s="378"/>
      <c r="K29" s="378"/>
      <c r="L29" s="378"/>
      <c r="M29" s="378"/>
      <c r="N29" s="378"/>
      <c r="O29" s="378"/>
      <c r="P29" s="378"/>
      <c r="Q29" s="378"/>
      <c r="U29" s="441">
        <v>0.75</v>
      </c>
      <c r="V29" t="s">
        <v>2502</v>
      </c>
      <c r="W29" t="s">
        <v>2502</v>
      </c>
      <c r="X29" t="s">
        <v>2502</v>
      </c>
    </row>
    <row r="30" spans="1:31" ht="12.75" customHeight="1" x14ac:dyDescent="0.2">
      <c r="A30" s="440" t="s">
        <v>1445</v>
      </c>
      <c r="B30" s="391"/>
      <c r="C30" s="391"/>
      <c r="D30" s="391"/>
      <c r="E30" s="391"/>
      <c r="F30" s="391"/>
      <c r="G30" s="392"/>
      <c r="H30" s="378"/>
      <c r="I30" s="378"/>
      <c r="J30" s="378"/>
      <c r="K30" s="378"/>
      <c r="L30" s="378"/>
      <c r="M30" s="378"/>
      <c r="N30" s="378"/>
      <c r="O30" s="378"/>
      <c r="P30" s="378"/>
      <c r="Q30" s="378"/>
      <c r="U30" s="441">
        <v>0.5</v>
      </c>
      <c r="V30" t="s">
        <v>2502</v>
      </c>
      <c r="W30" t="s">
        <v>2502</v>
      </c>
      <c r="X30" t="s">
        <v>2502</v>
      </c>
    </row>
    <row r="31" spans="1:31" x14ac:dyDescent="0.2">
      <c r="B31" s="378"/>
      <c r="C31" s="378"/>
      <c r="D31" s="378"/>
      <c r="E31" s="378"/>
      <c r="F31" s="378"/>
      <c r="G31" s="378"/>
      <c r="H31" s="378"/>
      <c r="I31" s="378"/>
      <c r="J31" s="378"/>
      <c r="K31" s="378"/>
      <c r="L31" s="378"/>
      <c r="M31" s="378"/>
      <c r="N31" s="378"/>
      <c r="O31" s="378"/>
      <c r="P31" s="378"/>
      <c r="Q31" s="378"/>
      <c r="U31" s="441">
        <v>0.3</v>
      </c>
      <c r="V31" t="s">
        <v>2502</v>
      </c>
      <c r="W31" t="s">
        <v>2502</v>
      </c>
      <c r="X31" t="s">
        <v>2502</v>
      </c>
    </row>
    <row r="32" spans="1:31" x14ac:dyDescent="0.2">
      <c r="B32" s="378"/>
      <c r="C32" s="378"/>
      <c r="D32" s="378"/>
      <c r="E32" s="378"/>
      <c r="F32" s="378"/>
      <c r="G32" s="378"/>
      <c r="H32" s="378"/>
      <c r="I32" s="378"/>
      <c r="J32" s="378"/>
      <c r="K32" s="378"/>
      <c r="L32" s="378"/>
      <c r="M32" s="378"/>
      <c r="N32" s="378"/>
      <c r="O32" s="378"/>
      <c r="P32" s="378"/>
      <c r="Q32" s="378"/>
      <c r="U32" s="441">
        <v>0.15</v>
      </c>
      <c r="V32" t="s">
        <v>2502</v>
      </c>
      <c r="W32" t="s">
        <v>2502</v>
      </c>
      <c r="X32" t="s">
        <v>2502</v>
      </c>
    </row>
    <row r="33" spans="2:24" x14ac:dyDescent="0.2">
      <c r="B33" s="378"/>
      <c r="C33" s="378"/>
      <c r="D33" s="378"/>
      <c r="E33" s="378"/>
      <c r="F33" s="378"/>
      <c r="G33" s="378"/>
      <c r="H33" s="378"/>
      <c r="I33" s="378"/>
      <c r="J33" s="378"/>
      <c r="K33" s="378"/>
      <c r="L33" s="378"/>
      <c r="M33" s="378"/>
      <c r="N33" s="378"/>
      <c r="O33" s="378"/>
      <c r="P33" s="378"/>
      <c r="Q33" s="378"/>
      <c r="U33" s="440">
        <v>5.8999999999999997E-2</v>
      </c>
      <c r="V33" t="s">
        <v>2502</v>
      </c>
      <c r="W33" t="s">
        <v>2502</v>
      </c>
      <c r="X33" t="s">
        <v>2502</v>
      </c>
    </row>
    <row r="34" spans="2:24" x14ac:dyDescent="0.2">
      <c r="U34" s="862"/>
      <c r="V34" t="s">
        <v>2502</v>
      </c>
      <c r="W34" t="s">
        <v>2502</v>
      </c>
      <c r="X34" t="s">
        <v>2502</v>
      </c>
    </row>
  </sheetData>
  <phoneticPr fontId="5" type="noConversion"/>
  <dataValidations disablePrompts="1" count="1">
    <dataValidation type="list" allowBlank="1" showInputMessage="1" showErrorMessage="1" sqref="AE4">
      <formula1>AW4:AW10</formula1>
    </dataValidation>
  </dataValidations>
  <pageMargins left="0.7" right="0.7" top="0.75" bottom="0.75" header="0.3" footer="0.3"/>
  <pageSetup paperSize="9" orientation="portrait" r:id="rId1"/>
  <drawing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showRowColHeaders="0" tabSelected="1" zoomScale="90" zoomScaleNormal="90" workbookViewId="0">
      <selection activeCell="B8" sqref="B8"/>
    </sheetView>
  </sheetViews>
  <sheetFormatPr defaultRowHeight="12.75" x14ac:dyDescent="0.2"/>
  <cols>
    <col min="1" max="1" width="20.42578125" customWidth="1"/>
    <col min="2" max="2" width="21.85546875" customWidth="1"/>
    <col min="3" max="3" width="11.140625" customWidth="1"/>
    <col min="5" max="5" width="15.7109375" customWidth="1"/>
    <col min="6" max="6" width="12.5703125" customWidth="1"/>
    <col min="8" max="8" width="24.28515625" customWidth="1"/>
    <col min="9" max="11" width="11.140625" customWidth="1"/>
    <col min="12" max="12" width="18.85546875" customWidth="1"/>
    <col min="13" max="13" width="32.42578125" customWidth="1"/>
  </cols>
  <sheetData>
    <row r="1" spans="1:13" x14ac:dyDescent="0.2">
      <c r="A1" t="s">
        <v>2517</v>
      </c>
      <c r="E1" t="s">
        <v>2522</v>
      </c>
      <c r="H1" t="s">
        <v>82</v>
      </c>
      <c r="L1" t="s">
        <v>2538</v>
      </c>
    </row>
    <row r="3" spans="1:13" ht="15" x14ac:dyDescent="0.25">
      <c r="A3" t="s">
        <v>2518</v>
      </c>
      <c r="B3" t="str">
        <f>CV!AB4</f>
        <v xml:space="preserve"> OK</v>
      </c>
      <c r="D3" t="s">
        <v>2523</v>
      </c>
      <c r="E3" t="str">
        <f>'Valve body'!K5</f>
        <v>Standard</v>
      </c>
      <c r="G3" t="s">
        <v>2508</v>
      </c>
      <c r="H3" t="str">
        <f>'Pressure Drop'!$AC$7</f>
        <v xml:space="preserve">RegadaST0PA                     </v>
      </c>
      <c r="L3" s="561" t="s">
        <v>2509</v>
      </c>
      <c r="M3" s="864" t="s">
        <v>2477</v>
      </c>
    </row>
    <row r="4" spans="1:13" ht="15" x14ac:dyDescent="0.25">
      <c r="A4" t="s">
        <v>2519</v>
      </c>
      <c r="B4" t="str">
        <f>IF(CV!$AA$4=" NO","Gabbia",CV!$AA$4)</f>
        <v xml:space="preserve">  OK</v>
      </c>
      <c r="D4" t="s">
        <v>2500</v>
      </c>
      <c r="E4" t="str">
        <f>'Valve body'!K6</f>
        <v>Standard</v>
      </c>
      <c r="G4" t="s">
        <v>686</v>
      </c>
      <c r="H4" t="str">
        <f>'Pressure Drop'!$R$28</f>
        <v>S200B-130 (20) 0,4 - 2,0  (6 - 30)</v>
      </c>
      <c r="L4" s="561" t="s">
        <v>2510</v>
      </c>
      <c r="M4" s="864" t="s">
        <v>2456</v>
      </c>
    </row>
    <row r="5" spans="1:13" ht="15" x14ac:dyDescent="0.25">
      <c r="A5" t="s">
        <v>1001</v>
      </c>
      <c r="B5">
        <f>CV!AC4</f>
        <v>5.1628284525707926</v>
      </c>
      <c r="D5" t="s">
        <v>2471</v>
      </c>
      <c r="E5" t="str">
        <f>'Valve body'!K7</f>
        <v>PN25</v>
      </c>
      <c r="L5" s="561" t="s">
        <v>2511</v>
      </c>
      <c r="M5" s="864"/>
    </row>
    <row r="6" spans="1:13" ht="15" x14ac:dyDescent="0.25">
      <c r="A6" t="s">
        <v>2520</v>
      </c>
      <c r="B6">
        <f>CV!AJ11</f>
        <v>20</v>
      </c>
      <c r="D6" t="s">
        <v>2498</v>
      </c>
      <c r="E6" t="str">
        <f>'Valve body'!K8</f>
        <v>ASTM A395</v>
      </c>
      <c r="L6" s="561" t="s">
        <v>2512</v>
      </c>
      <c r="M6" s="864"/>
    </row>
    <row r="7" spans="1:13" ht="15" x14ac:dyDescent="0.25">
      <c r="A7" t="s">
        <v>2521</v>
      </c>
      <c r="B7">
        <f>CV!AK11</f>
        <v>6.3</v>
      </c>
      <c r="G7" t="s">
        <v>2532</v>
      </c>
      <c r="H7" t="s">
        <v>2534</v>
      </c>
      <c r="L7" s="561" t="s">
        <v>2513</v>
      </c>
      <c r="M7" s="864"/>
    </row>
    <row r="8" spans="1:13" ht="15" x14ac:dyDescent="0.25">
      <c r="A8" t="s">
        <v>2539</v>
      </c>
      <c r="B8">
        <f>SELECTION!J29</f>
        <v>20</v>
      </c>
      <c r="L8" s="561" t="s">
        <v>2514</v>
      </c>
      <c r="M8" s="864"/>
    </row>
    <row r="9" spans="1:13" ht="15" x14ac:dyDescent="0.25">
      <c r="L9" s="561" t="s">
        <v>2515</v>
      </c>
      <c r="M9" s="864"/>
    </row>
    <row r="10" spans="1:13" ht="15" x14ac:dyDescent="0.25">
      <c r="L10" s="561" t="s">
        <v>2516</v>
      </c>
      <c r="M10" s="864"/>
    </row>
  </sheetData>
  <pageMargins left="0.7" right="0.7" top="0.75" bottom="0.75" header="0.3" footer="0.3"/>
  <tableParts count="4">
    <tablePart r:id="rId1"/>
    <tablePart r:id="rId2"/>
    <tablePart r:id="rId3"/>
    <tablePart r:id="rId4"/>
  </tableParts>
  <extLst>
    <ext xmlns:x14="http://schemas.microsoft.com/office/spreadsheetml/2009/9/main" uri="{CCE6A557-97BC-4b89-ADB6-D9C93CAAB3DF}">
      <x14:dataValidations xmlns:xm="http://schemas.microsoft.com/office/excel/2006/main" disablePrompts="1" count="9">
        <x14:dataValidation type="list" allowBlank="1" showInputMessage="1" showErrorMessage="1">
          <x14:formula1>
            <xm:f>'Valve body'!$N$29</xm:f>
          </x14:formula1>
          <xm:sqref>M10</xm:sqref>
        </x14:dataValidation>
        <x14:dataValidation type="list" allowBlank="1" showInputMessage="1" showErrorMessage="1">
          <x14:formula1>
            <xm:f>'Valve body'!$N$28</xm:f>
          </x14:formula1>
          <xm:sqref>M9</xm:sqref>
        </x14:dataValidation>
        <x14:dataValidation type="list" allowBlank="1" showInputMessage="1" showErrorMessage="1">
          <x14:formula1>
            <xm:f>'Valve body'!$N$27</xm:f>
          </x14:formula1>
          <xm:sqref>M8</xm:sqref>
        </x14:dataValidation>
        <x14:dataValidation type="list" allowBlank="1" showInputMessage="1" showErrorMessage="1">
          <x14:formula1>
            <xm:f>'Valve body'!$N$25:$N$26</xm:f>
          </x14:formula1>
          <xm:sqref>M7</xm:sqref>
        </x14:dataValidation>
        <x14:dataValidation type="list" allowBlank="1" showInputMessage="1" showErrorMessage="1">
          <x14:formula1>
            <xm:f>'Valve body'!$N$17:$N$24</xm:f>
          </x14:formula1>
          <xm:sqref>M6</xm:sqref>
        </x14:dataValidation>
        <x14:dataValidation type="list" allowBlank="1" showInputMessage="1" showErrorMessage="1">
          <x14:formula1>
            <xm:f>'Valve body'!$N$13:$N$16</xm:f>
          </x14:formula1>
          <xm:sqref>M5</xm:sqref>
        </x14:dataValidation>
        <x14:dataValidation type="list" allowBlank="1" showInputMessage="1" showErrorMessage="1">
          <x14:formula1>
            <xm:f>'Valve body'!$N$9:$N$12</xm:f>
          </x14:formula1>
          <xm:sqref>M4</xm:sqref>
        </x14:dataValidation>
        <x14:dataValidation type="list" allowBlank="1" showInputMessage="1" showErrorMessage="1">
          <x14:formula1>
            <xm:f>'Valve body'!$N$3:$N$8</xm:f>
          </x14:formula1>
          <xm:sqref>M3</xm:sqref>
        </x14:dataValidation>
        <x14:dataValidation type="list" allowBlank="1" showInputMessage="1" showErrorMessage="1">
          <x14:formula1>
            <xm:f>'Pressure Drop'!$W$45:$W$49</xm:f>
          </x14:formula1>
          <xm:sqref>H7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N120"/>
  <sheetViews>
    <sheetView zoomScale="90" zoomScaleNormal="90" workbookViewId="0">
      <selection activeCell="U20" sqref="U20"/>
    </sheetView>
  </sheetViews>
  <sheetFormatPr defaultRowHeight="12.75" x14ac:dyDescent="0.2"/>
  <cols>
    <col min="1" max="1" width="48.5703125" customWidth="1"/>
    <col min="2" max="2" width="5.85546875" bestFit="1" customWidth="1"/>
    <col min="3" max="3" width="11.28515625" bestFit="1" customWidth="1"/>
    <col min="4" max="4" width="16.7109375" bestFit="1" customWidth="1"/>
    <col min="5" max="9" width="5.7109375" customWidth="1"/>
    <col min="10" max="10" width="2.7109375" customWidth="1"/>
    <col min="11" max="11" width="16.5703125" bestFit="1" customWidth="1"/>
    <col min="12" max="12" width="5.7109375" customWidth="1"/>
    <col min="13" max="15" width="5.28515625" bestFit="1" customWidth="1"/>
    <col min="16" max="16" width="5.7109375" customWidth="1"/>
    <col min="17" max="17" width="2.7109375" customWidth="1"/>
    <col min="18" max="18" width="16.85546875" bestFit="1" customWidth="1"/>
    <col min="19" max="23" width="5.7109375" customWidth="1"/>
    <col min="25" max="27" width="0" hidden="1" customWidth="1"/>
    <col min="28" max="28" width="6.28515625" hidden="1" customWidth="1"/>
    <col min="29" max="29" width="7.140625" hidden="1" customWidth="1"/>
    <col min="30" max="30" width="24.5703125" hidden="1" customWidth="1"/>
    <col min="31" max="31" width="11" hidden="1" customWidth="1"/>
    <col min="32" max="33" width="4.7109375" hidden="1" customWidth="1"/>
    <col min="34" max="34" width="4.7109375" bestFit="1" customWidth="1"/>
    <col min="35" max="35" width="5.7109375" bestFit="1" customWidth="1"/>
  </cols>
  <sheetData>
    <row r="1" spans="1:40" x14ac:dyDescent="0.2">
      <c r="A1" s="554" t="s">
        <v>2366</v>
      </c>
    </row>
    <row r="2" spans="1:40" s="549" customFormat="1" ht="15.75" x14ac:dyDescent="0.25">
      <c r="A2" s="549" t="s">
        <v>2365</v>
      </c>
      <c r="B2" s="551" t="s">
        <v>2364</v>
      </c>
      <c r="C2" s="552">
        <f>SELECTION!R14</f>
        <v>20</v>
      </c>
      <c r="D2" s="553" t="s">
        <v>2363</v>
      </c>
    </row>
    <row r="3" spans="1:40" s="549" customFormat="1" ht="15.75" x14ac:dyDescent="0.25">
      <c r="B3" s="551" t="s">
        <v>2362</v>
      </c>
      <c r="C3" s="552">
        <f>SELECTION!R15</f>
        <v>19</v>
      </c>
      <c r="D3" s="549" t="s">
        <v>1169</v>
      </c>
    </row>
    <row r="4" spans="1:40" s="549" customFormat="1" ht="15.75" x14ac:dyDescent="0.25">
      <c r="A4" s="553"/>
      <c r="B4" s="551" t="s">
        <v>2361</v>
      </c>
      <c r="C4" s="550" t="e">
        <f>SELECTION!R20</f>
        <v>#N/A</v>
      </c>
      <c r="D4" s="549" t="s">
        <v>1169</v>
      </c>
    </row>
    <row r="5" spans="1:40" x14ac:dyDescent="0.2">
      <c r="AJ5">
        <v>0.61</v>
      </c>
      <c r="AK5">
        <v>0.51</v>
      </c>
      <c r="AL5">
        <v>0.4</v>
      </c>
      <c r="AM5">
        <v>0.33</v>
      </c>
      <c r="AN5">
        <v>0.27</v>
      </c>
    </row>
    <row r="6" spans="1:40" ht="16.5" x14ac:dyDescent="0.3">
      <c r="A6" s="549"/>
      <c r="B6" t="s">
        <v>2360</v>
      </c>
      <c r="C6" s="548" t="e">
        <f>(C2-C3)/(C2-C4)</f>
        <v>#N/A</v>
      </c>
      <c r="AI6">
        <v>1</v>
      </c>
      <c r="AJ6">
        <v>0.63</v>
      </c>
      <c r="AK6">
        <v>0.53</v>
      </c>
      <c r="AL6">
        <v>0.42</v>
      </c>
      <c r="AM6">
        <v>0.35</v>
      </c>
      <c r="AN6">
        <v>0.3</v>
      </c>
    </row>
    <row r="7" spans="1:40" ht="15.75" customHeight="1" x14ac:dyDescent="0.2">
      <c r="B7" t="s">
        <v>2359</v>
      </c>
      <c r="C7" s="548" t="e">
        <f>1/C6</f>
        <v>#N/A</v>
      </c>
      <c r="AI7">
        <v>2</v>
      </c>
      <c r="AJ7">
        <v>0.65</v>
      </c>
      <c r="AK7">
        <v>0.55000000000000004</v>
      </c>
      <c r="AL7">
        <v>0.46</v>
      </c>
      <c r="AM7">
        <v>0.39</v>
      </c>
      <c r="AN7">
        <v>0.34</v>
      </c>
    </row>
    <row r="8" spans="1:40" ht="15.75" customHeight="1" x14ac:dyDescent="0.2">
      <c r="C8" s="548"/>
    </row>
    <row r="9" spans="1:40" ht="15.75" customHeight="1" x14ac:dyDescent="0.2"/>
    <row r="10" spans="1:40" ht="15.75" customHeight="1" thickBot="1" x14ac:dyDescent="0.35">
      <c r="B10" s="13" t="s">
        <v>2358</v>
      </c>
      <c r="K10" s="13" t="s">
        <v>2357</v>
      </c>
      <c r="R10" s="13" t="s">
        <v>2356</v>
      </c>
    </row>
    <row r="11" spans="1:40" x14ac:dyDescent="0.2">
      <c r="A11" s="525" t="s">
        <v>2355</v>
      </c>
      <c r="B11" s="857" t="s">
        <v>2331</v>
      </c>
      <c r="C11" s="859" t="s">
        <v>2330</v>
      </c>
      <c r="D11" s="859" t="s">
        <v>559</v>
      </c>
      <c r="E11" s="855" t="s">
        <v>2329</v>
      </c>
      <c r="F11" s="855"/>
      <c r="G11" s="855"/>
      <c r="H11" s="855"/>
      <c r="I11" s="856"/>
      <c r="K11" s="857" t="s">
        <v>559</v>
      </c>
      <c r="L11" s="855" t="s">
        <v>2329</v>
      </c>
      <c r="M11" s="855"/>
      <c r="N11" s="855"/>
      <c r="O11" s="855"/>
      <c r="P11" s="856"/>
      <c r="R11" s="857" t="s">
        <v>559</v>
      </c>
      <c r="S11" s="855" t="s">
        <v>2329</v>
      </c>
      <c r="T11" s="855"/>
      <c r="U11" s="855"/>
      <c r="V11" s="855"/>
      <c r="W11" s="856"/>
      <c r="AI11">
        <v>3</v>
      </c>
      <c r="AJ11">
        <v>0.67</v>
      </c>
      <c r="AK11">
        <v>0.57999999999999996</v>
      </c>
      <c r="AL11">
        <v>0.49</v>
      </c>
      <c r="AM11">
        <v>0.42</v>
      </c>
      <c r="AN11">
        <v>0.37</v>
      </c>
    </row>
    <row r="12" spans="1:40" ht="13.5" thickBot="1" x14ac:dyDescent="0.25">
      <c r="B12" s="858"/>
      <c r="C12" s="860"/>
      <c r="D12" s="860"/>
      <c r="E12" s="524" t="s">
        <v>2328</v>
      </c>
      <c r="F12" s="524" t="s">
        <v>2327</v>
      </c>
      <c r="G12" s="524" t="s">
        <v>2326</v>
      </c>
      <c r="H12" s="524" t="s">
        <v>2325</v>
      </c>
      <c r="I12" s="523" t="s">
        <v>2324</v>
      </c>
      <c r="K12" s="858"/>
      <c r="L12" s="524" t="s">
        <v>2328</v>
      </c>
      <c r="M12" s="524" t="s">
        <v>2327</v>
      </c>
      <c r="N12" s="524" t="s">
        <v>2326</v>
      </c>
      <c r="O12" s="524" t="s">
        <v>2325</v>
      </c>
      <c r="P12" s="523" t="s">
        <v>2324</v>
      </c>
      <c r="R12" s="858"/>
      <c r="S12" s="524" t="s">
        <v>2328</v>
      </c>
      <c r="T12" s="524" t="s">
        <v>2327</v>
      </c>
      <c r="U12" s="524" t="s">
        <v>2326</v>
      </c>
      <c r="V12" s="524" t="s">
        <v>2325</v>
      </c>
      <c r="W12" s="523" t="s">
        <v>2324</v>
      </c>
    </row>
    <row r="13" spans="1:40" x14ac:dyDescent="0.2">
      <c r="B13" s="522" t="s">
        <v>2296</v>
      </c>
      <c r="C13" s="521" t="s">
        <v>2354</v>
      </c>
      <c r="D13" s="520" t="s">
        <v>2348</v>
      </c>
      <c r="E13" s="540"/>
      <c r="F13" s="539"/>
      <c r="G13" s="539"/>
      <c r="H13" s="539"/>
      <c r="I13" s="538"/>
      <c r="K13" s="547"/>
      <c r="L13" s="540"/>
      <c r="M13" s="539"/>
      <c r="N13" s="539"/>
      <c r="O13" s="539"/>
      <c r="P13" s="538"/>
      <c r="R13" s="547" t="s">
        <v>2346</v>
      </c>
      <c r="S13" s="519">
        <v>0.99</v>
      </c>
      <c r="T13" s="518">
        <v>0.99</v>
      </c>
      <c r="U13" s="518">
        <v>0.99</v>
      </c>
      <c r="V13" s="518">
        <v>0.99</v>
      </c>
      <c r="W13" s="517">
        <v>0.99</v>
      </c>
      <c r="AH13">
        <v>1</v>
      </c>
      <c r="AJ13">
        <v>0.63</v>
      </c>
      <c r="AK13">
        <v>0.53</v>
      </c>
      <c r="AL13">
        <v>0.43</v>
      </c>
      <c r="AM13">
        <v>0.36</v>
      </c>
      <c r="AN13">
        <v>0.3</v>
      </c>
    </row>
    <row r="14" spans="1:40" x14ac:dyDescent="0.2">
      <c r="B14" s="513" t="s">
        <v>2296</v>
      </c>
      <c r="C14" s="512" t="s">
        <v>2353</v>
      </c>
      <c r="D14" s="511" t="s">
        <v>2348</v>
      </c>
      <c r="E14" s="530"/>
      <c r="F14" s="529"/>
      <c r="G14" s="529"/>
      <c r="H14" s="529"/>
      <c r="I14" s="528"/>
      <c r="K14" s="537"/>
      <c r="L14" s="530"/>
      <c r="M14" s="529"/>
      <c r="N14" s="529"/>
      <c r="O14" s="529"/>
      <c r="P14" s="528"/>
      <c r="R14" s="537" t="s">
        <v>2346</v>
      </c>
      <c r="S14" s="510">
        <v>0.9</v>
      </c>
      <c r="T14" s="509">
        <v>0.87</v>
      </c>
      <c r="U14" s="509">
        <v>0.84</v>
      </c>
      <c r="V14" s="509">
        <v>0.82</v>
      </c>
      <c r="W14" s="508">
        <v>0.81</v>
      </c>
      <c r="AH14">
        <v>1</v>
      </c>
      <c r="AI14">
        <v>2</v>
      </c>
      <c r="AJ14">
        <v>0.69</v>
      </c>
      <c r="AK14">
        <v>0.6</v>
      </c>
      <c r="AL14">
        <v>0.52</v>
      </c>
      <c r="AM14">
        <v>0.46</v>
      </c>
      <c r="AN14">
        <v>0.41</v>
      </c>
    </row>
    <row r="15" spans="1:40" x14ac:dyDescent="0.2">
      <c r="B15" s="513" t="s">
        <v>2296</v>
      </c>
      <c r="C15" s="512" t="s">
        <v>2352</v>
      </c>
      <c r="D15" s="511" t="s">
        <v>2348</v>
      </c>
      <c r="E15" s="516">
        <v>0.82</v>
      </c>
      <c r="F15" s="515">
        <v>0.77</v>
      </c>
      <c r="G15" s="515">
        <v>0.72</v>
      </c>
      <c r="H15" s="515">
        <v>0.68</v>
      </c>
      <c r="I15" s="514">
        <v>0.66</v>
      </c>
      <c r="K15" s="546"/>
      <c r="L15" s="545"/>
      <c r="M15" s="544"/>
      <c r="N15" s="544"/>
      <c r="O15" s="544"/>
      <c r="P15" s="543"/>
      <c r="R15" s="537" t="s">
        <v>2346</v>
      </c>
      <c r="S15" s="510">
        <v>0.82</v>
      </c>
      <c r="T15" s="509">
        <v>0.77</v>
      </c>
      <c r="U15" s="509">
        <v>0.72</v>
      </c>
      <c r="V15" s="509">
        <v>0.68</v>
      </c>
      <c r="W15" s="508">
        <v>0.66</v>
      </c>
      <c r="AH15">
        <v>1</v>
      </c>
      <c r="AI15">
        <v>3</v>
      </c>
      <c r="AJ15">
        <v>0.71</v>
      </c>
      <c r="AK15">
        <v>0.63</v>
      </c>
      <c r="AL15">
        <v>0.55000000000000004</v>
      </c>
      <c r="AM15">
        <v>0.49</v>
      </c>
      <c r="AN15">
        <v>0.45</v>
      </c>
    </row>
    <row r="16" spans="1:40" x14ac:dyDescent="0.2">
      <c r="B16" s="513" t="s">
        <v>2296</v>
      </c>
      <c r="C16" s="512" t="s">
        <v>2351</v>
      </c>
      <c r="D16" s="511" t="s">
        <v>2348</v>
      </c>
      <c r="E16" s="510">
        <v>0.79</v>
      </c>
      <c r="F16" s="509">
        <v>0.73</v>
      </c>
      <c r="G16" s="509">
        <v>0.68</v>
      </c>
      <c r="H16" s="509">
        <v>0.64</v>
      </c>
      <c r="I16" s="508">
        <v>0.6</v>
      </c>
      <c r="K16" s="537"/>
      <c r="L16" s="513"/>
      <c r="M16" s="512"/>
      <c r="N16" s="512"/>
      <c r="O16" s="512"/>
      <c r="P16" s="511"/>
      <c r="R16" s="537" t="s">
        <v>2346</v>
      </c>
      <c r="S16" s="510">
        <v>0.79</v>
      </c>
      <c r="T16" s="509">
        <v>0.73</v>
      </c>
      <c r="U16" s="509">
        <v>0.68</v>
      </c>
      <c r="V16" s="509">
        <v>0.64</v>
      </c>
      <c r="W16" s="508">
        <v>0.6</v>
      </c>
    </row>
    <row r="17" spans="2:23" x14ac:dyDescent="0.2">
      <c r="B17" s="513" t="s">
        <v>2296</v>
      </c>
      <c r="C17" s="512" t="s">
        <v>2350</v>
      </c>
      <c r="D17" s="511" t="s">
        <v>2348</v>
      </c>
      <c r="E17" s="510">
        <v>0.76</v>
      </c>
      <c r="F17" s="509">
        <v>0.7</v>
      </c>
      <c r="G17" s="509">
        <v>0.64</v>
      </c>
      <c r="H17" s="509">
        <v>0.59</v>
      </c>
      <c r="I17" s="508">
        <v>0.56000000000000005</v>
      </c>
      <c r="K17" s="537"/>
      <c r="L17" s="513"/>
      <c r="M17" s="512"/>
      <c r="N17" s="512"/>
      <c r="O17" s="512"/>
      <c r="P17" s="511"/>
      <c r="R17" s="537" t="s">
        <v>2346</v>
      </c>
      <c r="S17" s="510">
        <v>0.76</v>
      </c>
      <c r="T17" s="509">
        <v>0.7</v>
      </c>
      <c r="U17" s="509">
        <v>0.64</v>
      </c>
      <c r="V17" s="509">
        <v>0.59</v>
      </c>
      <c r="W17" s="508">
        <v>0.56000000000000005</v>
      </c>
    </row>
    <row r="18" spans="2:23" x14ac:dyDescent="0.2">
      <c r="B18" s="513" t="s">
        <v>2296</v>
      </c>
      <c r="C18" s="512" t="s">
        <v>2349</v>
      </c>
      <c r="D18" s="511" t="s">
        <v>2348</v>
      </c>
      <c r="E18" s="510">
        <v>0.74</v>
      </c>
      <c r="F18" s="509">
        <v>0.67</v>
      </c>
      <c r="G18" s="509">
        <v>0.59</v>
      </c>
      <c r="H18" s="509">
        <v>0.54</v>
      </c>
      <c r="I18" s="508">
        <v>0.5</v>
      </c>
      <c r="K18" s="537" t="s">
        <v>2347</v>
      </c>
      <c r="L18" s="510">
        <v>0.74</v>
      </c>
      <c r="M18" s="509">
        <v>0.67</v>
      </c>
      <c r="N18" s="509">
        <v>0.59</v>
      </c>
      <c r="O18" s="509">
        <v>0.54</v>
      </c>
      <c r="P18" s="508">
        <v>0.5</v>
      </c>
      <c r="R18" s="537" t="s">
        <v>2346</v>
      </c>
      <c r="S18" s="510">
        <v>0.74</v>
      </c>
      <c r="T18" s="509">
        <v>0.67</v>
      </c>
      <c r="U18" s="509">
        <v>0.59</v>
      </c>
      <c r="V18" s="509">
        <v>0.54</v>
      </c>
      <c r="W18" s="508">
        <v>0.5</v>
      </c>
    </row>
    <row r="19" spans="2:23" x14ac:dyDescent="0.2">
      <c r="B19" s="513" t="s">
        <v>2296</v>
      </c>
      <c r="C19" s="512" t="s">
        <v>2344</v>
      </c>
      <c r="D19" s="511" t="s">
        <v>2348</v>
      </c>
      <c r="E19" s="510">
        <v>0.71</v>
      </c>
      <c r="F19" s="509">
        <v>0.63</v>
      </c>
      <c r="G19" s="509">
        <v>0.55000000000000004</v>
      </c>
      <c r="H19" s="509">
        <v>0.5</v>
      </c>
      <c r="I19" s="508">
        <v>0.45</v>
      </c>
      <c r="K19" s="537" t="s">
        <v>2347</v>
      </c>
      <c r="L19" s="510">
        <v>0.71</v>
      </c>
      <c r="M19" s="509">
        <v>0.63</v>
      </c>
      <c r="N19" s="509">
        <v>0.55000000000000004</v>
      </c>
      <c r="O19" s="509">
        <v>0.5</v>
      </c>
      <c r="P19" s="508">
        <v>0.45</v>
      </c>
      <c r="R19" s="537" t="s">
        <v>2346</v>
      </c>
      <c r="S19" s="510">
        <v>0.71</v>
      </c>
      <c r="T19" s="509">
        <v>0.63</v>
      </c>
      <c r="U19" s="509">
        <v>0.55000000000000004</v>
      </c>
      <c r="V19" s="509">
        <v>0.5</v>
      </c>
      <c r="W19" s="508">
        <v>0.45</v>
      </c>
    </row>
    <row r="20" spans="2:23" x14ac:dyDescent="0.2">
      <c r="B20" s="513" t="s">
        <v>2296</v>
      </c>
      <c r="C20" s="512" t="s">
        <v>2343</v>
      </c>
      <c r="D20" s="511" t="s">
        <v>2348</v>
      </c>
      <c r="E20" s="510">
        <v>0.68</v>
      </c>
      <c r="F20" s="509">
        <v>0.6</v>
      </c>
      <c r="G20" s="509">
        <v>0.51</v>
      </c>
      <c r="H20" s="509">
        <v>0.45</v>
      </c>
      <c r="I20" s="508">
        <v>0.4</v>
      </c>
      <c r="K20" s="537" t="s">
        <v>2347</v>
      </c>
      <c r="L20" s="510">
        <v>0.68</v>
      </c>
      <c r="M20" s="509">
        <v>0.6</v>
      </c>
      <c r="N20" s="509">
        <v>0.51</v>
      </c>
      <c r="O20" s="509">
        <v>0.45</v>
      </c>
      <c r="P20" s="508">
        <v>0.4</v>
      </c>
      <c r="R20" s="537" t="s">
        <v>2346</v>
      </c>
      <c r="S20" s="510">
        <v>0.68</v>
      </c>
      <c r="T20" s="509">
        <v>0.6</v>
      </c>
      <c r="U20" s="509">
        <v>0.51</v>
      </c>
      <c r="V20" s="509">
        <v>0.45</v>
      </c>
      <c r="W20" s="508">
        <v>0.4</v>
      </c>
    </row>
    <row r="21" spans="2:23" x14ac:dyDescent="0.2">
      <c r="B21" s="513" t="s">
        <v>2296</v>
      </c>
      <c r="C21" s="512" t="s">
        <v>2342</v>
      </c>
      <c r="D21" s="511" t="s">
        <v>2348</v>
      </c>
      <c r="E21" s="510">
        <v>0.74</v>
      </c>
      <c r="F21" s="509">
        <v>0.67</v>
      </c>
      <c r="G21" s="509">
        <v>0.6</v>
      </c>
      <c r="H21" s="509">
        <v>0.55000000000000004</v>
      </c>
      <c r="I21" s="508">
        <v>0.51</v>
      </c>
      <c r="K21" s="537" t="s">
        <v>2347</v>
      </c>
      <c r="L21" s="510">
        <v>0.74</v>
      </c>
      <c r="M21" s="509">
        <v>0.67</v>
      </c>
      <c r="N21" s="509">
        <v>0.6</v>
      </c>
      <c r="O21" s="509">
        <v>0.55000000000000004</v>
      </c>
      <c r="P21" s="508">
        <v>0.51</v>
      </c>
      <c r="R21" s="537" t="s">
        <v>2346</v>
      </c>
      <c r="S21" s="510">
        <v>0.74</v>
      </c>
      <c r="T21" s="509">
        <v>0.67</v>
      </c>
      <c r="U21" s="509">
        <v>0.6</v>
      </c>
      <c r="V21" s="509">
        <v>0.55000000000000004</v>
      </c>
      <c r="W21" s="508">
        <v>0.51</v>
      </c>
    </row>
    <row r="22" spans="2:23" x14ac:dyDescent="0.2">
      <c r="B22" s="513" t="s">
        <v>2296</v>
      </c>
      <c r="C22" s="512" t="s">
        <v>2321</v>
      </c>
      <c r="D22" s="511" t="s">
        <v>2348</v>
      </c>
      <c r="E22" s="510">
        <v>0.71</v>
      </c>
      <c r="F22" s="509">
        <v>0.63</v>
      </c>
      <c r="G22" s="509">
        <v>0.55000000000000004</v>
      </c>
      <c r="H22" s="509">
        <v>0.5</v>
      </c>
      <c r="I22" s="508">
        <v>0.45</v>
      </c>
      <c r="K22" s="537" t="s">
        <v>2347</v>
      </c>
      <c r="L22" s="510">
        <v>0.71</v>
      </c>
      <c r="M22" s="509">
        <v>0.63</v>
      </c>
      <c r="N22" s="509">
        <v>0.55000000000000004</v>
      </c>
      <c r="O22" s="509">
        <v>0.5</v>
      </c>
      <c r="P22" s="508">
        <v>0.45</v>
      </c>
      <c r="R22" s="537" t="s">
        <v>2346</v>
      </c>
      <c r="S22" s="510">
        <v>0.71</v>
      </c>
      <c r="T22" s="509">
        <v>0.63</v>
      </c>
      <c r="U22" s="509">
        <v>0.55000000000000004</v>
      </c>
      <c r="V22" s="509">
        <v>0.5</v>
      </c>
      <c r="W22" s="508">
        <v>0.45</v>
      </c>
    </row>
    <row r="23" spans="2:23" x14ac:dyDescent="0.2">
      <c r="B23" s="513" t="s">
        <v>2296</v>
      </c>
      <c r="C23" s="512" t="s">
        <v>2320</v>
      </c>
      <c r="D23" s="511" t="s">
        <v>2348</v>
      </c>
      <c r="E23" s="510">
        <v>0.68</v>
      </c>
      <c r="F23" s="509">
        <v>0.6</v>
      </c>
      <c r="G23" s="509">
        <v>0.51</v>
      </c>
      <c r="H23" s="509">
        <v>0.45</v>
      </c>
      <c r="I23" s="508">
        <v>0.4</v>
      </c>
      <c r="K23" s="537" t="s">
        <v>2347</v>
      </c>
      <c r="L23" s="510">
        <v>0.68</v>
      </c>
      <c r="M23" s="509">
        <v>0.6</v>
      </c>
      <c r="N23" s="509">
        <v>0.51</v>
      </c>
      <c r="O23" s="509">
        <v>0.45</v>
      </c>
      <c r="P23" s="508">
        <v>0.4</v>
      </c>
      <c r="R23" s="537" t="s">
        <v>2346</v>
      </c>
      <c r="S23" s="510">
        <v>0.68</v>
      </c>
      <c r="T23" s="509">
        <v>0.6</v>
      </c>
      <c r="U23" s="509">
        <v>0.51</v>
      </c>
      <c r="V23" s="509">
        <v>0.45</v>
      </c>
      <c r="W23" s="508">
        <v>0.4</v>
      </c>
    </row>
    <row r="24" spans="2:23" x14ac:dyDescent="0.2">
      <c r="B24" s="513" t="s">
        <v>2296</v>
      </c>
      <c r="C24" s="512" t="s">
        <v>2319</v>
      </c>
      <c r="D24" s="511" t="s">
        <v>2348</v>
      </c>
      <c r="E24" s="510">
        <v>0.66</v>
      </c>
      <c r="F24" s="509">
        <v>0.6</v>
      </c>
      <c r="G24" s="509">
        <v>0.51</v>
      </c>
      <c r="H24" s="509">
        <v>0.45</v>
      </c>
      <c r="I24" s="508">
        <v>0.4</v>
      </c>
      <c r="K24" s="537" t="s">
        <v>2347</v>
      </c>
      <c r="L24" s="510">
        <v>0.66</v>
      </c>
      <c r="M24" s="509">
        <v>0.6</v>
      </c>
      <c r="N24" s="509">
        <v>0.51</v>
      </c>
      <c r="O24" s="509">
        <v>0.45</v>
      </c>
      <c r="P24" s="508">
        <v>0.4</v>
      </c>
      <c r="R24" s="537" t="s">
        <v>2346</v>
      </c>
      <c r="S24" s="510">
        <v>0.66</v>
      </c>
      <c r="T24" s="509">
        <v>0.6</v>
      </c>
      <c r="U24" s="509">
        <v>0.51</v>
      </c>
      <c r="V24" s="509">
        <v>0.45</v>
      </c>
      <c r="W24" s="508">
        <v>0.4</v>
      </c>
    </row>
    <row r="25" spans="2:23" x14ac:dyDescent="0.2">
      <c r="B25" s="513" t="s">
        <v>2296</v>
      </c>
      <c r="C25" s="512" t="s">
        <v>2341</v>
      </c>
      <c r="D25" s="511" t="s">
        <v>2348</v>
      </c>
      <c r="E25" s="510">
        <v>0.73</v>
      </c>
      <c r="F25" s="509">
        <v>0.65</v>
      </c>
      <c r="G25" s="509">
        <v>0.57999999999999996</v>
      </c>
      <c r="H25" s="509">
        <v>0.52</v>
      </c>
      <c r="I25" s="508">
        <v>0.48</v>
      </c>
      <c r="K25" s="537" t="s">
        <v>2347</v>
      </c>
      <c r="L25" s="510">
        <v>0.73</v>
      </c>
      <c r="M25" s="509">
        <v>0.65</v>
      </c>
      <c r="N25" s="509">
        <v>0.57999999999999996</v>
      </c>
      <c r="O25" s="509">
        <v>0.52</v>
      </c>
      <c r="P25" s="508">
        <v>0.48</v>
      </c>
      <c r="R25" s="537" t="s">
        <v>2346</v>
      </c>
      <c r="S25" s="510">
        <v>0.73</v>
      </c>
      <c r="T25" s="509">
        <v>0.65</v>
      </c>
      <c r="U25" s="509">
        <v>0.57999999999999996</v>
      </c>
      <c r="V25" s="509">
        <v>0.52</v>
      </c>
      <c r="W25" s="508">
        <v>0.48</v>
      </c>
    </row>
    <row r="26" spans="2:23" x14ac:dyDescent="0.2">
      <c r="B26" s="513" t="s">
        <v>2296</v>
      </c>
      <c r="C26" s="512" t="s">
        <v>2317</v>
      </c>
      <c r="D26" s="511" t="s">
        <v>2348</v>
      </c>
      <c r="E26" s="510">
        <v>0.7</v>
      </c>
      <c r="F26" s="509">
        <v>0.62</v>
      </c>
      <c r="G26" s="509">
        <v>0.53</v>
      </c>
      <c r="H26" s="509">
        <v>0.48</v>
      </c>
      <c r="I26" s="508">
        <v>0.43</v>
      </c>
      <c r="K26" s="537" t="s">
        <v>2347</v>
      </c>
      <c r="L26" s="510">
        <v>0.7</v>
      </c>
      <c r="M26" s="509">
        <v>0.62</v>
      </c>
      <c r="N26" s="509">
        <v>0.53</v>
      </c>
      <c r="O26" s="509">
        <v>0.48</v>
      </c>
      <c r="P26" s="508">
        <v>0.43</v>
      </c>
      <c r="R26" s="537" t="s">
        <v>2346</v>
      </c>
      <c r="S26" s="510">
        <v>0.7</v>
      </c>
      <c r="T26" s="509">
        <v>0.62</v>
      </c>
      <c r="U26" s="509">
        <v>0.53</v>
      </c>
      <c r="V26" s="509">
        <v>0.48</v>
      </c>
      <c r="W26" s="508">
        <v>0.43</v>
      </c>
    </row>
    <row r="27" spans="2:23" x14ac:dyDescent="0.2">
      <c r="B27" s="513" t="s">
        <v>2296</v>
      </c>
      <c r="C27" s="512" t="s">
        <v>2316</v>
      </c>
      <c r="D27" s="511" t="s">
        <v>2348</v>
      </c>
      <c r="E27" s="510">
        <v>0.67</v>
      </c>
      <c r="F27" s="509">
        <v>0.57999999999999996</v>
      </c>
      <c r="G27" s="509">
        <v>0.49</v>
      </c>
      <c r="H27" s="509">
        <v>0.43</v>
      </c>
      <c r="I27" s="508">
        <v>0.38</v>
      </c>
      <c r="K27" s="537" t="s">
        <v>2347</v>
      </c>
      <c r="L27" s="510">
        <v>0.67</v>
      </c>
      <c r="M27" s="509">
        <v>0.57999999999999996</v>
      </c>
      <c r="N27" s="509">
        <v>0.49</v>
      </c>
      <c r="O27" s="509">
        <v>0.43</v>
      </c>
      <c r="P27" s="508">
        <v>0.38</v>
      </c>
      <c r="R27" s="537" t="s">
        <v>2346</v>
      </c>
      <c r="S27" s="510">
        <v>0.67</v>
      </c>
      <c r="T27" s="509">
        <v>0.57999999999999996</v>
      </c>
      <c r="U27" s="509">
        <v>0.49</v>
      </c>
      <c r="V27" s="509">
        <v>0.43</v>
      </c>
      <c r="W27" s="508">
        <v>0.38</v>
      </c>
    </row>
    <row r="28" spans="2:23" x14ac:dyDescent="0.2">
      <c r="B28" s="513" t="s">
        <v>2296</v>
      </c>
      <c r="C28" s="512" t="s">
        <v>2315</v>
      </c>
      <c r="D28" s="511" t="s">
        <v>2348</v>
      </c>
      <c r="E28" s="510">
        <v>0.64</v>
      </c>
      <c r="F28" s="509">
        <v>0.55000000000000004</v>
      </c>
      <c r="G28" s="509">
        <v>0.45</v>
      </c>
      <c r="H28" s="509">
        <v>0.38</v>
      </c>
      <c r="I28" s="508">
        <v>0.33</v>
      </c>
      <c r="K28" s="537" t="s">
        <v>2347</v>
      </c>
      <c r="L28" s="510">
        <v>0.64</v>
      </c>
      <c r="M28" s="509">
        <v>0.55000000000000004</v>
      </c>
      <c r="N28" s="509">
        <v>0.45</v>
      </c>
      <c r="O28" s="509">
        <v>0.38</v>
      </c>
      <c r="P28" s="508">
        <v>0.33</v>
      </c>
      <c r="R28" s="537" t="s">
        <v>2346</v>
      </c>
      <c r="S28" s="510">
        <v>0.64</v>
      </c>
      <c r="T28" s="509">
        <v>0.55000000000000004</v>
      </c>
      <c r="U28" s="509">
        <v>0.45</v>
      </c>
      <c r="V28" s="509">
        <v>0.38</v>
      </c>
      <c r="W28" s="508">
        <v>0.33</v>
      </c>
    </row>
    <row r="29" spans="2:23" x14ac:dyDescent="0.2">
      <c r="B29" s="513" t="s">
        <v>2296</v>
      </c>
      <c r="C29" s="512" t="s">
        <v>2340</v>
      </c>
      <c r="D29" s="511" t="s">
        <v>2348</v>
      </c>
      <c r="E29" s="510">
        <v>0.69</v>
      </c>
      <c r="F29" s="509">
        <v>0.61</v>
      </c>
      <c r="G29" s="509">
        <v>0.52</v>
      </c>
      <c r="H29" s="509">
        <v>0.46</v>
      </c>
      <c r="I29" s="508">
        <v>0.42</v>
      </c>
      <c r="K29" s="537" t="s">
        <v>2347</v>
      </c>
      <c r="L29" s="510">
        <v>0.69</v>
      </c>
      <c r="M29" s="509">
        <v>0.61</v>
      </c>
      <c r="N29" s="509">
        <v>0.52</v>
      </c>
      <c r="O29" s="509">
        <v>0.46</v>
      </c>
      <c r="P29" s="508">
        <v>0.42</v>
      </c>
      <c r="R29" s="537" t="s">
        <v>2346</v>
      </c>
      <c r="S29" s="510">
        <v>0.69</v>
      </c>
      <c r="T29" s="509">
        <v>0.61</v>
      </c>
      <c r="U29" s="509">
        <v>0.52</v>
      </c>
      <c r="V29" s="509">
        <v>0.46</v>
      </c>
      <c r="W29" s="508">
        <v>0.42</v>
      </c>
    </row>
    <row r="30" spans="2:23" x14ac:dyDescent="0.2">
      <c r="B30" s="513" t="s">
        <v>2296</v>
      </c>
      <c r="C30" s="512" t="s">
        <v>2313</v>
      </c>
      <c r="D30" s="511" t="s">
        <v>2348</v>
      </c>
      <c r="E30" s="510">
        <v>0.66</v>
      </c>
      <c r="F30" s="509">
        <v>0.56999999999999995</v>
      </c>
      <c r="G30" s="509">
        <v>0.48</v>
      </c>
      <c r="H30" s="509">
        <v>0.42</v>
      </c>
      <c r="I30" s="508">
        <v>0.37</v>
      </c>
      <c r="K30" s="537" t="s">
        <v>2347</v>
      </c>
      <c r="L30" s="510">
        <v>0.66</v>
      </c>
      <c r="M30" s="509">
        <v>0.56999999999999995</v>
      </c>
      <c r="N30" s="509">
        <v>0.48</v>
      </c>
      <c r="O30" s="509">
        <v>0.42</v>
      </c>
      <c r="P30" s="508">
        <v>0.37</v>
      </c>
      <c r="R30" s="537" t="s">
        <v>2346</v>
      </c>
      <c r="S30" s="510">
        <v>0.66</v>
      </c>
      <c r="T30" s="509">
        <v>0.56999999999999995</v>
      </c>
      <c r="U30" s="509">
        <v>0.48</v>
      </c>
      <c r="V30" s="509">
        <v>0.42</v>
      </c>
      <c r="W30" s="508">
        <v>0.37</v>
      </c>
    </row>
    <row r="31" spans="2:23" x14ac:dyDescent="0.2">
      <c r="B31" s="513" t="s">
        <v>2296</v>
      </c>
      <c r="C31" s="512" t="s">
        <v>2312</v>
      </c>
      <c r="D31" s="511" t="s">
        <v>2348</v>
      </c>
      <c r="E31" s="510">
        <v>0.64</v>
      </c>
      <c r="F31" s="509">
        <v>0.54</v>
      </c>
      <c r="G31" s="509">
        <v>0.44</v>
      </c>
      <c r="H31" s="509">
        <v>0.37</v>
      </c>
      <c r="I31" s="508">
        <v>0.32</v>
      </c>
      <c r="K31" s="537" t="s">
        <v>2347</v>
      </c>
      <c r="L31" s="510">
        <v>0.64</v>
      </c>
      <c r="M31" s="509">
        <v>0.54</v>
      </c>
      <c r="N31" s="509">
        <v>0.44</v>
      </c>
      <c r="O31" s="509">
        <v>0.37</v>
      </c>
      <c r="P31" s="508">
        <v>0.32</v>
      </c>
      <c r="R31" s="537" t="s">
        <v>2346</v>
      </c>
      <c r="S31" s="510">
        <v>0.64</v>
      </c>
      <c r="T31" s="509">
        <v>0.54</v>
      </c>
      <c r="U31" s="509">
        <v>0.44</v>
      </c>
      <c r="V31" s="509">
        <v>0.37</v>
      </c>
      <c r="W31" s="508">
        <v>0.32</v>
      </c>
    </row>
    <row r="32" spans="2:23" x14ac:dyDescent="0.2">
      <c r="B32" s="513" t="s">
        <v>2296</v>
      </c>
      <c r="C32" s="512" t="s">
        <v>2339</v>
      </c>
      <c r="D32" s="511" t="s">
        <v>2348</v>
      </c>
      <c r="E32" s="510">
        <v>0.68</v>
      </c>
      <c r="F32" s="509">
        <v>0.6</v>
      </c>
      <c r="G32" s="509">
        <v>0.51</v>
      </c>
      <c r="H32" s="509">
        <v>0.45</v>
      </c>
      <c r="I32" s="508">
        <v>0.4</v>
      </c>
      <c r="K32" s="537" t="s">
        <v>2347</v>
      </c>
      <c r="L32" s="510">
        <v>0.68</v>
      </c>
      <c r="M32" s="509">
        <v>0.6</v>
      </c>
      <c r="N32" s="509">
        <v>0.51</v>
      </c>
      <c r="O32" s="509">
        <v>0.45</v>
      </c>
      <c r="P32" s="508">
        <v>0.4</v>
      </c>
      <c r="R32" s="537" t="s">
        <v>2346</v>
      </c>
      <c r="S32" s="510">
        <v>0.68</v>
      </c>
      <c r="T32" s="509">
        <v>0.6</v>
      </c>
      <c r="U32" s="509">
        <v>0.51</v>
      </c>
      <c r="V32" s="509">
        <v>0.45</v>
      </c>
      <c r="W32" s="508">
        <v>0.4</v>
      </c>
    </row>
    <row r="33" spans="2:23" x14ac:dyDescent="0.2">
      <c r="B33" s="513" t="s">
        <v>2296</v>
      </c>
      <c r="C33" s="512" t="s">
        <v>2310</v>
      </c>
      <c r="D33" s="511" t="s">
        <v>2348</v>
      </c>
      <c r="E33" s="510">
        <v>0.65</v>
      </c>
      <c r="F33" s="509">
        <v>0.56000000000000005</v>
      </c>
      <c r="G33" s="509">
        <v>0.47</v>
      </c>
      <c r="H33" s="509">
        <v>0.4</v>
      </c>
      <c r="I33" s="508">
        <v>0.35</v>
      </c>
      <c r="K33" s="537" t="s">
        <v>2347</v>
      </c>
      <c r="L33" s="510">
        <v>0.65</v>
      </c>
      <c r="M33" s="509">
        <v>0.56000000000000005</v>
      </c>
      <c r="N33" s="509">
        <v>0.47</v>
      </c>
      <c r="O33" s="509">
        <v>0.4</v>
      </c>
      <c r="P33" s="508">
        <v>0.35</v>
      </c>
      <c r="R33" s="537" t="s">
        <v>2346</v>
      </c>
      <c r="S33" s="510">
        <v>0.65</v>
      </c>
      <c r="T33" s="509">
        <v>0.56000000000000005</v>
      </c>
      <c r="U33" s="509">
        <v>0.47</v>
      </c>
      <c r="V33" s="509">
        <v>0.4</v>
      </c>
      <c r="W33" s="508">
        <v>0.35</v>
      </c>
    </row>
    <row r="34" spans="2:23" x14ac:dyDescent="0.2">
      <c r="B34" s="513" t="s">
        <v>2296</v>
      </c>
      <c r="C34" s="512" t="s">
        <v>2309</v>
      </c>
      <c r="D34" s="511" t="s">
        <v>2348</v>
      </c>
      <c r="E34" s="510">
        <v>0.63</v>
      </c>
      <c r="F34" s="509">
        <v>0.53</v>
      </c>
      <c r="G34" s="509">
        <v>0.43</v>
      </c>
      <c r="H34" s="509">
        <v>0.35</v>
      </c>
      <c r="I34" s="508">
        <v>0.3</v>
      </c>
      <c r="K34" s="537" t="s">
        <v>2347</v>
      </c>
      <c r="L34" s="510">
        <v>0.63</v>
      </c>
      <c r="M34" s="509">
        <v>0.53</v>
      </c>
      <c r="N34" s="509">
        <v>0.43</v>
      </c>
      <c r="O34" s="509">
        <v>0.35</v>
      </c>
      <c r="P34" s="508">
        <v>0.3</v>
      </c>
      <c r="R34" s="537" t="s">
        <v>2346</v>
      </c>
      <c r="S34" s="510">
        <v>0.63</v>
      </c>
      <c r="T34" s="509">
        <v>0.53</v>
      </c>
      <c r="U34" s="509">
        <v>0.43</v>
      </c>
      <c r="V34" s="509">
        <v>0.35</v>
      </c>
      <c r="W34" s="508">
        <v>0.3</v>
      </c>
    </row>
    <row r="35" spans="2:23" x14ac:dyDescent="0.2">
      <c r="B35" s="513" t="s">
        <v>2296</v>
      </c>
      <c r="C35" s="512" t="s">
        <v>2338</v>
      </c>
      <c r="D35" s="511" t="s">
        <v>2348</v>
      </c>
      <c r="E35" s="510">
        <v>0.67</v>
      </c>
      <c r="F35" s="509">
        <v>0.57999999999999996</v>
      </c>
      <c r="G35" s="509">
        <v>0.49</v>
      </c>
      <c r="H35" s="509">
        <v>0.42</v>
      </c>
      <c r="I35" s="508">
        <v>0.37</v>
      </c>
      <c r="K35" s="537" t="s">
        <v>2347</v>
      </c>
      <c r="L35" s="510">
        <v>0.67</v>
      </c>
      <c r="M35" s="509">
        <v>0.57999999999999996</v>
      </c>
      <c r="N35" s="509">
        <v>0.49</v>
      </c>
      <c r="O35" s="509">
        <v>0.42</v>
      </c>
      <c r="P35" s="508">
        <v>0.37</v>
      </c>
      <c r="R35" s="537" t="s">
        <v>2346</v>
      </c>
      <c r="S35" s="510">
        <v>0.67</v>
      </c>
      <c r="T35" s="509">
        <v>0.57999999999999996</v>
      </c>
      <c r="U35" s="509">
        <v>0.49</v>
      </c>
      <c r="V35" s="509">
        <v>0.42</v>
      </c>
      <c r="W35" s="508">
        <v>0.37</v>
      </c>
    </row>
    <row r="36" spans="2:23" x14ac:dyDescent="0.2">
      <c r="B36" s="513" t="s">
        <v>2296</v>
      </c>
      <c r="C36" s="512" t="s">
        <v>2307</v>
      </c>
      <c r="D36" s="511" t="s">
        <v>2348</v>
      </c>
      <c r="E36" s="510">
        <v>0.64</v>
      </c>
      <c r="F36" s="509">
        <v>0.54</v>
      </c>
      <c r="G36" s="509">
        <v>0.44</v>
      </c>
      <c r="H36" s="509">
        <v>0.38</v>
      </c>
      <c r="I36" s="508">
        <v>0.32</v>
      </c>
      <c r="K36" s="537" t="s">
        <v>2347</v>
      </c>
      <c r="L36" s="510">
        <v>0.64</v>
      </c>
      <c r="M36" s="509">
        <v>0.54</v>
      </c>
      <c r="N36" s="509">
        <v>0.44</v>
      </c>
      <c r="O36" s="509">
        <v>0.38</v>
      </c>
      <c r="P36" s="508">
        <v>0.32</v>
      </c>
      <c r="R36" s="537" t="s">
        <v>2346</v>
      </c>
      <c r="S36" s="510">
        <v>0.64</v>
      </c>
      <c r="T36" s="509">
        <v>0.54</v>
      </c>
      <c r="U36" s="509">
        <v>0.44</v>
      </c>
      <c r="V36" s="509">
        <v>0.38</v>
      </c>
      <c r="W36" s="508">
        <v>0.32</v>
      </c>
    </row>
    <row r="37" spans="2:23" x14ac:dyDescent="0.2">
      <c r="B37" s="513" t="s">
        <v>2296</v>
      </c>
      <c r="C37" s="512" t="s">
        <v>2306</v>
      </c>
      <c r="D37" s="511" t="s">
        <v>2348</v>
      </c>
      <c r="E37" s="510">
        <v>0.61</v>
      </c>
      <c r="F37" s="509">
        <v>0.51</v>
      </c>
      <c r="G37" s="509">
        <v>0.4</v>
      </c>
      <c r="H37" s="509">
        <v>0.33</v>
      </c>
      <c r="I37" s="508">
        <v>0.27</v>
      </c>
      <c r="K37" s="537" t="s">
        <v>2347</v>
      </c>
      <c r="L37" s="510">
        <v>0.61</v>
      </c>
      <c r="M37" s="509">
        <v>0.51</v>
      </c>
      <c r="N37" s="509">
        <v>0.4</v>
      </c>
      <c r="O37" s="509">
        <v>0.33</v>
      </c>
      <c r="P37" s="508">
        <v>0.27</v>
      </c>
      <c r="R37" s="537" t="s">
        <v>2346</v>
      </c>
      <c r="S37" s="510">
        <v>0.61</v>
      </c>
      <c r="T37" s="509">
        <v>0.51</v>
      </c>
      <c r="U37" s="509">
        <v>0.4</v>
      </c>
      <c r="V37" s="509">
        <v>0.33</v>
      </c>
      <c r="W37" s="508">
        <v>0.27</v>
      </c>
    </row>
    <row r="38" spans="2:23" x14ac:dyDescent="0.2">
      <c r="B38" s="513" t="s">
        <v>2296</v>
      </c>
      <c r="C38" s="512" t="s">
        <v>2337</v>
      </c>
      <c r="D38" s="511" t="s">
        <v>2348</v>
      </c>
      <c r="E38" s="510">
        <v>0.66</v>
      </c>
      <c r="F38" s="509">
        <v>0.56999999999999995</v>
      </c>
      <c r="G38" s="509">
        <v>0.48</v>
      </c>
      <c r="H38" s="509">
        <v>0.41</v>
      </c>
      <c r="I38" s="508">
        <v>0.36</v>
      </c>
      <c r="K38" s="537" t="s">
        <v>2347</v>
      </c>
      <c r="L38" s="510">
        <v>0.66</v>
      </c>
      <c r="M38" s="509">
        <v>0.56999999999999995</v>
      </c>
      <c r="N38" s="509">
        <v>0.48</v>
      </c>
      <c r="O38" s="509">
        <v>0.41</v>
      </c>
      <c r="P38" s="508">
        <v>0.36</v>
      </c>
      <c r="R38" s="537" t="s">
        <v>2346</v>
      </c>
      <c r="S38" s="510">
        <v>0.66</v>
      </c>
      <c r="T38" s="509">
        <v>0.56999999999999995</v>
      </c>
      <c r="U38" s="509">
        <v>0.48</v>
      </c>
      <c r="V38" s="509">
        <v>0.41</v>
      </c>
      <c r="W38" s="508">
        <v>0.36</v>
      </c>
    </row>
    <row r="39" spans="2:23" x14ac:dyDescent="0.2">
      <c r="B39" s="513" t="s">
        <v>2296</v>
      </c>
      <c r="C39" s="512" t="s">
        <v>2304</v>
      </c>
      <c r="D39" s="511" t="s">
        <v>2348</v>
      </c>
      <c r="E39" s="510">
        <v>0.64</v>
      </c>
      <c r="F39" s="509">
        <v>0.54</v>
      </c>
      <c r="G39" s="509">
        <v>0.44</v>
      </c>
      <c r="H39" s="509">
        <v>0.37</v>
      </c>
      <c r="I39" s="508">
        <v>0.31</v>
      </c>
      <c r="K39" s="537" t="s">
        <v>2347</v>
      </c>
      <c r="L39" s="510">
        <v>0.64</v>
      </c>
      <c r="M39" s="509">
        <v>0.54</v>
      </c>
      <c r="N39" s="509">
        <v>0.44</v>
      </c>
      <c r="O39" s="509">
        <v>0.37</v>
      </c>
      <c r="P39" s="508">
        <v>0.31</v>
      </c>
      <c r="R39" s="537" t="s">
        <v>2346</v>
      </c>
      <c r="S39" s="510">
        <v>0.64</v>
      </c>
      <c r="T39" s="509">
        <v>0.54</v>
      </c>
      <c r="U39" s="509">
        <v>0.44</v>
      </c>
      <c r="V39" s="509">
        <v>0.37</v>
      </c>
      <c r="W39" s="508">
        <v>0.31</v>
      </c>
    </row>
    <row r="40" spans="2:23" x14ac:dyDescent="0.2">
      <c r="B40" s="513" t="s">
        <v>2296</v>
      </c>
      <c r="C40" s="512" t="s">
        <v>2303</v>
      </c>
      <c r="D40" s="511" t="s">
        <v>2348</v>
      </c>
      <c r="E40" s="510">
        <v>0.61</v>
      </c>
      <c r="F40" s="509">
        <v>0.5</v>
      </c>
      <c r="G40" s="509">
        <v>0.4</v>
      </c>
      <c r="H40" s="509">
        <v>0.32</v>
      </c>
      <c r="I40" s="508">
        <v>0.26</v>
      </c>
      <c r="K40" s="537" t="s">
        <v>2347</v>
      </c>
      <c r="L40" s="510">
        <v>0.61</v>
      </c>
      <c r="M40" s="509">
        <v>0.5</v>
      </c>
      <c r="N40" s="509">
        <v>0.4</v>
      </c>
      <c r="O40" s="509">
        <v>0.32</v>
      </c>
      <c r="P40" s="508">
        <v>0.26</v>
      </c>
      <c r="R40" s="537" t="s">
        <v>2346</v>
      </c>
      <c r="S40" s="510">
        <v>0.61</v>
      </c>
      <c r="T40" s="509">
        <v>0.5</v>
      </c>
      <c r="U40" s="509">
        <v>0.4</v>
      </c>
      <c r="V40" s="509">
        <v>0.32</v>
      </c>
      <c r="W40" s="508">
        <v>0.26</v>
      </c>
    </row>
    <row r="41" spans="2:23" x14ac:dyDescent="0.2">
      <c r="B41" s="513" t="s">
        <v>2296</v>
      </c>
      <c r="C41" s="512" t="s">
        <v>2302</v>
      </c>
      <c r="D41" s="511" t="s">
        <v>2348</v>
      </c>
      <c r="E41" s="510">
        <v>0.59</v>
      </c>
      <c r="F41" s="509">
        <v>0.48</v>
      </c>
      <c r="G41" s="509">
        <v>0.37</v>
      </c>
      <c r="H41" s="509">
        <v>0.28999999999999998</v>
      </c>
      <c r="I41" s="508">
        <v>0.22</v>
      </c>
      <c r="K41" s="537" t="s">
        <v>2347</v>
      </c>
      <c r="L41" s="510">
        <v>0.59</v>
      </c>
      <c r="M41" s="509">
        <v>0.48</v>
      </c>
      <c r="N41" s="509">
        <v>0.37</v>
      </c>
      <c r="O41" s="509">
        <v>0.28999999999999998</v>
      </c>
      <c r="P41" s="508">
        <v>0.22</v>
      </c>
      <c r="R41" s="537" t="s">
        <v>2346</v>
      </c>
      <c r="S41" s="510">
        <v>0.59</v>
      </c>
      <c r="T41" s="509">
        <v>0.48</v>
      </c>
      <c r="U41" s="509">
        <v>0.37</v>
      </c>
      <c r="V41" s="509">
        <v>0.28999999999999998</v>
      </c>
      <c r="W41" s="508">
        <v>0.22</v>
      </c>
    </row>
    <row r="42" spans="2:23" x14ac:dyDescent="0.2">
      <c r="B42" s="513" t="s">
        <v>2296</v>
      </c>
      <c r="C42" s="512" t="s">
        <v>2301</v>
      </c>
      <c r="D42" s="511" t="s">
        <v>2348</v>
      </c>
      <c r="E42" s="510">
        <v>0.62</v>
      </c>
      <c r="F42" s="509">
        <v>0.52</v>
      </c>
      <c r="G42" s="509">
        <v>0.42</v>
      </c>
      <c r="H42" s="509">
        <v>0.35</v>
      </c>
      <c r="I42" s="508">
        <v>0.28999999999999998</v>
      </c>
      <c r="K42" s="537" t="s">
        <v>2347</v>
      </c>
      <c r="L42" s="510">
        <v>0.62</v>
      </c>
      <c r="M42" s="509">
        <v>0.52</v>
      </c>
      <c r="N42" s="509">
        <v>0.42</v>
      </c>
      <c r="O42" s="509">
        <v>0.35</v>
      </c>
      <c r="P42" s="508">
        <v>0.28999999999999998</v>
      </c>
      <c r="R42" s="537" t="s">
        <v>2346</v>
      </c>
      <c r="S42" s="510">
        <v>0.62</v>
      </c>
      <c r="T42" s="509">
        <v>0.52</v>
      </c>
      <c r="U42" s="509">
        <v>0.42</v>
      </c>
      <c r="V42" s="509">
        <v>0.35</v>
      </c>
      <c r="W42" s="508">
        <v>0.28999999999999998</v>
      </c>
    </row>
    <row r="43" spans="2:23" x14ac:dyDescent="0.2">
      <c r="B43" s="513" t="s">
        <v>2296</v>
      </c>
      <c r="C43" s="512" t="s">
        <v>2300</v>
      </c>
      <c r="D43" s="511" t="s">
        <v>2348</v>
      </c>
      <c r="E43" s="510">
        <v>0.59</v>
      </c>
      <c r="F43" s="509">
        <v>0.48</v>
      </c>
      <c r="G43" s="509">
        <v>0.37</v>
      </c>
      <c r="H43" s="509">
        <v>0.28999999999999998</v>
      </c>
      <c r="I43" s="508">
        <v>0.23</v>
      </c>
      <c r="K43" s="537" t="s">
        <v>2347</v>
      </c>
      <c r="L43" s="510">
        <v>0.59</v>
      </c>
      <c r="M43" s="509">
        <v>0.48</v>
      </c>
      <c r="N43" s="509">
        <v>0.37</v>
      </c>
      <c r="O43" s="509">
        <v>0.28999999999999998</v>
      </c>
      <c r="P43" s="508">
        <v>0.23</v>
      </c>
      <c r="R43" s="537" t="s">
        <v>2346</v>
      </c>
      <c r="S43" s="510">
        <v>0.59</v>
      </c>
      <c r="T43" s="509">
        <v>0.48</v>
      </c>
      <c r="U43" s="509">
        <v>0.37</v>
      </c>
      <c r="V43" s="509">
        <v>0.28999999999999998</v>
      </c>
      <c r="W43" s="508">
        <v>0.23</v>
      </c>
    </row>
    <row r="44" spans="2:23" x14ac:dyDescent="0.2">
      <c r="B44" s="513" t="s">
        <v>2296</v>
      </c>
      <c r="C44" s="512" t="s">
        <v>2299</v>
      </c>
      <c r="D44" s="511" t="s">
        <v>2348</v>
      </c>
      <c r="E44" s="510">
        <v>0.57999999999999996</v>
      </c>
      <c r="F44" s="509">
        <v>0.46</v>
      </c>
      <c r="G44" s="509">
        <v>0.35</v>
      </c>
      <c r="H44" s="509">
        <v>0.27</v>
      </c>
      <c r="I44" s="508">
        <v>0.2</v>
      </c>
      <c r="K44" s="537" t="s">
        <v>2347</v>
      </c>
      <c r="L44" s="510">
        <v>0.57999999999999996</v>
      </c>
      <c r="M44" s="509">
        <v>0.46</v>
      </c>
      <c r="N44" s="509">
        <v>0.35</v>
      </c>
      <c r="O44" s="509">
        <v>0.27</v>
      </c>
      <c r="P44" s="508">
        <v>0.2</v>
      </c>
      <c r="R44" s="537" t="s">
        <v>2346</v>
      </c>
      <c r="S44" s="510">
        <v>0.57999999999999996</v>
      </c>
      <c r="T44" s="509">
        <v>0.46</v>
      </c>
      <c r="U44" s="509">
        <v>0.35</v>
      </c>
      <c r="V44" s="509">
        <v>0.27</v>
      </c>
      <c r="W44" s="508">
        <v>0.2</v>
      </c>
    </row>
    <row r="45" spans="2:23" x14ac:dyDescent="0.2">
      <c r="B45" s="513" t="s">
        <v>2296</v>
      </c>
      <c r="C45" s="512" t="s">
        <v>2298</v>
      </c>
      <c r="D45" s="511" t="s">
        <v>2348</v>
      </c>
      <c r="E45" s="510">
        <v>0.61</v>
      </c>
      <c r="F45" s="509">
        <v>0.5</v>
      </c>
      <c r="G45" s="509">
        <v>0.39</v>
      </c>
      <c r="H45" s="509">
        <v>0.32</v>
      </c>
      <c r="I45" s="508">
        <v>0.26</v>
      </c>
      <c r="K45" s="537" t="s">
        <v>2347</v>
      </c>
      <c r="L45" s="510">
        <v>0.61</v>
      </c>
      <c r="M45" s="509">
        <v>0.5</v>
      </c>
      <c r="N45" s="509">
        <v>0.39</v>
      </c>
      <c r="O45" s="509">
        <v>0.32</v>
      </c>
      <c r="P45" s="508">
        <v>0.26</v>
      </c>
      <c r="R45" s="537" t="s">
        <v>2346</v>
      </c>
      <c r="S45" s="510">
        <v>0.61</v>
      </c>
      <c r="T45" s="509">
        <v>0.5</v>
      </c>
      <c r="U45" s="509">
        <v>0.39</v>
      </c>
      <c r="V45" s="509">
        <v>0.32</v>
      </c>
      <c r="W45" s="508">
        <v>0.26</v>
      </c>
    </row>
    <row r="46" spans="2:23" x14ac:dyDescent="0.2">
      <c r="B46" s="513" t="s">
        <v>2296</v>
      </c>
      <c r="C46" s="512" t="s">
        <v>2297</v>
      </c>
      <c r="D46" s="511" t="s">
        <v>2348</v>
      </c>
      <c r="E46" s="510">
        <v>0.59</v>
      </c>
      <c r="F46" s="509">
        <v>0.48</v>
      </c>
      <c r="G46" s="509">
        <v>0.37</v>
      </c>
      <c r="H46" s="509">
        <v>0.28999999999999998</v>
      </c>
      <c r="I46" s="508">
        <v>0.23</v>
      </c>
      <c r="K46" s="537" t="s">
        <v>2347</v>
      </c>
      <c r="L46" s="510">
        <v>0.59</v>
      </c>
      <c r="M46" s="509">
        <v>0.48</v>
      </c>
      <c r="N46" s="509">
        <v>0.37</v>
      </c>
      <c r="O46" s="509">
        <v>0.28999999999999998</v>
      </c>
      <c r="P46" s="508">
        <v>0.23</v>
      </c>
      <c r="R46" s="537" t="s">
        <v>2346</v>
      </c>
      <c r="S46" s="510">
        <v>0.59</v>
      </c>
      <c r="T46" s="509">
        <v>0.48</v>
      </c>
      <c r="U46" s="509">
        <v>0.37</v>
      </c>
      <c r="V46" s="509">
        <v>0.28999999999999998</v>
      </c>
      <c r="W46" s="508">
        <v>0.23</v>
      </c>
    </row>
    <row r="47" spans="2:23" ht="13.5" thickBot="1" x14ac:dyDescent="0.25">
      <c r="B47" s="507" t="s">
        <v>2296</v>
      </c>
      <c r="C47" s="506" t="s">
        <v>2295</v>
      </c>
      <c r="D47" s="505" t="s">
        <v>2348</v>
      </c>
      <c r="E47" s="504">
        <v>0.56999999999999995</v>
      </c>
      <c r="F47" s="503">
        <v>0.45</v>
      </c>
      <c r="G47" s="503">
        <v>0.33</v>
      </c>
      <c r="H47" s="503">
        <v>0.25</v>
      </c>
      <c r="I47" s="502">
        <v>0.18</v>
      </c>
      <c r="K47" s="542" t="s">
        <v>2347</v>
      </c>
      <c r="L47" s="504">
        <v>0.56999999999999995</v>
      </c>
      <c r="M47" s="503">
        <v>0.45</v>
      </c>
      <c r="N47" s="503">
        <v>0.33</v>
      </c>
      <c r="O47" s="503">
        <v>0.25</v>
      </c>
      <c r="P47" s="502">
        <v>0.18</v>
      </c>
      <c r="R47" s="542" t="s">
        <v>2346</v>
      </c>
      <c r="S47" s="504">
        <v>0.56999999999999995</v>
      </c>
      <c r="T47" s="503">
        <v>0.45</v>
      </c>
      <c r="U47" s="503">
        <v>0.33</v>
      </c>
      <c r="V47" s="503">
        <v>0.25</v>
      </c>
      <c r="W47" s="502">
        <v>0.18</v>
      </c>
    </row>
    <row r="50" spans="1:23" ht="16.5" thickBot="1" x14ac:dyDescent="0.35">
      <c r="B50" s="13" t="s">
        <v>2333</v>
      </c>
      <c r="K50" s="13" t="s">
        <v>2333</v>
      </c>
      <c r="R50" s="13" t="s">
        <v>2333</v>
      </c>
    </row>
    <row r="51" spans="1:23" x14ac:dyDescent="0.2">
      <c r="A51" s="525" t="s">
        <v>2345</v>
      </c>
      <c r="B51" s="857" t="s">
        <v>2331</v>
      </c>
      <c r="C51" s="859" t="s">
        <v>2330</v>
      </c>
      <c r="D51" s="859" t="s">
        <v>559</v>
      </c>
      <c r="E51" s="855" t="s">
        <v>2329</v>
      </c>
      <c r="F51" s="855"/>
      <c r="G51" s="855"/>
      <c r="H51" s="855"/>
      <c r="I51" s="856"/>
      <c r="K51" s="857" t="s">
        <v>559</v>
      </c>
      <c r="L51" s="855" t="s">
        <v>2329</v>
      </c>
      <c r="M51" s="855"/>
      <c r="N51" s="855"/>
      <c r="O51" s="855"/>
      <c r="P51" s="856"/>
      <c r="R51" s="857" t="s">
        <v>559</v>
      </c>
      <c r="S51" s="855" t="s">
        <v>2329</v>
      </c>
      <c r="T51" s="855"/>
      <c r="U51" s="855"/>
      <c r="V51" s="855"/>
      <c r="W51" s="856"/>
    </row>
    <row r="52" spans="1:23" ht="13.5" thickBot="1" x14ac:dyDescent="0.25">
      <c r="B52" s="858"/>
      <c r="C52" s="860"/>
      <c r="D52" s="860"/>
      <c r="E52" s="524" t="s">
        <v>2328</v>
      </c>
      <c r="F52" s="524" t="s">
        <v>2327</v>
      </c>
      <c r="G52" s="524" t="s">
        <v>2326</v>
      </c>
      <c r="H52" s="524" t="s">
        <v>2325</v>
      </c>
      <c r="I52" s="523" t="s">
        <v>2324</v>
      </c>
      <c r="K52" s="858"/>
      <c r="L52" s="524" t="s">
        <v>2328</v>
      </c>
      <c r="M52" s="524" t="s">
        <v>2327</v>
      </c>
      <c r="N52" s="524" t="s">
        <v>2326</v>
      </c>
      <c r="O52" s="524" t="s">
        <v>2325</v>
      </c>
      <c r="P52" s="523" t="s">
        <v>2324</v>
      </c>
      <c r="R52" s="858"/>
      <c r="S52" s="524" t="s">
        <v>2328</v>
      </c>
      <c r="T52" s="524" t="s">
        <v>2327</v>
      </c>
      <c r="U52" s="524" t="s">
        <v>2326</v>
      </c>
      <c r="V52" s="524" t="s">
        <v>2325</v>
      </c>
      <c r="W52" s="523" t="s">
        <v>2324</v>
      </c>
    </row>
    <row r="53" spans="1:23" x14ac:dyDescent="0.2">
      <c r="B53" s="513" t="s">
        <v>2296</v>
      </c>
      <c r="C53" s="512" t="s">
        <v>2344</v>
      </c>
      <c r="D53" s="511" t="s">
        <v>2336</v>
      </c>
      <c r="E53" s="519">
        <v>0.72</v>
      </c>
      <c r="F53" s="518">
        <v>0.64</v>
      </c>
      <c r="G53" s="518">
        <v>0.56000000000000005</v>
      </c>
      <c r="H53" s="518">
        <v>0.51</v>
      </c>
      <c r="I53" s="517">
        <v>0.47</v>
      </c>
      <c r="K53" s="541"/>
      <c r="L53" s="540"/>
      <c r="M53" s="539"/>
      <c r="N53" s="539"/>
      <c r="O53" s="539"/>
      <c r="P53" s="538"/>
      <c r="R53" s="541"/>
      <c r="S53" s="540"/>
      <c r="T53" s="539"/>
      <c r="U53" s="539"/>
      <c r="V53" s="539"/>
      <c r="W53" s="538"/>
    </row>
    <row r="54" spans="1:23" x14ac:dyDescent="0.2">
      <c r="B54" s="513" t="s">
        <v>2296</v>
      </c>
      <c r="C54" s="512" t="s">
        <v>2343</v>
      </c>
      <c r="D54" s="511" t="s">
        <v>2336</v>
      </c>
      <c r="E54" s="510">
        <v>0.71</v>
      </c>
      <c r="F54" s="509">
        <v>0.61</v>
      </c>
      <c r="G54" s="509">
        <v>0.53</v>
      </c>
      <c r="H54" s="509">
        <v>0.47</v>
      </c>
      <c r="I54" s="508">
        <v>0.42</v>
      </c>
      <c r="K54" s="537" t="s">
        <v>2335</v>
      </c>
      <c r="L54" s="510">
        <v>0.72</v>
      </c>
      <c r="M54" s="509">
        <v>0.65</v>
      </c>
      <c r="N54" s="509">
        <v>0.56999999999999995</v>
      </c>
      <c r="O54" s="509">
        <v>0.52</v>
      </c>
      <c r="P54" s="508">
        <v>0.48</v>
      </c>
      <c r="R54" s="537" t="s">
        <v>2334</v>
      </c>
      <c r="S54" s="510">
        <v>0.74</v>
      </c>
      <c r="T54" s="509">
        <v>0.67</v>
      </c>
      <c r="U54" s="509">
        <v>0.59</v>
      </c>
      <c r="V54" s="509">
        <v>0.54</v>
      </c>
      <c r="W54" s="508">
        <v>0.5</v>
      </c>
    </row>
    <row r="55" spans="1:23" x14ac:dyDescent="0.2">
      <c r="B55" s="513" t="s">
        <v>2296</v>
      </c>
      <c r="C55" s="512" t="s">
        <v>2322</v>
      </c>
      <c r="D55" s="511" t="s">
        <v>2336</v>
      </c>
      <c r="E55" s="510">
        <v>0.68</v>
      </c>
      <c r="F55" s="509">
        <v>0.6</v>
      </c>
      <c r="G55" s="509">
        <v>0.51</v>
      </c>
      <c r="H55" s="509">
        <v>0.45</v>
      </c>
      <c r="I55" s="508">
        <v>0.4</v>
      </c>
      <c r="K55" s="527" t="s">
        <v>2335</v>
      </c>
      <c r="L55" s="536">
        <v>0.71</v>
      </c>
      <c r="M55" s="535">
        <v>0.64</v>
      </c>
      <c r="N55" s="535">
        <v>0.56000000000000005</v>
      </c>
      <c r="O55" s="535">
        <v>0.5</v>
      </c>
      <c r="P55" s="534">
        <v>0.46</v>
      </c>
      <c r="R55" s="527"/>
      <c r="S55" s="530"/>
      <c r="T55" s="529"/>
      <c r="U55" s="529"/>
      <c r="V55" s="529"/>
      <c r="W55" s="528"/>
    </row>
    <row r="56" spans="1:23" x14ac:dyDescent="0.2">
      <c r="B56" s="513" t="s">
        <v>2296</v>
      </c>
      <c r="C56" s="512" t="s">
        <v>2342</v>
      </c>
      <c r="D56" s="511" t="s">
        <v>2336</v>
      </c>
      <c r="E56" s="510">
        <v>0.75</v>
      </c>
      <c r="F56" s="509">
        <v>0.68</v>
      </c>
      <c r="G56" s="509">
        <v>0.62</v>
      </c>
      <c r="H56" s="509">
        <v>0.56999999999999995</v>
      </c>
      <c r="I56" s="508">
        <v>0.53</v>
      </c>
      <c r="K56" s="527"/>
      <c r="L56" s="533"/>
      <c r="M56" s="532"/>
      <c r="N56" s="532"/>
      <c r="O56" s="532"/>
      <c r="P56" s="531"/>
      <c r="R56" s="527"/>
      <c r="S56" s="530"/>
      <c r="T56" s="529"/>
      <c r="U56" s="529"/>
      <c r="V56" s="529"/>
      <c r="W56" s="528"/>
    </row>
    <row r="57" spans="1:23" x14ac:dyDescent="0.2">
      <c r="B57" s="513" t="s">
        <v>2296</v>
      </c>
      <c r="C57" s="512" t="s">
        <v>2321</v>
      </c>
      <c r="D57" s="511" t="s">
        <v>2336</v>
      </c>
      <c r="E57" s="510">
        <v>0.72</v>
      </c>
      <c r="F57" s="509">
        <v>0.65</v>
      </c>
      <c r="G57" s="509">
        <v>0.56999999999999995</v>
      </c>
      <c r="H57" s="509">
        <v>0.52</v>
      </c>
      <c r="I57" s="508">
        <v>0.48</v>
      </c>
      <c r="K57" s="527" t="s">
        <v>2335</v>
      </c>
      <c r="L57" s="510">
        <v>0.74</v>
      </c>
      <c r="M57" s="509">
        <v>0.67</v>
      </c>
      <c r="N57" s="509">
        <v>0.59</v>
      </c>
      <c r="O57" s="509">
        <v>0.54</v>
      </c>
      <c r="P57" s="508">
        <v>0.5</v>
      </c>
      <c r="R57" s="527" t="s">
        <v>2334</v>
      </c>
      <c r="S57" s="510">
        <v>0.74</v>
      </c>
      <c r="T57" s="509">
        <v>0.67</v>
      </c>
      <c r="U57" s="509">
        <v>0.6</v>
      </c>
      <c r="V57" s="509">
        <v>0.55000000000000004</v>
      </c>
      <c r="W57" s="508">
        <v>0.52</v>
      </c>
    </row>
    <row r="58" spans="1:23" x14ac:dyDescent="0.2">
      <c r="B58" s="513" t="s">
        <v>2296</v>
      </c>
      <c r="C58" s="512" t="s">
        <v>2320</v>
      </c>
      <c r="D58" s="511" t="s">
        <v>2336</v>
      </c>
      <c r="E58" s="510">
        <v>0.7</v>
      </c>
      <c r="F58" s="509">
        <v>0.61</v>
      </c>
      <c r="G58" s="509">
        <v>0.53</v>
      </c>
      <c r="H58" s="509">
        <v>0.47</v>
      </c>
      <c r="I58" s="508">
        <v>0.43</v>
      </c>
      <c r="K58" s="527" t="s">
        <v>2335</v>
      </c>
      <c r="L58" s="510">
        <v>0.71</v>
      </c>
      <c r="M58" s="509">
        <v>0.63</v>
      </c>
      <c r="N58" s="509">
        <v>0.55000000000000004</v>
      </c>
      <c r="O58" s="509">
        <v>0.49</v>
      </c>
      <c r="P58" s="508">
        <v>0.45</v>
      </c>
      <c r="R58" s="527" t="s">
        <v>2334</v>
      </c>
      <c r="S58" s="510">
        <v>0.71</v>
      </c>
      <c r="T58" s="509">
        <v>0.64</v>
      </c>
      <c r="U58" s="509">
        <v>0.56000000000000005</v>
      </c>
      <c r="V58" s="509">
        <v>0.5</v>
      </c>
      <c r="W58" s="508">
        <v>0.46</v>
      </c>
    </row>
    <row r="59" spans="1:23" x14ac:dyDescent="0.2">
      <c r="B59" s="513" t="s">
        <v>2296</v>
      </c>
      <c r="C59" s="512" t="s">
        <v>2319</v>
      </c>
      <c r="D59" s="511" t="s">
        <v>2336</v>
      </c>
      <c r="E59" s="510">
        <v>0.67</v>
      </c>
      <c r="F59" s="509">
        <v>0.59</v>
      </c>
      <c r="G59" s="509">
        <v>0.5</v>
      </c>
      <c r="H59" s="509">
        <v>0.44</v>
      </c>
      <c r="I59" s="508">
        <v>0.39</v>
      </c>
      <c r="K59" s="527" t="s">
        <v>2335</v>
      </c>
      <c r="L59" s="510">
        <v>0.69</v>
      </c>
      <c r="M59" s="509">
        <v>0.61</v>
      </c>
      <c r="N59" s="509">
        <v>0.52</v>
      </c>
      <c r="O59" s="509">
        <v>0.47</v>
      </c>
      <c r="P59" s="508">
        <v>0.42</v>
      </c>
      <c r="R59" s="527"/>
      <c r="S59" s="530"/>
      <c r="T59" s="529"/>
      <c r="U59" s="529"/>
      <c r="V59" s="529"/>
      <c r="W59" s="528"/>
    </row>
    <row r="60" spans="1:23" x14ac:dyDescent="0.2">
      <c r="B60" s="513" t="s">
        <v>2296</v>
      </c>
      <c r="C60" s="512" t="s">
        <v>2318</v>
      </c>
      <c r="D60" s="511" t="s">
        <v>2336</v>
      </c>
      <c r="E60" s="510">
        <v>0.66</v>
      </c>
      <c r="F60" s="509">
        <v>0.56999999999999995</v>
      </c>
      <c r="G60" s="509">
        <v>0.48</v>
      </c>
      <c r="H60" s="509">
        <v>0.41</v>
      </c>
      <c r="I60" s="508">
        <v>0.36</v>
      </c>
      <c r="K60" s="527" t="s">
        <v>2335</v>
      </c>
      <c r="L60" s="510">
        <v>0.69</v>
      </c>
      <c r="M60" s="509">
        <v>0.61</v>
      </c>
      <c r="N60" s="509">
        <v>0.52</v>
      </c>
      <c r="O60" s="509">
        <v>0.47</v>
      </c>
      <c r="P60" s="508">
        <v>0.42</v>
      </c>
      <c r="R60" s="527"/>
      <c r="S60" s="530"/>
      <c r="T60" s="529"/>
      <c r="U60" s="529"/>
      <c r="V60" s="529"/>
      <c r="W60" s="528"/>
    </row>
    <row r="61" spans="1:23" x14ac:dyDescent="0.2">
      <c r="B61" s="513" t="s">
        <v>2296</v>
      </c>
      <c r="C61" s="512" t="s">
        <v>2341</v>
      </c>
      <c r="D61" s="511" t="s">
        <v>2336</v>
      </c>
      <c r="E61" s="510">
        <v>0.73</v>
      </c>
      <c r="F61" s="509">
        <v>0.66</v>
      </c>
      <c r="G61" s="509">
        <v>0.59</v>
      </c>
      <c r="H61" s="509">
        <v>0.54</v>
      </c>
      <c r="I61" s="508">
        <v>0.5</v>
      </c>
      <c r="K61" s="527" t="s">
        <v>2335</v>
      </c>
      <c r="L61" s="510">
        <v>0.75</v>
      </c>
      <c r="M61" s="509">
        <v>0.69</v>
      </c>
      <c r="N61" s="509">
        <v>0.62</v>
      </c>
      <c r="O61" s="509">
        <v>0.56999999999999995</v>
      </c>
      <c r="P61" s="508">
        <v>0.54</v>
      </c>
      <c r="R61" s="527" t="s">
        <v>2334</v>
      </c>
      <c r="S61" s="510">
        <v>0.77</v>
      </c>
      <c r="T61" s="509">
        <v>0.71</v>
      </c>
      <c r="U61" s="509">
        <v>0.65</v>
      </c>
      <c r="V61" s="509">
        <v>0.6</v>
      </c>
      <c r="W61" s="508">
        <v>0.56999999999999995</v>
      </c>
    </row>
    <row r="62" spans="1:23" x14ac:dyDescent="0.2">
      <c r="B62" s="513" t="s">
        <v>2296</v>
      </c>
      <c r="C62" s="512" t="s">
        <v>2317</v>
      </c>
      <c r="D62" s="511" t="s">
        <v>2336</v>
      </c>
      <c r="E62" s="510">
        <v>0.71</v>
      </c>
      <c r="F62" s="509">
        <v>0.63</v>
      </c>
      <c r="G62" s="509">
        <v>0.55000000000000004</v>
      </c>
      <c r="H62" s="509">
        <v>0.49</v>
      </c>
      <c r="I62" s="508">
        <v>0.45</v>
      </c>
      <c r="K62" s="527" t="s">
        <v>2335</v>
      </c>
      <c r="L62" s="510">
        <v>0.73</v>
      </c>
      <c r="M62" s="509">
        <v>0.65</v>
      </c>
      <c r="N62" s="509">
        <v>0.57999999999999996</v>
      </c>
      <c r="O62" s="509">
        <v>0.53</v>
      </c>
      <c r="P62" s="508">
        <v>0.48</v>
      </c>
      <c r="R62" s="527" t="s">
        <v>2334</v>
      </c>
      <c r="S62" s="510">
        <v>0.74</v>
      </c>
      <c r="T62" s="509">
        <v>0.67</v>
      </c>
      <c r="U62" s="509">
        <v>0.6</v>
      </c>
      <c r="V62" s="509">
        <v>0.55000000000000004</v>
      </c>
      <c r="W62" s="508">
        <v>0.51</v>
      </c>
    </row>
    <row r="63" spans="1:23" x14ac:dyDescent="0.2">
      <c r="B63" s="513" t="s">
        <v>2296</v>
      </c>
      <c r="C63" s="512" t="s">
        <v>2316</v>
      </c>
      <c r="D63" s="511" t="s">
        <v>2336</v>
      </c>
      <c r="E63" s="510">
        <v>0.68</v>
      </c>
      <c r="F63" s="509">
        <v>0.59</v>
      </c>
      <c r="G63" s="509">
        <v>0.5</v>
      </c>
      <c r="H63" s="509">
        <v>0.44</v>
      </c>
      <c r="I63" s="508">
        <v>0.39</v>
      </c>
      <c r="K63" s="527" t="s">
        <v>2335</v>
      </c>
      <c r="L63" s="510">
        <v>0.7</v>
      </c>
      <c r="M63" s="509">
        <v>0.62</v>
      </c>
      <c r="N63" s="509">
        <v>0.54</v>
      </c>
      <c r="O63" s="509">
        <v>0.49</v>
      </c>
      <c r="P63" s="508">
        <v>0.44</v>
      </c>
      <c r="R63" s="527" t="s">
        <v>2334</v>
      </c>
      <c r="S63" s="510">
        <v>0.72</v>
      </c>
      <c r="T63" s="509">
        <v>0.64</v>
      </c>
      <c r="U63" s="509">
        <v>0.56000000000000005</v>
      </c>
      <c r="V63" s="509">
        <v>0.51</v>
      </c>
      <c r="W63" s="508">
        <v>0.47</v>
      </c>
    </row>
    <row r="64" spans="1:23" x14ac:dyDescent="0.2">
      <c r="B64" s="513" t="s">
        <v>2296</v>
      </c>
      <c r="C64" s="512" t="s">
        <v>2315</v>
      </c>
      <c r="D64" s="511" t="s">
        <v>2336</v>
      </c>
      <c r="E64" s="510">
        <v>0.66</v>
      </c>
      <c r="F64" s="509">
        <v>0.56999999999999995</v>
      </c>
      <c r="G64" s="509">
        <v>0.47</v>
      </c>
      <c r="H64" s="509">
        <v>0.41</v>
      </c>
      <c r="I64" s="508">
        <v>0.36</v>
      </c>
      <c r="K64" s="527" t="s">
        <v>2335</v>
      </c>
      <c r="L64" s="510">
        <v>0.68</v>
      </c>
      <c r="M64" s="509">
        <v>0.6</v>
      </c>
      <c r="N64" s="509">
        <v>0.51</v>
      </c>
      <c r="O64" s="509">
        <v>0.45</v>
      </c>
      <c r="P64" s="508">
        <v>0.4</v>
      </c>
      <c r="R64" s="527" t="s">
        <v>2334</v>
      </c>
      <c r="S64" s="510">
        <v>0.7</v>
      </c>
      <c r="T64" s="509">
        <v>0.62</v>
      </c>
      <c r="U64" s="509">
        <v>0.54</v>
      </c>
      <c r="V64" s="509">
        <v>0.48</v>
      </c>
      <c r="W64" s="508">
        <v>0.44</v>
      </c>
    </row>
    <row r="65" spans="2:23" x14ac:dyDescent="0.2">
      <c r="B65" s="513" t="s">
        <v>2296</v>
      </c>
      <c r="C65" s="512" t="s">
        <v>2314</v>
      </c>
      <c r="D65" s="511" t="s">
        <v>2336</v>
      </c>
      <c r="E65" s="510">
        <v>0.65</v>
      </c>
      <c r="F65" s="509">
        <v>0.56000000000000005</v>
      </c>
      <c r="G65" s="509">
        <v>0.46</v>
      </c>
      <c r="H65" s="509">
        <v>0.39</v>
      </c>
      <c r="I65" s="508">
        <v>0.34</v>
      </c>
      <c r="K65" s="527" t="s">
        <v>2335</v>
      </c>
      <c r="L65" s="510">
        <v>0.68</v>
      </c>
      <c r="M65" s="509">
        <v>0.6</v>
      </c>
      <c r="N65" s="509">
        <v>0.51</v>
      </c>
      <c r="O65" s="509">
        <v>0.45</v>
      </c>
      <c r="P65" s="508">
        <v>0.4</v>
      </c>
      <c r="R65" s="527"/>
      <c r="S65" s="530"/>
      <c r="T65" s="529"/>
      <c r="U65" s="529"/>
      <c r="V65" s="529"/>
      <c r="W65" s="528"/>
    </row>
    <row r="66" spans="2:23" x14ac:dyDescent="0.2">
      <c r="B66" s="513" t="s">
        <v>2296</v>
      </c>
      <c r="C66" s="512" t="s">
        <v>2340</v>
      </c>
      <c r="D66" s="511" t="s">
        <v>2336</v>
      </c>
      <c r="E66" s="510">
        <v>0.7</v>
      </c>
      <c r="F66" s="509">
        <v>0.62</v>
      </c>
      <c r="G66" s="509">
        <v>0.54</v>
      </c>
      <c r="H66" s="509">
        <v>0.48</v>
      </c>
      <c r="I66" s="508">
        <v>0.44</v>
      </c>
      <c r="K66" s="527" t="s">
        <v>2335</v>
      </c>
      <c r="L66" s="510">
        <v>0.72</v>
      </c>
      <c r="M66" s="509">
        <v>0.65</v>
      </c>
      <c r="N66" s="509">
        <v>0.56999999999999995</v>
      </c>
      <c r="O66" s="509">
        <v>0.52</v>
      </c>
      <c r="P66" s="508">
        <v>0.47</v>
      </c>
      <c r="R66" s="527" t="s">
        <v>2334</v>
      </c>
      <c r="S66" s="510">
        <v>0.74</v>
      </c>
      <c r="T66" s="509">
        <v>0.67</v>
      </c>
      <c r="U66" s="509">
        <v>0.59</v>
      </c>
      <c r="V66" s="509">
        <v>0.54</v>
      </c>
      <c r="W66" s="508">
        <v>0.5</v>
      </c>
    </row>
    <row r="67" spans="2:23" x14ac:dyDescent="0.2">
      <c r="B67" s="513" t="s">
        <v>2296</v>
      </c>
      <c r="C67" s="512" t="s">
        <v>2313</v>
      </c>
      <c r="D67" s="511" t="s">
        <v>2336</v>
      </c>
      <c r="E67" s="510">
        <v>0.67</v>
      </c>
      <c r="F67" s="509">
        <v>0.59</v>
      </c>
      <c r="G67" s="509">
        <v>0.5</v>
      </c>
      <c r="H67" s="509">
        <v>0.44</v>
      </c>
      <c r="I67" s="508">
        <v>0.39</v>
      </c>
      <c r="K67" s="527" t="s">
        <v>2335</v>
      </c>
      <c r="L67" s="510">
        <v>0.69</v>
      </c>
      <c r="M67" s="509">
        <v>0.61</v>
      </c>
      <c r="N67" s="509">
        <v>0.52</v>
      </c>
      <c r="O67" s="509">
        <v>0.46</v>
      </c>
      <c r="P67" s="508">
        <v>0.42</v>
      </c>
      <c r="R67" s="527" t="s">
        <v>2334</v>
      </c>
      <c r="S67" s="510">
        <v>0.71</v>
      </c>
      <c r="T67" s="509">
        <v>0.63</v>
      </c>
      <c r="U67" s="509">
        <v>0.55000000000000004</v>
      </c>
      <c r="V67" s="509">
        <v>0.49</v>
      </c>
      <c r="W67" s="508">
        <v>0.45</v>
      </c>
    </row>
    <row r="68" spans="2:23" x14ac:dyDescent="0.2">
      <c r="B68" s="513" t="s">
        <v>2296</v>
      </c>
      <c r="C68" s="512" t="s">
        <v>2312</v>
      </c>
      <c r="D68" s="511" t="s">
        <v>2336</v>
      </c>
      <c r="E68" s="510">
        <v>0.65</v>
      </c>
      <c r="F68" s="509">
        <v>0.56000000000000005</v>
      </c>
      <c r="G68" s="509">
        <v>0.47</v>
      </c>
      <c r="H68" s="509">
        <v>0.4</v>
      </c>
      <c r="I68" s="508">
        <v>0.35</v>
      </c>
      <c r="K68" s="527" t="s">
        <v>2335</v>
      </c>
      <c r="L68" s="510">
        <v>0.67</v>
      </c>
      <c r="M68" s="509">
        <v>0.57999999999999996</v>
      </c>
      <c r="N68" s="509">
        <v>0.49</v>
      </c>
      <c r="O68" s="509">
        <v>0.43</v>
      </c>
      <c r="P68" s="508">
        <v>0.38</v>
      </c>
      <c r="R68" s="527" t="s">
        <v>2334</v>
      </c>
      <c r="S68" s="510">
        <v>0.69</v>
      </c>
      <c r="T68" s="509">
        <v>0.61</v>
      </c>
      <c r="U68" s="509">
        <v>0.52</v>
      </c>
      <c r="V68" s="509">
        <v>0.46</v>
      </c>
      <c r="W68" s="508">
        <v>0.41</v>
      </c>
    </row>
    <row r="69" spans="2:23" x14ac:dyDescent="0.2">
      <c r="B69" s="513" t="s">
        <v>2296</v>
      </c>
      <c r="C69" s="512" t="s">
        <v>2311</v>
      </c>
      <c r="D69" s="511" t="s">
        <v>2336</v>
      </c>
      <c r="E69" s="510">
        <v>0.64</v>
      </c>
      <c r="F69" s="509">
        <v>0.54</v>
      </c>
      <c r="G69" s="509">
        <v>0.44</v>
      </c>
      <c r="H69" s="509">
        <v>0.37</v>
      </c>
      <c r="I69" s="508">
        <v>0.32</v>
      </c>
      <c r="K69" s="527" t="s">
        <v>2335</v>
      </c>
      <c r="L69" s="510">
        <v>0.67</v>
      </c>
      <c r="M69" s="509">
        <v>0.57999999999999996</v>
      </c>
      <c r="N69" s="509">
        <v>0.49</v>
      </c>
      <c r="O69" s="509">
        <v>0.43</v>
      </c>
      <c r="P69" s="508">
        <v>0.38</v>
      </c>
      <c r="R69" s="527"/>
      <c r="S69" s="530"/>
      <c r="T69" s="529"/>
      <c r="U69" s="529"/>
      <c r="V69" s="529"/>
      <c r="W69" s="528"/>
    </row>
    <row r="70" spans="2:23" x14ac:dyDescent="0.2">
      <c r="B70" s="513" t="s">
        <v>2296</v>
      </c>
      <c r="C70" s="512" t="s">
        <v>2339</v>
      </c>
      <c r="D70" s="511" t="s">
        <v>2336</v>
      </c>
      <c r="E70" s="510">
        <v>0.69</v>
      </c>
      <c r="F70" s="509">
        <v>0.6</v>
      </c>
      <c r="G70" s="509">
        <v>0.52</v>
      </c>
      <c r="H70" s="509">
        <v>0.46</v>
      </c>
      <c r="I70" s="508">
        <v>0.41</v>
      </c>
      <c r="K70" s="527" t="s">
        <v>2335</v>
      </c>
      <c r="L70" s="510">
        <v>0.71</v>
      </c>
      <c r="M70" s="509">
        <v>0.63</v>
      </c>
      <c r="N70" s="509">
        <v>0.56000000000000005</v>
      </c>
      <c r="O70" s="509">
        <v>0.5</v>
      </c>
      <c r="P70" s="508">
        <v>0.46</v>
      </c>
      <c r="R70" s="527" t="s">
        <v>2334</v>
      </c>
      <c r="S70" s="510">
        <v>0.72</v>
      </c>
      <c r="T70" s="509">
        <v>0.64</v>
      </c>
      <c r="U70" s="509">
        <v>0.56999999999999995</v>
      </c>
      <c r="V70" s="509">
        <v>0.51</v>
      </c>
      <c r="W70" s="508">
        <v>0.47</v>
      </c>
    </row>
    <row r="71" spans="2:23" x14ac:dyDescent="0.2">
      <c r="B71" s="513" t="s">
        <v>2296</v>
      </c>
      <c r="C71" s="512" t="s">
        <v>2310</v>
      </c>
      <c r="D71" s="511" t="s">
        <v>2336</v>
      </c>
      <c r="E71" s="510">
        <v>0.66</v>
      </c>
      <c r="F71" s="509">
        <v>0.56999999999999995</v>
      </c>
      <c r="G71" s="509">
        <v>0.47</v>
      </c>
      <c r="H71" s="509">
        <v>0.41</v>
      </c>
      <c r="I71" s="508">
        <v>0.36</v>
      </c>
      <c r="K71" s="527" t="s">
        <v>2335</v>
      </c>
      <c r="L71" s="510">
        <v>0.68</v>
      </c>
      <c r="M71" s="509">
        <v>0.6</v>
      </c>
      <c r="N71" s="509">
        <v>0.51</v>
      </c>
      <c r="O71" s="509">
        <v>0.45</v>
      </c>
      <c r="P71" s="508">
        <v>0.4</v>
      </c>
      <c r="R71" s="527" t="s">
        <v>2334</v>
      </c>
      <c r="S71" s="510">
        <v>0.69</v>
      </c>
      <c r="T71" s="509">
        <v>0.6</v>
      </c>
      <c r="U71" s="509">
        <v>0.52</v>
      </c>
      <c r="V71" s="509">
        <v>0.46</v>
      </c>
      <c r="W71" s="508">
        <v>0.41</v>
      </c>
    </row>
    <row r="72" spans="2:23" x14ac:dyDescent="0.2">
      <c r="B72" s="513" t="s">
        <v>2296</v>
      </c>
      <c r="C72" s="512" t="s">
        <v>2309</v>
      </c>
      <c r="D72" s="511" t="s">
        <v>2336</v>
      </c>
      <c r="E72" s="510">
        <v>0.64</v>
      </c>
      <c r="F72" s="509">
        <v>0.54</v>
      </c>
      <c r="G72" s="509">
        <v>0.44</v>
      </c>
      <c r="H72" s="509">
        <v>0.37</v>
      </c>
      <c r="I72" s="508">
        <v>0.32</v>
      </c>
      <c r="K72" s="527" t="s">
        <v>2335</v>
      </c>
      <c r="L72" s="510">
        <v>0.67</v>
      </c>
      <c r="M72" s="509">
        <v>0.57999999999999996</v>
      </c>
      <c r="N72" s="509">
        <v>0.49</v>
      </c>
      <c r="O72" s="509">
        <v>0.42</v>
      </c>
      <c r="P72" s="508">
        <v>0.37</v>
      </c>
      <c r="R72" s="527" t="s">
        <v>2334</v>
      </c>
      <c r="S72" s="510">
        <v>0.68</v>
      </c>
      <c r="T72" s="509">
        <v>0.59</v>
      </c>
      <c r="U72" s="509">
        <v>0.5</v>
      </c>
      <c r="V72" s="509">
        <v>0.44</v>
      </c>
      <c r="W72" s="508">
        <v>0.39</v>
      </c>
    </row>
    <row r="73" spans="2:23" x14ac:dyDescent="0.2">
      <c r="B73" s="513" t="s">
        <v>2296</v>
      </c>
      <c r="C73" s="512" t="s">
        <v>2308</v>
      </c>
      <c r="D73" s="511" t="s">
        <v>2336</v>
      </c>
      <c r="E73" s="510">
        <v>0.63</v>
      </c>
      <c r="F73" s="509">
        <v>0.53</v>
      </c>
      <c r="G73" s="509">
        <v>0.43</v>
      </c>
      <c r="H73" s="509">
        <v>0.36</v>
      </c>
      <c r="I73" s="508">
        <v>0.3</v>
      </c>
      <c r="K73" s="527" t="s">
        <v>2335</v>
      </c>
      <c r="L73" s="510">
        <v>0.66</v>
      </c>
      <c r="M73" s="509">
        <v>0.56999999999999995</v>
      </c>
      <c r="N73" s="509">
        <v>0.47</v>
      </c>
      <c r="O73" s="509">
        <v>0.41</v>
      </c>
      <c r="P73" s="508">
        <v>0.36</v>
      </c>
      <c r="R73" s="527"/>
      <c r="S73" s="530"/>
      <c r="T73" s="529"/>
      <c r="U73" s="529"/>
      <c r="V73" s="529"/>
      <c r="W73" s="528"/>
    </row>
    <row r="74" spans="2:23" x14ac:dyDescent="0.2">
      <c r="B74" s="513" t="s">
        <v>2296</v>
      </c>
      <c r="C74" s="512" t="s">
        <v>2338</v>
      </c>
      <c r="D74" s="511" t="s">
        <v>2336</v>
      </c>
      <c r="E74" s="510">
        <v>0.65</v>
      </c>
      <c r="F74" s="509">
        <v>0.56000000000000005</v>
      </c>
      <c r="G74" s="509">
        <v>0.47</v>
      </c>
      <c r="H74" s="509">
        <v>0.4</v>
      </c>
      <c r="I74" s="508">
        <v>0.35</v>
      </c>
      <c r="K74" s="527" t="s">
        <v>2335</v>
      </c>
      <c r="L74" s="510">
        <v>0.69</v>
      </c>
      <c r="M74" s="509">
        <v>0.61</v>
      </c>
      <c r="N74" s="509">
        <v>0.53</v>
      </c>
      <c r="O74" s="509">
        <v>0.47</v>
      </c>
      <c r="P74" s="508">
        <v>0.42</v>
      </c>
      <c r="R74" s="527" t="s">
        <v>2334</v>
      </c>
      <c r="S74" s="510">
        <v>0.71</v>
      </c>
      <c r="T74" s="509">
        <v>0.63</v>
      </c>
      <c r="U74" s="509">
        <v>0.55000000000000004</v>
      </c>
      <c r="V74" s="509">
        <v>0.49</v>
      </c>
      <c r="W74" s="508">
        <v>0.45</v>
      </c>
    </row>
    <row r="75" spans="2:23" x14ac:dyDescent="0.2">
      <c r="B75" s="513" t="s">
        <v>2296</v>
      </c>
      <c r="C75" s="512" t="s">
        <v>2307</v>
      </c>
      <c r="D75" s="511" t="s">
        <v>2336</v>
      </c>
      <c r="E75" s="510">
        <v>0.65</v>
      </c>
      <c r="F75" s="509">
        <v>0.55000000000000004</v>
      </c>
      <c r="G75" s="509">
        <v>0.46</v>
      </c>
      <c r="H75" s="509">
        <v>0.39</v>
      </c>
      <c r="I75" s="508">
        <v>0.33</v>
      </c>
      <c r="K75" s="527" t="s">
        <v>2335</v>
      </c>
      <c r="L75" s="510">
        <v>0.67</v>
      </c>
      <c r="M75" s="509">
        <v>0.57999999999999996</v>
      </c>
      <c r="N75" s="509">
        <v>0.49</v>
      </c>
      <c r="O75" s="509">
        <v>0.43</v>
      </c>
      <c r="P75" s="508">
        <v>0.38</v>
      </c>
      <c r="R75" s="527" t="s">
        <v>2334</v>
      </c>
      <c r="S75" s="510">
        <v>0.68</v>
      </c>
      <c r="T75" s="509">
        <v>0.6</v>
      </c>
      <c r="U75" s="509">
        <v>0.51</v>
      </c>
      <c r="V75" s="509">
        <v>0.45</v>
      </c>
      <c r="W75" s="508">
        <v>0.4</v>
      </c>
    </row>
    <row r="76" spans="2:23" x14ac:dyDescent="0.2">
      <c r="B76" s="513" t="s">
        <v>2296</v>
      </c>
      <c r="C76" s="512" t="s">
        <v>2306</v>
      </c>
      <c r="D76" s="511" t="s">
        <v>2336</v>
      </c>
      <c r="E76" s="510">
        <v>0.63</v>
      </c>
      <c r="F76" s="509">
        <v>0.53</v>
      </c>
      <c r="G76" s="509">
        <v>0.42</v>
      </c>
      <c r="H76" s="509">
        <v>0.33</v>
      </c>
      <c r="I76" s="508">
        <v>0.3</v>
      </c>
      <c r="K76" s="527" t="s">
        <v>2335</v>
      </c>
      <c r="L76" s="510">
        <v>0.65</v>
      </c>
      <c r="M76" s="509">
        <v>0.55000000000000004</v>
      </c>
      <c r="N76" s="509">
        <v>0.46</v>
      </c>
      <c r="O76" s="509">
        <v>0.39</v>
      </c>
      <c r="P76" s="508">
        <v>0.34</v>
      </c>
      <c r="R76" s="527" t="s">
        <v>2334</v>
      </c>
      <c r="S76" s="510">
        <v>0.67</v>
      </c>
      <c r="T76" s="509">
        <v>0.57999999999999996</v>
      </c>
      <c r="U76" s="509">
        <v>0.49</v>
      </c>
      <c r="V76" s="509">
        <v>0.42</v>
      </c>
      <c r="W76" s="508">
        <v>0.37</v>
      </c>
    </row>
    <row r="77" spans="2:23" x14ac:dyDescent="0.2">
      <c r="B77" s="513" t="s">
        <v>2296</v>
      </c>
      <c r="C77" s="512" t="s">
        <v>2305</v>
      </c>
      <c r="D77" s="511" t="s">
        <v>2336</v>
      </c>
      <c r="E77" s="510">
        <v>0.62</v>
      </c>
      <c r="F77" s="509">
        <v>0.52</v>
      </c>
      <c r="G77" s="509">
        <v>0.41</v>
      </c>
      <c r="H77" s="509">
        <v>0.34</v>
      </c>
      <c r="I77" s="508">
        <v>0.28000000000000003</v>
      </c>
      <c r="K77" s="527" t="s">
        <v>2335</v>
      </c>
      <c r="L77" s="510">
        <v>0.65</v>
      </c>
      <c r="M77" s="509">
        <v>0.55000000000000004</v>
      </c>
      <c r="N77" s="509">
        <v>0.46</v>
      </c>
      <c r="O77" s="509">
        <v>0.39</v>
      </c>
      <c r="P77" s="508">
        <v>0.34</v>
      </c>
      <c r="R77" s="527"/>
      <c r="S77" s="530"/>
      <c r="T77" s="529"/>
      <c r="U77" s="529"/>
      <c r="V77" s="529"/>
      <c r="W77" s="528"/>
    </row>
    <row r="78" spans="2:23" x14ac:dyDescent="0.2">
      <c r="B78" s="513" t="s">
        <v>2296</v>
      </c>
      <c r="C78" s="512" t="s">
        <v>2337</v>
      </c>
      <c r="D78" s="511" t="s">
        <v>2336</v>
      </c>
      <c r="E78" s="510">
        <v>0.67</v>
      </c>
      <c r="F78" s="509">
        <v>0.57999999999999996</v>
      </c>
      <c r="G78" s="509">
        <v>0.49</v>
      </c>
      <c r="H78" s="509">
        <v>0.43</v>
      </c>
      <c r="I78" s="508">
        <v>0.38</v>
      </c>
      <c r="K78" s="527" t="s">
        <v>2335</v>
      </c>
      <c r="L78" s="510">
        <v>0.7</v>
      </c>
      <c r="M78" s="509">
        <v>0.61</v>
      </c>
      <c r="N78" s="509">
        <v>0.53</v>
      </c>
      <c r="O78" s="509">
        <v>0.47</v>
      </c>
      <c r="P78" s="508">
        <v>0.43</v>
      </c>
      <c r="R78" s="527" t="s">
        <v>2334</v>
      </c>
      <c r="S78" s="510">
        <v>0.7</v>
      </c>
      <c r="T78" s="509">
        <v>0.61</v>
      </c>
      <c r="U78" s="509">
        <v>0.53</v>
      </c>
      <c r="V78" s="509">
        <v>0.47</v>
      </c>
      <c r="W78" s="508">
        <v>0.43</v>
      </c>
    </row>
    <row r="79" spans="2:23" x14ac:dyDescent="0.2">
      <c r="B79" s="513" t="s">
        <v>2296</v>
      </c>
      <c r="C79" s="512" t="s">
        <v>2304</v>
      </c>
      <c r="D79" s="511" t="s">
        <v>2336</v>
      </c>
      <c r="E79" s="510">
        <v>0.64</v>
      </c>
      <c r="F79" s="509">
        <v>0.55000000000000004</v>
      </c>
      <c r="G79" s="509">
        <v>0.45</v>
      </c>
      <c r="H79" s="509">
        <v>0.38</v>
      </c>
      <c r="I79" s="508">
        <v>0.33</v>
      </c>
      <c r="K79" s="527" t="s">
        <v>2335</v>
      </c>
      <c r="L79" s="510">
        <v>0.67</v>
      </c>
      <c r="M79" s="509">
        <v>0.57999999999999996</v>
      </c>
      <c r="N79" s="509">
        <v>0.49</v>
      </c>
      <c r="O79" s="509">
        <v>0.42</v>
      </c>
      <c r="P79" s="508">
        <v>0.37</v>
      </c>
      <c r="R79" s="527" t="s">
        <v>2334</v>
      </c>
      <c r="S79" s="510">
        <v>0.66</v>
      </c>
      <c r="T79" s="509">
        <v>0.56999999999999995</v>
      </c>
      <c r="U79" s="509">
        <v>0.48</v>
      </c>
      <c r="V79" s="509">
        <v>0.42</v>
      </c>
      <c r="W79" s="508">
        <v>0.37</v>
      </c>
    </row>
    <row r="80" spans="2:23" x14ac:dyDescent="0.2">
      <c r="B80" s="513" t="s">
        <v>2296</v>
      </c>
      <c r="C80" s="512" t="s">
        <v>2303</v>
      </c>
      <c r="D80" s="511" t="s">
        <v>2336</v>
      </c>
      <c r="E80" s="510">
        <v>0.62</v>
      </c>
      <c r="F80" s="509">
        <v>0.52</v>
      </c>
      <c r="G80" s="509">
        <v>0.42</v>
      </c>
      <c r="H80" s="509">
        <v>0.35</v>
      </c>
      <c r="I80" s="508">
        <v>0.28999999999999998</v>
      </c>
      <c r="K80" s="527" t="s">
        <v>2335</v>
      </c>
      <c r="L80" s="510">
        <v>0.64</v>
      </c>
      <c r="M80" s="509">
        <v>0.55000000000000004</v>
      </c>
      <c r="N80" s="509">
        <v>0.45</v>
      </c>
      <c r="O80" s="509">
        <v>0.38</v>
      </c>
      <c r="P80" s="508">
        <v>0.33</v>
      </c>
      <c r="R80" s="527" t="s">
        <v>2334</v>
      </c>
      <c r="S80" s="510">
        <v>0.65</v>
      </c>
      <c r="T80" s="509">
        <v>0.55000000000000004</v>
      </c>
      <c r="U80" s="509">
        <v>0.45</v>
      </c>
      <c r="V80" s="509">
        <v>0.39</v>
      </c>
      <c r="W80" s="508">
        <v>0.33</v>
      </c>
    </row>
    <row r="81" spans="1:23" x14ac:dyDescent="0.2">
      <c r="B81" s="513" t="s">
        <v>2296</v>
      </c>
      <c r="C81" s="512" t="s">
        <v>2302</v>
      </c>
      <c r="D81" s="511" t="s">
        <v>2336</v>
      </c>
      <c r="E81" s="510">
        <v>0.6</v>
      </c>
      <c r="F81" s="509">
        <v>0.49</v>
      </c>
      <c r="G81" s="509">
        <v>0.39</v>
      </c>
      <c r="H81" s="509">
        <v>0.31</v>
      </c>
      <c r="I81" s="508">
        <v>0.25</v>
      </c>
      <c r="K81" s="527" t="s">
        <v>2335</v>
      </c>
      <c r="L81" s="510">
        <v>0.63</v>
      </c>
      <c r="M81" s="509">
        <v>0.53</v>
      </c>
      <c r="N81" s="509">
        <v>0.43</v>
      </c>
      <c r="O81" s="509">
        <v>0.35</v>
      </c>
      <c r="P81" s="508">
        <v>0.3</v>
      </c>
      <c r="R81" s="527"/>
      <c r="S81" s="530"/>
      <c r="T81" s="529"/>
      <c r="U81" s="529"/>
      <c r="V81" s="529"/>
      <c r="W81" s="528"/>
    </row>
    <row r="82" spans="1:23" x14ac:dyDescent="0.2">
      <c r="B82" s="513" t="s">
        <v>2296</v>
      </c>
      <c r="C82" s="512" t="s">
        <v>2301</v>
      </c>
      <c r="D82" s="511" t="s">
        <v>2336</v>
      </c>
      <c r="E82" s="510">
        <v>0.64</v>
      </c>
      <c r="F82" s="509">
        <v>0.54</v>
      </c>
      <c r="G82" s="509">
        <v>0.44</v>
      </c>
      <c r="H82" s="509">
        <v>0.37</v>
      </c>
      <c r="I82" s="508">
        <v>0.32</v>
      </c>
      <c r="K82" s="527" t="s">
        <v>2335</v>
      </c>
      <c r="L82" s="510">
        <v>0.66</v>
      </c>
      <c r="M82" s="509">
        <v>0.56999999999999995</v>
      </c>
      <c r="N82" s="509">
        <v>0.48</v>
      </c>
      <c r="O82" s="509">
        <v>0.41</v>
      </c>
      <c r="P82" s="508">
        <v>0.36</v>
      </c>
      <c r="R82" s="527" t="s">
        <v>2334</v>
      </c>
      <c r="S82" s="510">
        <v>0.66</v>
      </c>
      <c r="T82" s="509">
        <v>0.56999999999999995</v>
      </c>
      <c r="U82" s="509">
        <v>0.48</v>
      </c>
      <c r="V82" s="509">
        <v>0.41</v>
      </c>
      <c r="W82" s="508">
        <v>0.36</v>
      </c>
    </row>
    <row r="83" spans="1:23" x14ac:dyDescent="0.2">
      <c r="B83" s="513" t="s">
        <v>2296</v>
      </c>
      <c r="C83" s="512" t="s">
        <v>2300</v>
      </c>
      <c r="D83" s="511" t="s">
        <v>2336</v>
      </c>
      <c r="E83" s="510">
        <v>0.6</v>
      </c>
      <c r="F83" s="509">
        <v>0.5</v>
      </c>
      <c r="G83" s="509">
        <v>0.39</v>
      </c>
      <c r="H83" s="509">
        <v>0.31</v>
      </c>
      <c r="I83" s="508">
        <v>0.25</v>
      </c>
      <c r="K83" s="527" t="s">
        <v>2335</v>
      </c>
      <c r="L83" s="510">
        <v>0.62</v>
      </c>
      <c r="M83" s="509">
        <v>0.52</v>
      </c>
      <c r="N83" s="509">
        <v>0.42</v>
      </c>
      <c r="O83" s="509">
        <v>0.34</v>
      </c>
      <c r="P83" s="508">
        <v>0.28999999999999998</v>
      </c>
      <c r="R83" s="527" t="s">
        <v>2334</v>
      </c>
      <c r="S83" s="510">
        <v>0.62</v>
      </c>
      <c r="T83" s="509">
        <v>0.52</v>
      </c>
      <c r="U83" s="509">
        <v>0.42</v>
      </c>
      <c r="V83" s="509">
        <v>0.34</v>
      </c>
      <c r="W83" s="508">
        <v>0.28999999999999998</v>
      </c>
    </row>
    <row r="84" spans="1:23" x14ac:dyDescent="0.2">
      <c r="B84" s="513" t="s">
        <v>2296</v>
      </c>
      <c r="C84" s="512" t="s">
        <v>2299</v>
      </c>
      <c r="D84" s="511" t="s">
        <v>2336</v>
      </c>
      <c r="E84" s="510">
        <v>0.59</v>
      </c>
      <c r="F84" s="509">
        <v>0.48</v>
      </c>
      <c r="G84" s="509">
        <v>0.37</v>
      </c>
      <c r="H84" s="509">
        <v>0.28999999999999998</v>
      </c>
      <c r="I84" s="508">
        <v>0.23</v>
      </c>
      <c r="K84" s="527" t="s">
        <v>2335</v>
      </c>
      <c r="L84" s="510">
        <v>0.61</v>
      </c>
      <c r="M84" s="509">
        <v>0.51</v>
      </c>
      <c r="N84" s="509">
        <v>0.4</v>
      </c>
      <c r="O84" s="509">
        <v>0.33</v>
      </c>
      <c r="P84" s="508">
        <v>0.27</v>
      </c>
      <c r="R84" s="527" t="s">
        <v>2334</v>
      </c>
      <c r="S84" s="510">
        <v>0.61</v>
      </c>
      <c r="T84" s="509">
        <v>0.51</v>
      </c>
      <c r="U84" s="509">
        <v>0.4</v>
      </c>
      <c r="V84" s="509">
        <v>0.33</v>
      </c>
      <c r="W84" s="508">
        <v>0.27</v>
      </c>
    </row>
    <row r="85" spans="1:23" x14ac:dyDescent="0.2">
      <c r="B85" s="513" t="s">
        <v>2296</v>
      </c>
      <c r="C85" s="512" t="s">
        <v>2298</v>
      </c>
      <c r="D85" s="511" t="s">
        <v>2336</v>
      </c>
      <c r="E85" s="510">
        <v>0.62</v>
      </c>
      <c r="F85" s="509">
        <v>0.52</v>
      </c>
      <c r="G85" s="509">
        <v>0.42</v>
      </c>
      <c r="H85" s="509">
        <v>0.34</v>
      </c>
      <c r="I85" s="508">
        <v>0.28999999999999998</v>
      </c>
      <c r="K85" s="527" t="s">
        <v>2335</v>
      </c>
      <c r="L85" s="510">
        <v>0.64</v>
      </c>
      <c r="M85" s="509">
        <v>0.55000000000000004</v>
      </c>
      <c r="N85" s="509">
        <v>0.45</v>
      </c>
      <c r="O85" s="509">
        <v>0.38</v>
      </c>
      <c r="P85" s="508">
        <v>0.32</v>
      </c>
      <c r="R85" s="527" t="s">
        <v>2334</v>
      </c>
      <c r="S85" s="510">
        <v>0.64</v>
      </c>
      <c r="T85" s="509">
        <v>0.55000000000000004</v>
      </c>
      <c r="U85" s="509">
        <v>0.45</v>
      </c>
      <c r="V85" s="509">
        <v>0.38</v>
      </c>
      <c r="W85" s="508">
        <v>0.32</v>
      </c>
    </row>
    <row r="86" spans="1:23" x14ac:dyDescent="0.2">
      <c r="B86" s="513" t="s">
        <v>2296</v>
      </c>
      <c r="C86" s="512" t="s">
        <v>2297</v>
      </c>
      <c r="D86" s="511" t="s">
        <v>2336</v>
      </c>
      <c r="E86" s="510">
        <v>0.61</v>
      </c>
      <c r="F86" s="509">
        <v>0.5</v>
      </c>
      <c r="G86" s="509">
        <v>0.39</v>
      </c>
      <c r="H86" s="509">
        <v>0.32</v>
      </c>
      <c r="I86" s="508">
        <v>0.26</v>
      </c>
      <c r="K86" s="527" t="s">
        <v>2335</v>
      </c>
      <c r="L86" s="510">
        <v>0.63</v>
      </c>
      <c r="M86" s="509">
        <v>0.53</v>
      </c>
      <c r="N86" s="509">
        <v>0.42</v>
      </c>
      <c r="O86" s="509">
        <v>0.35</v>
      </c>
      <c r="P86" s="508">
        <v>0.28999999999999998</v>
      </c>
      <c r="R86" s="527" t="s">
        <v>2334</v>
      </c>
      <c r="S86" s="510">
        <v>0.63</v>
      </c>
      <c r="T86" s="509">
        <v>0.53</v>
      </c>
      <c r="U86" s="509">
        <v>0.42</v>
      </c>
      <c r="V86" s="509">
        <v>0.35</v>
      </c>
      <c r="W86" s="508">
        <v>0.28999999999999998</v>
      </c>
    </row>
    <row r="87" spans="1:23" ht="13.5" thickBot="1" x14ac:dyDescent="0.25">
      <c r="B87" s="507" t="s">
        <v>2296</v>
      </c>
      <c r="C87" s="506" t="s">
        <v>2295</v>
      </c>
      <c r="D87" s="505" t="s">
        <v>2336</v>
      </c>
      <c r="E87" s="504">
        <v>0.57999999999999996</v>
      </c>
      <c r="F87" s="503">
        <v>0.47</v>
      </c>
      <c r="G87" s="503">
        <v>0.35</v>
      </c>
      <c r="H87" s="503">
        <v>0.27</v>
      </c>
      <c r="I87" s="502">
        <v>0.21</v>
      </c>
      <c r="K87" s="526" t="s">
        <v>2335</v>
      </c>
      <c r="L87" s="504">
        <v>0.6</v>
      </c>
      <c r="M87" s="503">
        <v>0.5</v>
      </c>
      <c r="N87" s="503">
        <v>0.39</v>
      </c>
      <c r="O87" s="503">
        <v>0.31</v>
      </c>
      <c r="P87" s="502">
        <v>0.25</v>
      </c>
      <c r="R87" s="526" t="s">
        <v>2334</v>
      </c>
      <c r="S87" s="504">
        <v>0.6</v>
      </c>
      <c r="T87" s="503">
        <v>0.5</v>
      </c>
      <c r="U87" s="503">
        <v>0.39</v>
      </c>
      <c r="V87" s="503">
        <v>0.31</v>
      </c>
      <c r="W87" s="502">
        <v>0.25</v>
      </c>
    </row>
    <row r="90" spans="1:23" ht="16.5" thickBot="1" x14ac:dyDescent="0.35">
      <c r="B90" s="13" t="s">
        <v>2333</v>
      </c>
    </row>
    <row r="91" spans="1:23" x14ac:dyDescent="0.2">
      <c r="A91" s="525" t="s">
        <v>2332</v>
      </c>
      <c r="B91" s="857" t="s">
        <v>2331</v>
      </c>
      <c r="C91" s="859" t="s">
        <v>2330</v>
      </c>
      <c r="D91" s="859" t="s">
        <v>559</v>
      </c>
      <c r="E91" s="855" t="s">
        <v>2329</v>
      </c>
      <c r="F91" s="855"/>
      <c r="G91" s="855"/>
      <c r="H91" s="855"/>
      <c r="I91" s="856"/>
    </row>
    <row r="92" spans="1:23" ht="13.5" thickBot="1" x14ac:dyDescent="0.25">
      <c r="B92" s="858"/>
      <c r="C92" s="860"/>
      <c r="D92" s="860"/>
      <c r="E92" s="524" t="s">
        <v>2328</v>
      </c>
      <c r="F92" s="524" t="s">
        <v>2327</v>
      </c>
      <c r="G92" s="524" t="s">
        <v>2326</v>
      </c>
      <c r="H92" s="524" t="s">
        <v>2325</v>
      </c>
      <c r="I92" s="523" t="s">
        <v>2324</v>
      </c>
    </row>
    <row r="93" spans="1:23" x14ac:dyDescent="0.2">
      <c r="B93" s="522" t="s">
        <v>2296</v>
      </c>
      <c r="C93" s="521" t="s">
        <v>2323</v>
      </c>
      <c r="D93" s="520" t="s">
        <v>2294</v>
      </c>
      <c r="E93" s="519">
        <v>0.53</v>
      </c>
      <c r="F93" s="518">
        <f t="shared" ref="F93:F120" si="0">E93</f>
        <v>0.53</v>
      </c>
      <c r="G93" s="518">
        <f t="shared" ref="G93:G120" si="1">E93</f>
        <v>0.53</v>
      </c>
      <c r="H93" s="518">
        <f t="shared" ref="H93:H120" si="2">E93</f>
        <v>0.53</v>
      </c>
      <c r="I93" s="517">
        <f t="shared" ref="I93:I120" si="3">E93</f>
        <v>0.53</v>
      </c>
    </row>
    <row r="94" spans="1:23" x14ac:dyDescent="0.2">
      <c r="B94" s="513" t="s">
        <v>2296</v>
      </c>
      <c r="C94" s="512" t="s">
        <v>2322</v>
      </c>
      <c r="D94" s="511" t="s">
        <v>2294</v>
      </c>
      <c r="E94" s="516">
        <v>0.45</v>
      </c>
      <c r="F94" s="515">
        <f t="shared" si="0"/>
        <v>0.45</v>
      </c>
      <c r="G94" s="515">
        <f t="shared" si="1"/>
        <v>0.45</v>
      </c>
      <c r="H94" s="515">
        <f t="shared" si="2"/>
        <v>0.45</v>
      </c>
      <c r="I94" s="514">
        <f t="shared" si="3"/>
        <v>0.45</v>
      </c>
    </row>
    <row r="95" spans="1:23" x14ac:dyDescent="0.2">
      <c r="B95" s="513" t="s">
        <v>2296</v>
      </c>
      <c r="C95" s="512" t="s">
        <v>2321</v>
      </c>
      <c r="D95" s="511" t="s">
        <v>2294</v>
      </c>
      <c r="E95" s="510">
        <v>0.52</v>
      </c>
      <c r="F95" s="509">
        <f t="shared" si="0"/>
        <v>0.52</v>
      </c>
      <c r="G95" s="509">
        <f t="shared" si="1"/>
        <v>0.52</v>
      </c>
      <c r="H95" s="509">
        <f t="shared" si="2"/>
        <v>0.52</v>
      </c>
      <c r="I95" s="508">
        <f t="shared" si="3"/>
        <v>0.52</v>
      </c>
    </row>
    <row r="96" spans="1:23" x14ac:dyDescent="0.2">
      <c r="B96" s="513" t="s">
        <v>2296</v>
      </c>
      <c r="C96" s="512" t="s">
        <v>2320</v>
      </c>
      <c r="D96" s="511" t="s">
        <v>2294</v>
      </c>
      <c r="E96" s="510">
        <v>0.48</v>
      </c>
      <c r="F96" s="509">
        <f t="shared" si="0"/>
        <v>0.48</v>
      </c>
      <c r="G96" s="509">
        <f t="shared" si="1"/>
        <v>0.48</v>
      </c>
      <c r="H96" s="509">
        <f t="shared" si="2"/>
        <v>0.48</v>
      </c>
      <c r="I96" s="508">
        <f t="shared" si="3"/>
        <v>0.48</v>
      </c>
    </row>
    <row r="97" spans="2:9" x14ac:dyDescent="0.2">
      <c r="B97" s="513" t="s">
        <v>2296</v>
      </c>
      <c r="C97" s="512" t="s">
        <v>2319</v>
      </c>
      <c r="D97" s="511" t="s">
        <v>2294</v>
      </c>
      <c r="E97" s="510">
        <v>0.43</v>
      </c>
      <c r="F97" s="509">
        <f t="shared" si="0"/>
        <v>0.43</v>
      </c>
      <c r="G97" s="509">
        <f t="shared" si="1"/>
        <v>0.43</v>
      </c>
      <c r="H97" s="509">
        <f t="shared" si="2"/>
        <v>0.43</v>
      </c>
      <c r="I97" s="508">
        <f t="shared" si="3"/>
        <v>0.43</v>
      </c>
    </row>
    <row r="98" spans="2:9" x14ac:dyDescent="0.2">
      <c r="B98" s="513" t="s">
        <v>2296</v>
      </c>
      <c r="C98" s="512" t="s">
        <v>2318</v>
      </c>
      <c r="D98" s="511" t="s">
        <v>2294</v>
      </c>
      <c r="E98" s="510">
        <v>0.41</v>
      </c>
      <c r="F98" s="509">
        <f t="shared" si="0"/>
        <v>0.41</v>
      </c>
      <c r="G98" s="509">
        <f t="shared" si="1"/>
        <v>0.41</v>
      </c>
      <c r="H98" s="509">
        <f t="shared" si="2"/>
        <v>0.41</v>
      </c>
      <c r="I98" s="508">
        <f t="shared" si="3"/>
        <v>0.41</v>
      </c>
    </row>
    <row r="99" spans="2:9" x14ac:dyDescent="0.2">
      <c r="B99" s="513" t="s">
        <v>2296</v>
      </c>
      <c r="C99" s="512" t="s">
        <v>2317</v>
      </c>
      <c r="D99" s="511" t="s">
        <v>2294</v>
      </c>
      <c r="E99" s="510">
        <v>0.49</v>
      </c>
      <c r="F99" s="509">
        <f t="shared" si="0"/>
        <v>0.49</v>
      </c>
      <c r="G99" s="509">
        <f t="shared" si="1"/>
        <v>0.49</v>
      </c>
      <c r="H99" s="509">
        <f t="shared" si="2"/>
        <v>0.49</v>
      </c>
      <c r="I99" s="508">
        <f t="shared" si="3"/>
        <v>0.49</v>
      </c>
    </row>
    <row r="100" spans="2:9" x14ac:dyDescent="0.2">
      <c r="B100" s="513" t="s">
        <v>2296</v>
      </c>
      <c r="C100" s="512" t="s">
        <v>2316</v>
      </c>
      <c r="D100" s="511" t="s">
        <v>2294</v>
      </c>
      <c r="E100" s="510">
        <v>0.45</v>
      </c>
      <c r="F100" s="509">
        <f t="shared" si="0"/>
        <v>0.45</v>
      </c>
      <c r="G100" s="509">
        <f t="shared" si="1"/>
        <v>0.45</v>
      </c>
      <c r="H100" s="509">
        <f t="shared" si="2"/>
        <v>0.45</v>
      </c>
      <c r="I100" s="508">
        <f t="shared" si="3"/>
        <v>0.45</v>
      </c>
    </row>
    <row r="101" spans="2:9" x14ac:dyDescent="0.2">
      <c r="B101" s="513" t="s">
        <v>2296</v>
      </c>
      <c r="C101" s="512" t="s">
        <v>2315</v>
      </c>
      <c r="D101" s="511" t="s">
        <v>2294</v>
      </c>
      <c r="E101" s="510">
        <v>0.41</v>
      </c>
      <c r="F101" s="509">
        <f t="shared" si="0"/>
        <v>0.41</v>
      </c>
      <c r="G101" s="509">
        <f t="shared" si="1"/>
        <v>0.41</v>
      </c>
      <c r="H101" s="509">
        <f t="shared" si="2"/>
        <v>0.41</v>
      </c>
      <c r="I101" s="508">
        <f t="shared" si="3"/>
        <v>0.41</v>
      </c>
    </row>
    <row r="102" spans="2:9" x14ac:dyDescent="0.2">
      <c r="B102" s="513" t="s">
        <v>2296</v>
      </c>
      <c r="C102" s="512" t="s">
        <v>2314</v>
      </c>
      <c r="D102" s="511" t="s">
        <v>2294</v>
      </c>
      <c r="E102" s="510">
        <v>0.4</v>
      </c>
      <c r="F102" s="509">
        <f t="shared" si="0"/>
        <v>0.4</v>
      </c>
      <c r="G102" s="509">
        <f t="shared" si="1"/>
        <v>0.4</v>
      </c>
      <c r="H102" s="509">
        <f t="shared" si="2"/>
        <v>0.4</v>
      </c>
      <c r="I102" s="508">
        <f t="shared" si="3"/>
        <v>0.4</v>
      </c>
    </row>
    <row r="103" spans="2:9" x14ac:dyDescent="0.2">
      <c r="B103" s="513" t="s">
        <v>2296</v>
      </c>
      <c r="C103" s="512" t="s">
        <v>2313</v>
      </c>
      <c r="D103" s="511" t="s">
        <v>2294</v>
      </c>
      <c r="E103" s="510">
        <v>0.38</v>
      </c>
      <c r="F103" s="509">
        <f t="shared" si="0"/>
        <v>0.38</v>
      </c>
      <c r="G103" s="509">
        <f t="shared" si="1"/>
        <v>0.38</v>
      </c>
      <c r="H103" s="509">
        <f t="shared" si="2"/>
        <v>0.38</v>
      </c>
      <c r="I103" s="508">
        <f t="shared" si="3"/>
        <v>0.38</v>
      </c>
    </row>
    <row r="104" spans="2:9" x14ac:dyDescent="0.2">
      <c r="B104" s="513" t="s">
        <v>2296</v>
      </c>
      <c r="C104" s="512" t="s">
        <v>2312</v>
      </c>
      <c r="D104" s="511" t="s">
        <v>2294</v>
      </c>
      <c r="E104" s="510">
        <v>0.35</v>
      </c>
      <c r="F104" s="509">
        <f t="shared" si="0"/>
        <v>0.35</v>
      </c>
      <c r="G104" s="509">
        <f t="shared" si="1"/>
        <v>0.35</v>
      </c>
      <c r="H104" s="509">
        <f t="shared" si="2"/>
        <v>0.35</v>
      </c>
      <c r="I104" s="508">
        <f t="shared" si="3"/>
        <v>0.35</v>
      </c>
    </row>
    <row r="105" spans="2:9" x14ac:dyDescent="0.2">
      <c r="B105" s="513" t="s">
        <v>2296</v>
      </c>
      <c r="C105" s="512" t="s">
        <v>2311</v>
      </c>
      <c r="D105" s="511" t="s">
        <v>2294</v>
      </c>
      <c r="E105" s="510">
        <v>0.35</v>
      </c>
      <c r="F105" s="509">
        <f t="shared" si="0"/>
        <v>0.35</v>
      </c>
      <c r="G105" s="509">
        <f t="shared" si="1"/>
        <v>0.35</v>
      </c>
      <c r="H105" s="509">
        <f t="shared" si="2"/>
        <v>0.35</v>
      </c>
      <c r="I105" s="508">
        <f t="shared" si="3"/>
        <v>0.35</v>
      </c>
    </row>
    <row r="106" spans="2:9" x14ac:dyDescent="0.2">
      <c r="B106" s="513" t="s">
        <v>2296</v>
      </c>
      <c r="C106" s="512" t="s">
        <v>2310</v>
      </c>
      <c r="D106" s="511" t="s">
        <v>2294</v>
      </c>
      <c r="E106" s="510">
        <v>0.37</v>
      </c>
      <c r="F106" s="509">
        <f t="shared" si="0"/>
        <v>0.37</v>
      </c>
      <c r="G106" s="509">
        <f t="shared" si="1"/>
        <v>0.37</v>
      </c>
      <c r="H106" s="509">
        <f t="shared" si="2"/>
        <v>0.37</v>
      </c>
      <c r="I106" s="508">
        <f t="shared" si="3"/>
        <v>0.37</v>
      </c>
    </row>
    <row r="107" spans="2:9" x14ac:dyDescent="0.2">
      <c r="B107" s="513" t="s">
        <v>2296</v>
      </c>
      <c r="C107" s="512" t="s">
        <v>2309</v>
      </c>
      <c r="D107" s="511" t="s">
        <v>2294</v>
      </c>
      <c r="E107" s="510">
        <v>0.35</v>
      </c>
      <c r="F107" s="509">
        <f t="shared" si="0"/>
        <v>0.35</v>
      </c>
      <c r="G107" s="509">
        <f t="shared" si="1"/>
        <v>0.35</v>
      </c>
      <c r="H107" s="509">
        <f t="shared" si="2"/>
        <v>0.35</v>
      </c>
      <c r="I107" s="508">
        <f t="shared" si="3"/>
        <v>0.35</v>
      </c>
    </row>
    <row r="108" spans="2:9" x14ac:dyDescent="0.2">
      <c r="B108" s="513" t="s">
        <v>2296</v>
      </c>
      <c r="C108" s="512" t="s">
        <v>2308</v>
      </c>
      <c r="D108" s="511" t="s">
        <v>2294</v>
      </c>
      <c r="E108" s="510">
        <v>0.34</v>
      </c>
      <c r="F108" s="509">
        <f t="shared" si="0"/>
        <v>0.34</v>
      </c>
      <c r="G108" s="509">
        <f t="shared" si="1"/>
        <v>0.34</v>
      </c>
      <c r="H108" s="509">
        <f t="shared" si="2"/>
        <v>0.34</v>
      </c>
      <c r="I108" s="508">
        <f t="shared" si="3"/>
        <v>0.34</v>
      </c>
    </row>
    <row r="109" spans="2:9" x14ac:dyDescent="0.2">
      <c r="B109" s="513" t="s">
        <v>2296</v>
      </c>
      <c r="C109" s="512" t="s">
        <v>2307</v>
      </c>
      <c r="D109" s="511" t="s">
        <v>2294</v>
      </c>
      <c r="E109" s="510">
        <v>0.36</v>
      </c>
      <c r="F109" s="509">
        <f t="shared" si="0"/>
        <v>0.36</v>
      </c>
      <c r="G109" s="509">
        <f t="shared" si="1"/>
        <v>0.36</v>
      </c>
      <c r="H109" s="509">
        <f t="shared" si="2"/>
        <v>0.36</v>
      </c>
      <c r="I109" s="508">
        <f t="shared" si="3"/>
        <v>0.36</v>
      </c>
    </row>
    <row r="110" spans="2:9" x14ac:dyDescent="0.2">
      <c r="B110" s="513" t="s">
        <v>2296</v>
      </c>
      <c r="C110" s="512" t="s">
        <v>2306</v>
      </c>
      <c r="D110" s="511" t="s">
        <v>2294</v>
      </c>
      <c r="E110" s="510">
        <v>0.33</v>
      </c>
      <c r="F110" s="509">
        <f t="shared" si="0"/>
        <v>0.33</v>
      </c>
      <c r="G110" s="509">
        <f t="shared" si="1"/>
        <v>0.33</v>
      </c>
      <c r="H110" s="509">
        <f t="shared" si="2"/>
        <v>0.33</v>
      </c>
      <c r="I110" s="508">
        <f t="shared" si="3"/>
        <v>0.33</v>
      </c>
    </row>
    <row r="111" spans="2:9" x14ac:dyDescent="0.2">
      <c r="B111" s="513" t="s">
        <v>2296</v>
      </c>
      <c r="C111" s="512" t="s">
        <v>2305</v>
      </c>
      <c r="D111" s="511" t="s">
        <v>2294</v>
      </c>
      <c r="E111" s="510">
        <v>0.32</v>
      </c>
      <c r="F111" s="509">
        <f t="shared" si="0"/>
        <v>0.32</v>
      </c>
      <c r="G111" s="509">
        <f t="shared" si="1"/>
        <v>0.32</v>
      </c>
      <c r="H111" s="509">
        <f t="shared" si="2"/>
        <v>0.32</v>
      </c>
      <c r="I111" s="508">
        <f t="shared" si="3"/>
        <v>0.32</v>
      </c>
    </row>
    <row r="112" spans="2:9" x14ac:dyDescent="0.2">
      <c r="B112" s="513" t="s">
        <v>2296</v>
      </c>
      <c r="C112" s="512" t="s">
        <v>2304</v>
      </c>
      <c r="D112" s="511" t="s">
        <v>2294</v>
      </c>
      <c r="E112" s="510">
        <v>0.33</v>
      </c>
      <c r="F112" s="509">
        <f t="shared" si="0"/>
        <v>0.33</v>
      </c>
      <c r="G112" s="509">
        <f t="shared" si="1"/>
        <v>0.33</v>
      </c>
      <c r="H112" s="509">
        <f t="shared" si="2"/>
        <v>0.33</v>
      </c>
      <c r="I112" s="508">
        <f t="shared" si="3"/>
        <v>0.33</v>
      </c>
    </row>
    <row r="113" spans="2:9" x14ac:dyDescent="0.2">
      <c r="B113" s="513" t="s">
        <v>2296</v>
      </c>
      <c r="C113" s="512" t="s">
        <v>2303</v>
      </c>
      <c r="D113" s="511" t="s">
        <v>2294</v>
      </c>
      <c r="E113" s="510">
        <v>0.32</v>
      </c>
      <c r="F113" s="509">
        <f t="shared" si="0"/>
        <v>0.32</v>
      </c>
      <c r="G113" s="509">
        <f t="shared" si="1"/>
        <v>0.32</v>
      </c>
      <c r="H113" s="509">
        <f t="shared" si="2"/>
        <v>0.32</v>
      </c>
      <c r="I113" s="508">
        <f t="shared" si="3"/>
        <v>0.32</v>
      </c>
    </row>
    <row r="114" spans="2:9" x14ac:dyDescent="0.2">
      <c r="B114" s="513" t="s">
        <v>2296</v>
      </c>
      <c r="C114" s="512" t="s">
        <v>2302</v>
      </c>
      <c r="D114" s="511" t="s">
        <v>2294</v>
      </c>
      <c r="E114" s="510">
        <v>0.3</v>
      </c>
      <c r="F114" s="509">
        <f t="shared" si="0"/>
        <v>0.3</v>
      </c>
      <c r="G114" s="509">
        <f t="shared" si="1"/>
        <v>0.3</v>
      </c>
      <c r="H114" s="509">
        <f t="shared" si="2"/>
        <v>0.3</v>
      </c>
      <c r="I114" s="508">
        <f t="shared" si="3"/>
        <v>0.3</v>
      </c>
    </row>
    <row r="115" spans="2:9" x14ac:dyDescent="0.2">
      <c r="B115" s="513" t="s">
        <v>2296</v>
      </c>
      <c r="C115" s="512" t="s">
        <v>2301</v>
      </c>
      <c r="D115" s="511" t="s">
        <v>2294</v>
      </c>
      <c r="E115" s="510">
        <v>0.31</v>
      </c>
      <c r="F115" s="509">
        <f t="shared" si="0"/>
        <v>0.31</v>
      </c>
      <c r="G115" s="509">
        <f t="shared" si="1"/>
        <v>0.31</v>
      </c>
      <c r="H115" s="509">
        <f t="shared" si="2"/>
        <v>0.31</v>
      </c>
      <c r="I115" s="508">
        <f t="shared" si="3"/>
        <v>0.31</v>
      </c>
    </row>
    <row r="116" spans="2:9" x14ac:dyDescent="0.2">
      <c r="B116" s="513" t="s">
        <v>2296</v>
      </c>
      <c r="C116" s="512" t="s">
        <v>2300</v>
      </c>
      <c r="D116" s="511" t="s">
        <v>2294</v>
      </c>
      <c r="E116" s="510">
        <v>0.28999999999999998</v>
      </c>
      <c r="F116" s="509">
        <f t="shared" si="0"/>
        <v>0.28999999999999998</v>
      </c>
      <c r="G116" s="509">
        <f t="shared" si="1"/>
        <v>0.28999999999999998</v>
      </c>
      <c r="H116" s="509">
        <f t="shared" si="2"/>
        <v>0.28999999999999998</v>
      </c>
      <c r="I116" s="508">
        <f t="shared" si="3"/>
        <v>0.28999999999999998</v>
      </c>
    </row>
    <row r="117" spans="2:9" x14ac:dyDescent="0.2">
      <c r="B117" s="513" t="s">
        <v>2296</v>
      </c>
      <c r="C117" s="512" t="s">
        <v>2299</v>
      </c>
      <c r="D117" s="511" t="s">
        <v>2294</v>
      </c>
      <c r="E117" s="510">
        <v>0.27</v>
      </c>
      <c r="F117" s="509">
        <f t="shared" si="0"/>
        <v>0.27</v>
      </c>
      <c r="G117" s="509">
        <f t="shared" si="1"/>
        <v>0.27</v>
      </c>
      <c r="H117" s="509">
        <f t="shared" si="2"/>
        <v>0.27</v>
      </c>
      <c r="I117" s="508">
        <f t="shared" si="3"/>
        <v>0.27</v>
      </c>
    </row>
    <row r="118" spans="2:9" x14ac:dyDescent="0.2">
      <c r="B118" s="513" t="s">
        <v>2296</v>
      </c>
      <c r="C118" s="512" t="s">
        <v>2298</v>
      </c>
      <c r="D118" s="511" t="s">
        <v>2294</v>
      </c>
      <c r="E118" s="510">
        <v>0.3</v>
      </c>
      <c r="F118" s="509">
        <f t="shared" si="0"/>
        <v>0.3</v>
      </c>
      <c r="G118" s="509">
        <f t="shared" si="1"/>
        <v>0.3</v>
      </c>
      <c r="H118" s="509">
        <f t="shared" si="2"/>
        <v>0.3</v>
      </c>
      <c r="I118" s="508">
        <f t="shared" si="3"/>
        <v>0.3</v>
      </c>
    </row>
    <row r="119" spans="2:9" x14ac:dyDescent="0.2">
      <c r="B119" s="513" t="s">
        <v>2296</v>
      </c>
      <c r="C119" s="512" t="s">
        <v>2297</v>
      </c>
      <c r="D119" s="511" t="s">
        <v>2294</v>
      </c>
      <c r="E119" s="510">
        <v>0.27</v>
      </c>
      <c r="F119" s="509">
        <f t="shared" si="0"/>
        <v>0.27</v>
      </c>
      <c r="G119" s="509">
        <f t="shared" si="1"/>
        <v>0.27</v>
      </c>
      <c r="H119" s="509">
        <f t="shared" si="2"/>
        <v>0.27</v>
      </c>
      <c r="I119" s="508">
        <f t="shared" si="3"/>
        <v>0.27</v>
      </c>
    </row>
    <row r="120" spans="2:9" ht="13.5" thickBot="1" x14ac:dyDescent="0.25">
      <c r="B120" s="507" t="s">
        <v>2296</v>
      </c>
      <c r="C120" s="506" t="s">
        <v>2295</v>
      </c>
      <c r="D120" s="505" t="s">
        <v>2294</v>
      </c>
      <c r="E120" s="504">
        <v>0.26</v>
      </c>
      <c r="F120" s="503">
        <f t="shared" si="0"/>
        <v>0.26</v>
      </c>
      <c r="G120" s="503">
        <f t="shared" si="1"/>
        <v>0.26</v>
      </c>
      <c r="H120" s="503">
        <f t="shared" si="2"/>
        <v>0.26</v>
      </c>
      <c r="I120" s="502">
        <f t="shared" si="3"/>
        <v>0.26</v>
      </c>
    </row>
  </sheetData>
  <sheetProtection autoFilter="0"/>
  <mergeCells count="20">
    <mergeCell ref="E51:I51"/>
    <mergeCell ref="B11:B12"/>
    <mergeCell ref="C11:C12"/>
    <mergeCell ref="D11:D12"/>
    <mergeCell ref="E11:I11"/>
    <mergeCell ref="S11:W11"/>
    <mergeCell ref="B91:B92"/>
    <mergeCell ref="C91:C92"/>
    <mergeCell ref="D91:D92"/>
    <mergeCell ref="E91:I91"/>
    <mergeCell ref="R11:R12"/>
    <mergeCell ref="B51:B52"/>
    <mergeCell ref="C51:C52"/>
    <mergeCell ref="D51:D52"/>
    <mergeCell ref="L11:P11"/>
    <mergeCell ref="K11:K12"/>
    <mergeCell ref="K51:K52"/>
    <mergeCell ref="L51:P51"/>
    <mergeCell ref="R51:R52"/>
    <mergeCell ref="S51:W51"/>
  </mergeCells>
  <conditionalFormatting sqref="E15:I47">
    <cfRule type="cellIs" dxfId="208" priority="1" stopIfTrue="1" operator="lessThanOrEqual">
      <formula>$C$6-0.12</formula>
    </cfRule>
    <cfRule type="cellIs" dxfId="207" priority="2" stopIfTrue="1" operator="greaterThan">
      <formula>$C$6-0.12</formula>
    </cfRule>
  </conditionalFormatting>
  <conditionalFormatting sqref="S13:W47">
    <cfRule type="cellIs" dxfId="206" priority="3" stopIfTrue="1" operator="lessThanOrEqual">
      <formula>$C$6-0.2</formula>
    </cfRule>
    <cfRule type="cellIs" dxfId="205" priority="4" stopIfTrue="1" operator="greaterThan">
      <formula>$C$6-0.2</formula>
    </cfRule>
  </conditionalFormatting>
  <conditionalFormatting sqref="L18:P47">
    <cfRule type="cellIs" dxfId="204" priority="5" stopIfTrue="1" operator="lessThanOrEqual">
      <formula>$C$6-0.16</formula>
    </cfRule>
    <cfRule type="cellIs" dxfId="203" priority="6" stopIfTrue="1" operator="greaterThan">
      <formula>$C$6-0.16</formula>
    </cfRule>
  </conditionalFormatting>
  <conditionalFormatting sqref="E93:I120 L54:P55 L57:P87 S54:W54 S57:W58 S61:W64 S66:W68 S70:W72 S74:W76 S78:W80 S82:W87 E53:I87">
    <cfRule type="cellIs" dxfId="202" priority="7" stopIfTrue="1" operator="lessThanOrEqual">
      <formula>$C$6-0.4</formula>
    </cfRule>
    <cfRule type="cellIs" dxfId="201" priority="8" stopIfTrue="1" operator="greaterThan">
      <formula>$C$6-0.4</formula>
    </cfRule>
  </conditionalFormatting>
  <conditionalFormatting sqref="C7:C8">
    <cfRule type="cellIs" dxfId="200" priority="9" stopIfTrue="1" operator="between">
      <formula>1</formula>
      <formula>1.5</formula>
    </cfRule>
    <cfRule type="cellIs" dxfId="199" priority="10" stopIfTrue="1" operator="between">
      <formula>1.7</formula>
      <formula>2</formula>
    </cfRule>
    <cfRule type="cellIs" dxfId="198" priority="11" stopIfTrue="1" operator="between">
      <formula>1.5</formula>
      <formula>1.7</formula>
    </cfRule>
  </conditionalFormatting>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R56"/>
  <sheetViews>
    <sheetView topLeftCell="E11" workbookViewId="0">
      <selection activeCell="L23" sqref="L23:L24"/>
    </sheetView>
  </sheetViews>
  <sheetFormatPr defaultRowHeight="15" x14ac:dyDescent="0.25"/>
  <cols>
    <col min="1" max="1" width="8.5703125" style="561" customWidth="1"/>
    <col min="2" max="2" width="11.7109375" style="561" customWidth="1"/>
    <col min="3" max="5" width="13.140625" style="561" bestFit="1" customWidth="1"/>
    <col min="6" max="9" width="9.140625" style="561"/>
    <col min="10" max="12" width="13.140625" style="561" bestFit="1" customWidth="1"/>
    <col min="13" max="13" width="9.140625" style="561"/>
    <col min="14" max="14" width="85" style="561" customWidth="1"/>
    <col min="15" max="16" width="9.140625" style="561"/>
    <col min="17" max="17" width="21.7109375" style="561" customWidth="1"/>
    <col min="18" max="16384" width="9.140625" style="561"/>
  </cols>
  <sheetData>
    <row r="1" spans="1:18" x14ac:dyDescent="0.25">
      <c r="A1" s="561" t="s">
        <v>2471</v>
      </c>
      <c r="B1" s="561" t="s">
        <v>2439</v>
      </c>
      <c r="C1" s="561" t="s">
        <v>2500</v>
      </c>
      <c r="D1" s="561" t="s">
        <v>2499</v>
      </c>
      <c r="E1" s="561" t="s">
        <v>2498</v>
      </c>
      <c r="F1" s="561" t="s">
        <v>329</v>
      </c>
      <c r="G1" s="561" t="s">
        <v>2440</v>
      </c>
      <c r="H1" s="561" t="s">
        <v>2497</v>
      </c>
      <c r="I1" s="561" t="s">
        <v>1850</v>
      </c>
    </row>
    <row r="2" spans="1:18" x14ac:dyDescent="0.25">
      <c r="B2" s="561" t="s">
        <v>2410</v>
      </c>
      <c r="C2" s="561" t="s">
        <v>2410</v>
      </c>
      <c r="D2" s="561" t="s">
        <v>2387</v>
      </c>
      <c r="E2" s="561" t="s">
        <v>2496</v>
      </c>
      <c r="F2" s="561">
        <v>-10.01</v>
      </c>
      <c r="G2" s="561">
        <v>300.01</v>
      </c>
      <c r="H2" s="561" t="str">
        <f>IF(AND(K3&gt;F2,K3&lt;G2,K4&lt;=25),"YES","NO")</f>
        <v>YES</v>
      </c>
      <c r="I2" s="561" t="s">
        <v>2496</v>
      </c>
      <c r="J2" s="561" t="s">
        <v>2495</v>
      </c>
      <c r="K2" s="561" t="s">
        <v>2494</v>
      </c>
      <c r="M2" s="561" t="s">
        <v>2493</v>
      </c>
      <c r="N2" s="561" t="s">
        <v>2492</v>
      </c>
      <c r="O2" s="561" t="s">
        <v>2491</v>
      </c>
    </row>
    <row r="3" spans="1:18" x14ac:dyDescent="0.25">
      <c r="B3" s="561" t="s">
        <v>2414</v>
      </c>
      <c r="C3" s="561" t="s">
        <v>2406</v>
      </c>
      <c r="D3" s="561" t="s">
        <v>2386</v>
      </c>
      <c r="E3" s="561" t="s">
        <v>2490</v>
      </c>
      <c r="F3" s="561">
        <v>-10.01</v>
      </c>
      <c r="G3" s="561">
        <v>400.01</v>
      </c>
      <c r="H3" s="561" t="str">
        <f>IF(AND(K3&gt;F3,K3&lt;G3,K4&lt;=102),"YES","NO")</f>
        <v>YES</v>
      </c>
      <c r="I3" s="561" t="s">
        <v>2490</v>
      </c>
      <c r="J3" s="561" t="s">
        <v>2489</v>
      </c>
      <c r="K3" s="571">
        <f>SELECTION!R16</f>
        <v>34</v>
      </c>
      <c r="M3" s="561" t="s">
        <v>2488</v>
      </c>
      <c r="N3" s="561" t="s">
        <v>2487</v>
      </c>
      <c r="O3" s="561" t="s">
        <v>2486</v>
      </c>
      <c r="Q3"/>
    </row>
    <row r="4" spans="1:18" x14ac:dyDescent="0.25">
      <c r="B4" s="561" t="s">
        <v>2429</v>
      </c>
      <c r="C4" s="561" t="s">
        <v>2485</v>
      </c>
      <c r="D4" s="561" t="s">
        <v>2385</v>
      </c>
      <c r="E4" s="561" t="s">
        <v>2484</v>
      </c>
      <c r="F4" s="561">
        <v>-30.01</v>
      </c>
      <c r="G4" s="561">
        <v>425.01</v>
      </c>
      <c r="H4" s="561" t="str">
        <f>IF(AND(K3&gt;F4,K3&lt;G4,K4&lt;=100),"YES","NO")</f>
        <v>YES</v>
      </c>
      <c r="I4" s="561" t="s">
        <v>2484</v>
      </c>
      <c r="J4" s="561" t="s">
        <v>2483</v>
      </c>
      <c r="K4" s="571">
        <f>SELECTION!R14</f>
        <v>20</v>
      </c>
      <c r="M4" s="561" t="s">
        <v>2482</v>
      </c>
      <c r="N4" s="561" t="s">
        <v>2481</v>
      </c>
      <c r="O4" s="561" t="s">
        <v>2480</v>
      </c>
      <c r="Q4" s="561" t="s">
        <v>2509</v>
      </c>
      <c r="R4" s="864"/>
    </row>
    <row r="5" spans="1:18" x14ac:dyDescent="0.25">
      <c r="B5" s="561" t="s">
        <v>699</v>
      </c>
      <c r="C5" s="561" t="s">
        <v>2479</v>
      </c>
      <c r="D5" s="561" t="s">
        <v>2384</v>
      </c>
      <c r="H5" s="561" t="s">
        <v>2379</v>
      </c>
      <c r="I5" s="561" t="s">
        <v>2378</v>
      </c>
      <c r="J5" s="561" t="s">
        <v>2439</v>
      </c>
      <c r="K5" s="561" t="str">
        <f>VLOOKUP("YES",F17:G22,2,FALSE)</f>
        <v>Standard</v>
      </c>
      <c r="M5" s="561" t="s">
        <v>2478</v>
      </c>
      <c r="N5" s="561" t="s">
        <v>2477</v>
      </c>
      <c r="O5" s="561" t="s">
        <v>2476</v>
      </c>
      <c r="Q5" s="561" t="s">
        <v>2510</v>
      </c>
      <c r="R5" s="864"/>
    </row>
    <row r="6" spans="1:18" x14ac:dyDescent="0.25">
      <c r="C6" s="561" t="s">
        <v>2414</v>
      </c>
      <c r="D6" s="561" t="s">
        <v>2383</v>
      </c>
      <c r="J6" s="561" t="s">
        <v>2475</v>
      </c>
      <c r="K6" s="561" t="str">
        <f>VLOOKUP("YES",F23:G28,2,FALSE)</f>
        <v>Standard</v>
      </c>
      <c r="M6" s="561" t="s">
        <v>2474</v>
      </c>
      <c r="N6" s="561" t="s">
        <v>2473</v>
      </c>
      <c r="O6" s="561" t="s">
        <v>2436</v>
      </c>
      <c r="Q6" s="561" t="s">
        <v>2511</v>
      </c>
      <c r="R6" s="864"/>
    </row>
    <row r="7" spans="1:18" x14ac:dyDescent="0.25">
      <c r="D7" s="561" t="s">
        <v>2472</v>
      </c>
      <c r="J7" s="561" t="s">
        <v>2471</v>
      </c>
      <c r="K7" s="561" t="str">
        <f>VLOOKUP("YES",E48:F56,2,FALSE)</f>
        <v>PN25</v>
      </c>
      <c r="M7" s="561" t="s">
        <v>2470</v>
      </c>
      <c r="N7" s="561" t="s">
        <v>2469</v>
      </c>
      <c r="O7" s="561" t="s">
        <v>2468</v>
      </c>
      <c r="Q7" s="561" t="s">
        <v>2512</v>
      </c>
      <c r="R7" s="864"/>
    </row>
    <row r="8" spans="1:18" x14ac:dyDescent="0.25">
      <c r="D8" s="561" t="s">
        <v>2467</v>
      </c>
      <c r="J8" s="561" t="s">
        <v>2466</v>
      </c>
      <c r="K8" s="561" t="str">
        <f>VLOOKUP("YES",H2:I5,2,FALSE)</f>
        <v>ASTM A395</v>
      </c>
      <c r="M8" s="561" t="s">
        <v>2465</v>
      </c>
      <c r="N8" s="561" t="s">
        <v>2464</v>
      </c>
      <c r="O8" s="561" t="s">
        <v>2463</v>
      </c>
      <c r="Q8" s="561" t="s">
        <v>2513</v>
      </c>
      <c r="R8" s="864"/>
    </row>
    <row r="9" spans="1:18" x14ac:dyDescent="0.25">
      <c r="D9" s="561" t="s">
        <v>2462</v>
      </c>
      <c r="J9" s="561" t="s">
        <v>2461</v>
      </c>
      <c r="K9" s="571" t="str">
        <f>SELECTION!E10</f>
        <v>AMMONIA</v>
      </c>
      <c r="M9" s="561" t="s">
        <v>2460</v>
      </c>
      <c r="N9" s="561" t="s">
        <v>2459</v>
      </c>
      <c r="O9" s="561" t="s">
        <v>2458</v>
      </c>
      <c r="Q9" s="561" t="s">
        <v>2514</v>
      </c>
      <c r="R9" s="864"/>
    </row>
    <row r="10" spans="1:18" x14ac:dyDescent="0.25">
      <c r="M10" s="561" t="s">
        <v>2457</v>
      </c>
      <c r="N10" s="561" t="s">
        <v>2456</v>
      </c>
      <c r="O10" s="561" t="s">
        <v>2455</v>
      </c>
      <c r="Q10" s="561" t="s">
        <v>2515</v>
      </c>
      <c r="R10" s="864"/>
    </row>
    <row r="11" spans="1:18" x14ac:dyDescent="0.25">
      <c r="M11" s="561" t="s">
        <v>2454</v>
      </c>
      <c r="N11" s="561" t="s">
        <v>2453</v>
      </c>
      <c r="O11" s="561" t="s">
        <v>2445</v>
      </c>
      <c r="Q11" s="561" t="s">
        <v>2516</v>
      </c>
      <c r="R11" s="864"/>
    </row>
    <row r="12" spans="1:18" x14ac:dyDescent="0.25">
      <c r="M12" s="561" t="s">
        <v>2452</v>
      </c>
      <c r="N12" s="561" t="s">
        <v>2451</v>
      </c>
      <c r="O12" s="561" t="s">
        <v>2419</v>
      </c>
      <c r="R12" s="864"/>
    </row>
    <row r="13" spans="1:18" x14ac:dyDescent="0.25">
      <c r="M13" s="561" t="s">
        <v>2450</v>
      </c>
      <c r="N13" s="561" t="s">
        <v>2449</v>
      </c>
      <c r="O13" s="561" t="s">
        <v>2448</v>
      </c>
      <c r="R13" s="864"/>
    </row>
    <row r="14" spans="1:18" x14ac:dyDescent="0.25">
      <c r="M14" s="561" t="s">
        <v>2447</v>
      </c>
      <c r="N14" s="561" t="s">
        <v>2446</v>
      </c>
      <c r="O14" s="561" t="s">
        <v>2445</v>
      </c>
    </row>
    <row r="15" spans="1:18" x14ac:dyDescent="0.25">
      <c r="M15" s="561" t="s">
        <v>2444</v>
      </c>
      <c r="N15" s="561" t="s">
        <v>2443</v>
      </c>
      <c r="O15" s="561" t="s">
        <v>2442</v>
      </c>
    </row>
    <row r="16" spans="1:18" x14ac:dyDescent="0.25">
      <c r="C16" s="570" t="s">
        <v>2439</v>
      </c>
      <c r="D16" s="570" t="s">
        <v>2441</v>
      </c>
      <c r="E16" s="570" t="s">
        <v>2440</v>
      </c>
      <c r="F16" s="570" t="s">
        <v>2439</v>
      </c>
      <c r="M16" s="561" t="s">
        <v>2438</v>
      </c>
      <c r="N16" s="561" t="s">
        <v>2437</v>
      </c>
      <c r="O16" s="561" t="s">
        <v>2436</v>
      </c>
    </row>
    <row r="17" spans="2:15" x14ac:dyDescent="0.25">
      <c r="C17" s="563" t="s">
        <v>2414</v>
      </c>
      <c r="D17" s="563"/>
      <c r="E17" s="563"/>
      <c r="F17" s="563" t="str">
        <f>IF($K$6="Bellow seal","YES","NO")</f>
        <v>NO</v>
      </c>
      <c r="G17" s="563" t="s">
        <v>2414</v>
      </c>
      <c r="M17" s="561" t="s">
        <v>2435</v>
      </c>
      <c r="N17" s="561" t="s">
        <v>2434</v>
      </c>
      <c r="O17" s="561" t="s">
        <v>2433</v>
      </c>
    </row>
    <row r="18" spans="2:15" x14ac:dyDescent="0.25">
      <c r="C18" s="563" t="s">
        <v>2410</v>
      </c>
      <c r="D18" s="563">
        <v>-10</v>
      </c>
      <c r="E18" s="563">
        <v>180</v>
      </c>
      <c r="F18" s="563" t="str">
        <f>IF(AND($K$3&gt;=$D$18,$K$3&lt;=$E$18),"YES","NO")</f>
        <v>YES</v>
      </c>
      <c r="G18" s="563" t="s">
        <v>2410</v>
      </c>
      <c r="M18" s="561" t="s">
        <v>2432</v>
      </c>
      <c r="N18" s="561" t="s">
        <v>2431</v>
      </c>
      <c r="O18" s="561" t="s">
        <v>2430</v>
      </c>
    </row>
    <row r="19" spans="2:15" x14ac:dyDescent="0.25">
      <c r="C19" s="564" t="s">
        <v>2429</v>
      </c>
      <c r="D19" s="564">
        <v>-10</v>
      </c>
      <c r="E19" s="564">
        <v>210</v>
      </c>
      <c r="F19" s="563" t="str">
        <f>IF(AND($K$3&gt;=$D$19,$K$3&lt;=$E$19),"YES","NO")</f>
        <v>YES</v>
      </c>
      <c r="G19" s="564" t="s">
        <v>2429</v>
      </c>
      <c r="M19" s="561" t="s">
        <v>2428</v>
      </c>
      <c r="N19" s="561" t="s">
        <v>2427</v>
      </c>
      <c r="O19" s="561" t="s">
        <v>2426</v>
      </c>
    </row>
    <row r="20" spans="2:15" x14ac:dyDescent="0.25">
      <c r="C20" s="563" t="s">
        <v>699</v>
      </c>
      <c r="D20" s="563">
        <v>-10</v>
      </c>
      <c r="E20" s="563">
        <v>300</v>
      </c>
      <c r="F20" s="563" t="str">
        <f>IF(AND($K$3&gt;=$D$20,$K$3&lt;=$E$20),"YES","NO")</f>
        <v>YES</v>
      </c>
      <c r="G20" s="563" t="s">
        <v>699</v>
      </c>
      <c r="M20" s="561" t="s">
        <v>2425</v>
      </c>
      <c r="N20" s="561" t="s">
        <v>2424</v>
      </c>
      <c r="O20" s="561" t="s">
        <v>2423</v>
      </c>
    </row>
    <row r="21" spans="2:15" x14ac:dyDescent="0.25">
      <c r="C21" s="561" t="s">
        <v>2422</v>
      </c>
      <c r="G21" s="561" t="s">
        <v>2422</v>
      </c>
      <c r="M21" s="561" t="s">
        <v>2421</v>
      </c>
      <c r="N21" s="561" t="s">
        <v>2420</v>
      </c>
      <c r="O21" s="561" t="s">
        <v>2419</v>
      </c>
    </row>
    <row r="22" spans="2:15" x14ac:dyDescent="0.25">
      <c r="C22" s="564"/>
      <c r="D22" s="564"/>
      <c r="E22" s="564"/>
      <c r="F22" s="564" t="s">
        <v>2379</v>
      </c>
      <c r="G22" s="564" t="s">
        <v>2378</v>
      </c>
      <c r="M22" s="561" t="s">
        <v>2418</v>
      </c>
      <c r="N22" s="561" t="s">
        <v>2417</v>
      </c>
      <c r="O22" s="561" t="s">
        <v>2416</v>
      </c>
    </row>
    <row r="23" spans="2:15" x14ac:dyDescent="0.25">
      <c r="B23" s="561" t="s">
        <v>2415</v>
      </c>
      <c r="C23" s="567" t="s">
        <v>2414</v>
      </c>
      <c r="D23" s="564"/>
      <c r="E23" s="564"/>
      <c r="F23" s="566" t="str">
        <f>IF(OR($K$9="OIL",$K$9="BUTADENE",$K$9="PHOSHENE"),"YES","NO")</f>
        <v>NO</v>
      </c>
      <c r="G23" s="567" t="s">
        <v>2414</v>
      </c>
      <c r="M23" s="561" t="s">
        <v>2413</v>
      </c>
      <c r="N23" s="561" t="s">
        <v>2412</v>
      </c>
      <c r="O23" s="561" t="s">
        <v>2411</v>
      </c>
    </row>
    <row r="24" spans="2:15" x14ac:dyDescent="0.25">
      <c r="C24" s="567" t="s">
        <v>2410</v>
      </c>
      <c r="D24" s="564">
        <v>-10</v>
      </c>
      <c r="E24" s="564">
        <v>250</v>
      </c>
      <c r="F24" s="566" t="str">
        <f>IF(AND($K$3&gt;=$D$24,$K$3&lt;=$E$24),"YES","NO")</f>
        <v>YES</v>
      </c>
      <c r="G24" s="567" t="s">
        <v>2410</v>
      </c>
      <c r="M24" s="561" t="s">
        <v>2409</v>
      </c>
      <c r="N24" s="561" t="s">
        <v>2408</v>
      </c>
      <c r="O24" s="561" t="s">
        <v>2407</v>
      </c>
    </row>
    <row r="25" spans="2:15" x14ac:dyDescent="0.25">
      <c r="C25" s="568" t="s">
        <v>2406</v>
      </c>
      <c r="D25" s="563"/>
      <c r="E25" s="563">
        <v>250</v>
      </c>
      <c r="F25" s="569" t="str">
        <f>IF(K3&gt;250,"YES","NO")</f>
        <v>NO</v>
      </c>
      <c r="G25" s="568" t="s">
        <v>2406</v>
      </c>
      <c r="M25" s="561" t="s">
        <v>2405</v>
      </c>
      <c r="N25" s="561" t="s">
        <v>2404</v>
      </c>
      <c r="O25" s="561" t="s">
        <v>2403</v>
      </c>
    </row>
    <row r="26" spans="2:15" x14ac:dyDescent="0.25">
      <c r="C26" s="567" t="s">
        <v>2402</v>
      </c>
      <c r="D26" s="564">
        <v>-60</v>
      </c>
      <c r="E26" s="564">
        <v>-10</v>
      </c>
      <c r="F26" s="566" t="str">
        <f>IF(AND($K$3&gt;=$D$26,$K$3&lt;=$E$26),"YES","NO")</f>
        <v>NO</v>
      </c>
      <c r="G26" s="567" t="s">
        <v>2402</v>
      </c>
      <c r="M26" s="561" t="s">
        <v>2401</v>
      </c>
      <c r="N26" s="561" t="s">
        <v>2400</v>
      </c>
      <c r="O26" s="561" t="s">
        <v>2399</v>
      </c>
    </row>
    <row r="27" spans="2:15" x14ac:dyDescent="0.25">
      <c r="C27" s="568" t="s">
        <v>2398</v>
      </c>
      <c r="D27" s="563">
        <v>-200</v>
      </c>
      <c r="E27" s="563">
        <v>-60</v>
      </c>
      <c r="F27" s="569" t="str">
        <f>IF(AND($K$3&gt;=$D$27,$K$3&lt;$E$27),"YES","NO")</f>
        <v>NO</v>
      </c>
      <c r="G27" s="568" t="s">
        <v>2398</v>
      </c>
      <c r="M27" s="561" t="s">
        <v>2397</v>
      </c>
      <c r="N27" s="561" t="s">
        <v>2396</v>
      </c>
      <c r="O27" s="561" t="s">
        <v>2395</v>
      </c>
    </row>
    <row r="28" spans="2:15" x14ac:dyDescent="0.25">
      <c r="C28" s="567"/>
      <c r="D28" s="564"/>
      <c r="E28" s="564"/>
      <c r="F28" s="566" t="s">
        <v>2394</v>
      </c>
      <c r="G28" s="565" t="s">
        <v>2378</v>
      </c>
      <c r="M28" s="561" t="s">
        <v>2393</v>
      </c>
      <c r="N28" s="561" t="s">
        <v>2392</v>
      </c>
      <c r="O28" s="561" t="s">
        <v>2391</v>
      </c>
    </row>
    <row r="29" spans="2:15" x14ac:dyDescent="0.25">
      <c r="M29" s="561" t="s">
        <v>2390</v>
      </c>
      <c r="N29" s="561" t="s">
        <v>2389</v>
      </c>
      <c r="O29" s="561" t="s">
        <v>2388</v>
      </c>
    </row>
    <row r="32" spans="2:15" x14ac:dyDescent="0.25">
      <c r="C32" s="564"/>
    </row>
    <row r="33" spans="3:6" x14ac:dyDescent="0.25">
      <c r="C33" s="563"/>
    </row>
    <row r="34" spans="3:6" x14ac:dyDescent="0.25">
      <c r="C34" s="564"/>
    </row>
    <row r="35" spans="3:6" x14ac:dyDescent="0.25">
      <c r="C35" s="563"/>
    </row>
    <row r="36" spans="3:6" x14ac:dyDescent="0.25">
      <c r="C36" s="564"/>
    </row>
    <row r="37" spans="3:6" x14ac:dyDescent="0.25">
      <c r="C37" s="563"/>
    </row>
    <row r="38" spans="3:6" x14ac:dyDescent="0.25">
      <c r="C38" s="564"/>
    </row>
    <row r="39" spans="3:6" x14ac:dyDescent="0.25">
      <c r="C39" s="563"/>
    </row>
    <row r="40" spans="3:6" x14ac:dyDescent="0.25">
      <c r="C40" s="562"/>
    </row>
    <row r="48" spans="3:6" x14ac:dyDescent="0.25">
      <c r="C48" s="561" t="s">
        <v>2387</v>
      </c>
      <c r="D48" s="561">
        <f>15.93 - (0.002393911/-0.01205441)*(1 - EXP(0.01205441*$K$3))</f>
        <v>15.829394875667351</v>
      </c>
      <c r="E48" s="561" t="str">
        <f>IF(AND($K$4&lt;16,D48&gt;0,$K$3&lt;300),"YES","NO")</f>
        <v>NO</v>
      </c>
      <c r="F48" s="561" t="s">
        <v>2387</v>
      </c>
    </row>
    <row r="49" spans="3:6" x14ac:dyDescent="0.25">
      <c r="C49" s="561" t="s">
        <v>2386</v>
      </c>
      <c r="D49" s="561">
        <f>24.93 - (0.002393911/-0.01205441)*(1 - EXP(0.01205441*$K$3))</f>
        <v>24.829394875667351</v>
      </c>
      <c r="E49" s="561" t="str">
        <f>IF(AND($K$4&lt;25,D49&gt;0,$K$3&lt;300),"YES","NO")</f>
        <v>YES</v>
      </c>
      <c r="F49" s="561" t="s">
        <v>2386</v>
      </c>
    </row>
    <row r="50" spans="3:6" x14ac:dyDescent="0.25">
      <c r="C50" s="561" t="s">
        <v>2385</v>
      </c>
      <c r="D50" s="561">
        <f>39.93 - (0.002393911/-0.01205441)*(1 - EXP(0.01205441*$K$3))</f>
        <v>39.829394875667354</v>
      </c>
      <c r="E50" s="561" t="str">
        <f>IF(AND($K$4&lt;40,D50&gt;0,$K$3&lt;425),"YES","NO")</f>
        <v>YES</v>
      </c>
      <c r="F50" s="561" t="s">
        <v>2385</v>
      </c>
    </row>
    <row r="51" spans="3:6" x14ac:dyDescent="0.25">
      <c r="C51" s="561" t="s">
        <v>2384</v>
      </c>
      <c r="D51" s="561">
        <f>62.93 - (0.002393911/-0.01205441)*(1 - EXP(0.01205441*$K$3))</f>
        <v>62.829394875667354</v>
      </c>
      <c r="E51" s="561" t="str">
        <f>IF(AND($K$4&lt;63,D51&gt;0,$K$3&lt;=425),"YES","NO")</f>
        <v>YES</v>
      </c>
      <c r="F51" s="561" t="s">
        <v>2384</v>
      </c>
    </row>
    <row r="52" spans="3:6" x14ac:dyDescent="0.25">
      <c r="C52" s="561" t="s">
        <v>2383</v>
      </c>
      <c r="D52" s="561">
        <f>99.93 - (0.002393911/-0.01205441)*(1 - EXP(0.01205441*$K$3))</f>
        <v>99.829394875667361</v>
      </c>
      <c r="E52" s="561" t="str">
        <f>IF(AND($K$4&lt;=100,D52&gt;0,$K$3&lt;425),"YES","NO")</f>
        <v>YES</v>
      </c>
      <c r="F52" s="561" t="s">
        <v>2383</v>
      </c>
    </row>
    <row r="53" spans="3:6" x14ac:dyDescent="0.25">
      <c r="C53" s="561" t="s">
        <v>2382</v>
      </c>
      <c r="D53" s="561">
        <f>18.93 - (0.002393911/-0.01205441)*(1 - EXP(0.01205441*$K$3))</f>
        <v>18.829394875667351</v>
      </c>
      <c r="E53" s="561" t="str">
        <f>IF(AND($K$4&lt;19,D53&gt;0,$K$3&lt;425),"YES","NO")</f>
        <v>NO</v>
      </c>
      <c r="F53" s="561" t="s">
        <v>2382</v>
      </c>
    </row>
    <row r="54" spans="3:6" x14ac:dyDescent="0.25">
      <c r="C54" s="561" t="s">
        <v>2381</v>
      </c>
      <c r="D54" s="561">
        <f>49.93 - (0.002393911/-0.01205441)*(1 - EXP(0.01205441*$K$3))</f>
        <v>49.829394875667354</v>
      </c>
      <c r="E54" s="561" t="str">
        <f>IF(AND($K$4&lt;50,D54&gt;0,$K$3&lt;425),"YES","NO")</f>
        <v>YES</v>
      </c>
      <c r="F54" s="561" t="s">
        <v>2381</v>
      </c>
    </row>
    <row r="55" spans="3:6" x14ac:dyDescent="0.25">
      <c r="C55" s="561" t="s">
        <v>2380</v>
      </c>
      <c r="D55" s="561">
        <f>99.93 - (0.002393911/-0.01205441)*(1 - EXP(0.01205441*$K$3))</f>
        <v>99.829394875667361</v>
      </c>
      <c r="E55" s="561" t="str">
        <f>IF(AND($K$4&lt;=100,D55&gt;0,$K$3&lt;425),"YES","NO")</f>
        <v>YES</v>
      </c>
      <c r="F55" s="561" t="s">
        <v>2380</v>
      </c>
    </row>
    <row r="56" spans="3:6" x14ac:dyDescent="0.25">
      <c r="E56" s="561" t="s">
        <v>2379</v>
      </c>
      <c r="F56" s="561" t="s">
        <v>2378</v>
      </c>
    </row>
  </sheetData>
  <phoneticPr fontId="69" type="noConversion"/>
  <dataValidations count="8">
    <dataValidation type="list" allowBlank="1" showInputMessage="1" showErrorMessage="1" sqref="R4">
      <formula1>$N$3:$N$8</formula1>
    </dataValidation>
    <dataValidation type="list" allowBlank="1" showInputMessage="1" showErrorMessage="1" sqref="R5">
      <formula1>$N$9:$N$12</formula1>
    </dataValidation>
    <dataValidation type="list" allowBlank="1" showInputMessage="1" showErrorMessage="1" sqref="R6">
      <formula1>$N$13:$N$16</formula1>
    </dataValidation>
    <dataValidation type="list" allowBlank="1" showInputMessage="1" showErrorMessage="1" sqref="R7">
      <formula1>$N$17:$N$24</formula1>
    </dataValidation>
    <dataValidation type="list" allowBlank="1" showInputMessage="1" showErrorMessage="1" sqref="R8">
      <formula1>$N$25:$N$26</formula1>
    </dataValidation>
    <dataValidation type="list" allowBlank="1" showInputMessage="1" showErrorMessage="1" sqref="R9">
      <formula1>$N$27</formula1>
    </dataValidation>
    <dataValidation type="list" allowBlank="1" showInputMessage="1" showErrorMessage="1" sqref="R10">
      <formula1>$N$28</formula1>
    </dataValidation>
    <dataValidation type="list" allowBlank="1" showInputMessage="1" showErrorMessage="1" sqref="R11">
      <formula1>$N$29</formula1>
    </dataValidation>
  </dataValidations>
  <pageMargins left="0.7" right="0.7" top="0.75" bottom="0.75" header="0.3" footer="0.3"/>
  <pageSetup paperSize="9"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1:U173"/>
  <sheetViews>
    <sheetView topLeftCell="E55" workbookViewId="0">
      <selection activeCell="H66" sqref="H66:I93"/>
    </sheetView>
  </sheetViews>
  <sheetFormatPr defaultRowHeight="12.75" x14ac:dyDescent="0.2"/>
  <cols>
    <col min="1" max="1" width="2.28515625" style="42" customWidth="1"/>
    <col min="2" max="2" width="20.140625" style="42" customWidth="1"/>
    <col min="3" max="3" width="3.28515625" style="42" customWidth="1"/>
    <col min="4" max="4" width="46.85546875" style="42" customWidth="1"/>
    <col min="5" max="5" width="9.140625" style="42"/>
    <col min="6" max="6" width="40.5703125" style="42" customWidth="1"/>
    <col min="7" max="7" width="26.5703125" style="42" customWidth="1"/>
    <col min="8" max="8" width="6" style="42" customWidth="1"/>
    <col min="9" max="9" width="83" style="42" bestFit="1" customWidth="1"/>
    <col min="10" max="13" width="9.140625" style="42"/>
    <col min="14" max="14" width="18.5703125" style="42" bestFit="1" customWidth="1"/>
    <col min="15" max="15" width="21.7109375" style="42" customWidth="1"/>
    <col min="16" max="16" width="20" style="42" bestFit="1" customWidth="1"/>
    <col min="17" max="17" width="18.5703125" style="42" bestFit="1" customWidth="1"/>
    <col min="18" max="16384" width="9.140625" style="42"/>
  </cols>
  <sheetData>
    <row r="1" spans="2:21" x14ac:dyDescent="0.2">
      <c r="I1" s="46" t="s">
        <v>1291</v>
      </c>
    </row>
    <row r="2" spans="2:21" x14ac:dyDescent="0.2">
      <c r="D2" s="143"/>
      <c r="E2" s="143"/>
      <c r="F2" s="157" t="s">
        <v>398</v>
      </c>
      <c r="G2" s="143"/>
      <c r="H2" s="143"/>
      <c r="I2" s="43" t="s">
        <v>73</v>
      </c>
      <c r="R2" s="143"/>
      <c r="S2" s="143"/>
      <c r="T2" s="143"/>
      <c r="U2" s="143"/>
    </row>
    <row r="3" spans="2:21" x14ac:dyDescent="0.2">
      <c r="D3" s="614" t="s">
        <v>369</v>
      </c>
      <c r="E3" s="615"/>
      <c r="F3" s="343" t="s">
        <v>711</v>
      </c>
      <c r="H3" s="143"/>
      <c r="I3" s="43" t="s">
        <v>72</v>
      </c>
      <c r="J3" s="143"/>
      <c r="K3" s="143"/>
      <c r="L3" s="143"/>
      <c r="M3" s="143"/>
      <c r="N3" s="143"/>
      <c r="O3" s="143"/>
      <c r="P3" s="143"/>
      <c r="Q3" s="143"/>
      <c r="R3" s="143"/>
      <c r="S3" s="143"/>
      <c r="T3" s="143"/>
      <c r="U3" s="143"/>
    </row>
    <row r="4" spans="2:21" x14ac:dyDescent="0.2">
      <c r="D4" s="128" t="s">
        <v>871</v>
      </c>
      <c r="E4" s="127">
        <f>SELECTION!$AQ$41</f>
        <v>50</v>
      </c>
      <c r="F4" s="344">
        <f>353.7*($E$6/(POWER($E$4,2)))</f>
        <v>99.036000000000001</v>
      </c>
      <c r="G4" s="156"/>
      <c r="H4" s="143"/>
      <c r="I4" s="43" t="s">
        <v>71</v>
      </c>
      <c r="J4" s="143"/>
      <c r="K4" s="143"/>
      <c r="L4" s="143"/>
      <c r="M4" s="143"/>
      <c r="N4" s="143"/>
      <c r="O4" s="143"/>
      <c r="P4" s="143"/>
      <c r="Q4" s="143"/>
      <c r="R4" s="143"/>
      <c r="S4" s="143"/>
      <c r="T4" s="143"/>
      <c r="U4" s="143"/>
    </row>
    <row r="5" spans="2:21" x14ac:dyDescent="0.2">
      <c r="D5" s="128" t="s">
        <v>872</v>
      </c>
      <c r="E5" s="127">
        <f>IF(SELECTION!$L$12=SELECTION!BT22,SELECTION!$R$12,$E$118*$E$10)</f>
        <v>9459.6402042262507</v>
      </c>
      <c r="F5" s="343" t="s">
        <v>712</v>
      </c>
      <c r="H5" s="143"/>
      <c r="I5" s="43" t="s">
        <v>70</v>
      </c>
      <c r="J5" s="143"/>
      <c r="K5" s="143"/>
      <c r="L5" s="143"/>
      <c r="M5" s="143"/>
      <c r="N5" s="143"/>
      <c r="O5" s="143"/>
      <c r="P5" s="143"/>
      <c r="Q5" s="143"/>
      <c r="R5" s="143"/>
      <c r="S5" s="143"/>
      <c r="T5" s="143"/>
      <c r="U5" s="143"/>
    </row>
    <row r="6" spans="2:21" x14ac:dyDescent="0.2">
      <c r="D6" s="128" t="s">
        <v>720</v>
      </c>
      <c r="E6" s="127">
        <f>IF(SELECTION!$L$12=SELECTION!$BU$22,SELECTION!$R$12,(SELECTION!$R$12*(1/$E$14)))</f>
        <v>700</v>
      </c>
      <c r="F6" s="344"/>
      <c r="G6" s="156"/>
      <c r="H6" s="143"/>
      <c r="I6" s="43" t="s">
        <v>69</v>
      </c>
      <c r="J6" s="143"/>
      <c r="K6" s="143"/>
      <c r="L6" s="143"/>
      <c r="M6" s="143"/>
      <c r="N6" s="143"/>
      <c r="O6" s="143"/>
      <c r="P6" s="143"/>
      <c r="Q6" s="143"/>
      <c r="R6" s="143"/>
      <c r="S6" s="143"/>
      <c r="T6" s="143"/>
      <c r="U6" s="143"/>
    </row>
    <row r="7" spans="2:21" x14ac:dyDescent="0.2">
      <c r="D7" s="128" t="s">
        <v>721</v>
      </c>
      <c r="E7" s="127">
        <f>IF(SELECTION!$L$12=SELECTION!$BV$22,SELECTION!$R$12,$E$121)</f>
        <v>12470.283181731022</v>
      </c>
      <c r="F7" s="343" t="s">
        <v>713</v>
      </c>
      <c r="G7" s="143"/>
      <c r="H7" s="143"/>
      <c r="I7" s="43" t="s">
        <v>68</v>
      </c>
      <c r="J7" s="143"/>
      <c r="K7" s="143"/>
      <c r="L7" s="143"/>
      <c r="M7" s="143"/>
      <c r="N7" s="143"/>
      <c r="O7" s="143"/>
      <c r="P7" s="143"/>
      <c r="Q7" s="143"/>
      <c r="R7" s="143"/>
      <c r="S7" s="143"/>
      <c r="T7" s="143"/>
      <c r="U7" s="143"/>
    </row>
    <row r="8" spans="2:21" x14ac:dyDescent="0.2">
      <c r="D8" s="128" t="s">
        <v>395</v>
      </c>
      <c r="E8" s="127">
        <f>VLOOKUP(SELECTION!$I$26,PipingSchedule!$A$26:$K$48,8,FALSE)</f>
        <v>102.25999999999999</v>
      </c>
      <c r="F8" s="344"/>
      <c r="G8" s="143"/>
      <c r="H8" s="143"/>
      <c r="I8" s="43" t="s">
        <v>67</v>
      </c>
      <c r="J8" s="143"/>
      <c r="K8" s="143"/>
      <c r="L8" s="143"/>
      <c r="M8" s="143"/>
      <c r="N8" s="143"/>
      <c r="O8" s="143"/>
      <c r="P8" s="143"/>
      <c r="Q8" s="143"/>
      <c r="R8" s="143"/>
      <c r="S8" s="143"/>
      <c r="T8" s="143"/>
      <c r="U8" s="143"/>
    </row>
    <row r="9" spans="2:21" x14ac:dyDescent="0.2">
      <c r="B9" s="173"/>
      <c r="D9" s="128" t="s">
        <v>394</v>
      </c>
      <c r="E9" s="127">
        <f>$E$134</f>
        <v>1.3169999999999999</v>
      </c>
      <c r="F9" s="343" t="s">
        <v>714</v>
      </c>
      <c r="G9" s="153"/>
      <c r="H9" s="143"/>
      <c r="I9" s="43" t="s">
        <v>66</v>
      </c>
      <c r="J9" s="143"/>
      <c r="K9" s="143"/>
      <c r="L9" s="143"/>
      <c r="M9" s="143"/>
      <c r="N9" s="143"/>
      <c r="O9" s="143"/>
      <c r="P9" s="143"/>
      <c r="Q9" s="143"/>
      <c r="R9" s="143"/>
      <c r="S9" s="143"/>
      <c r="T9" s="143"/>
      <c r="U9" s="143"/>
    </row>
    <row r="10" spans="2:21" x14ac:dyDescent="0.2">
      <c r="B10" s="126" t="s">
        <v>1003</v>
      </c>
      <c r="D10" s="346" t="s">
        <v>264</v>
      </c>
      <c r="E10" s="124">
        <f>IF(SELECTION!$AS$22&gt;0,$E$103,SELECTION!$U$18)</f>
        <v>13.513771720323215</v>
      </c>
      <c r="F10" s="344"/>
      <c r="G10" s="155"/>
      <c r="H10" s="143"/>
      <c r="I10" s="43" t="s">
        <v>65</v>
      </c>
      <c r="J10" s="143"/>
      <c r="K10" s="143"/>
      <c r="L10" s="143"/>
      <c r="M10" s="143"/>
      <c r="N10" s="143"/>
      <c r="O10" s="143"/>
      <c r="P10" s="143"/>
      <c r="Q10" s="143"/>
      <c r="R10" s="143"/>
      <c r="S10" s="143"/>
      <c r="T10" s="143"/>
      <c r="U10" s="143"/>
    </row>
    <row r="11" spans="2:21" x14ac:dyDescent="0.2">
      <c r="B11" s="126" t="s">
        <v>1004</v>
      </c>
      <c r="D11" s="346" t="s">
        <v>265</v>
      </c>
      <c r="E11" s="342">
        <f>(($E$110*101.325)*$E$99)/(8.3144621*(273.15+$E$124))</f>
        <v>12.838083134307054</v>
      </c>
      <c r="F11" s="343" t="s">
        <v>715</v>
      </c>
      <c r="G11" s="153"/>
      <c r="H11" s="143"/>
      <c r="I11" s="43" t="s">
        <v>1286</v>
      </c>
      <c r="J11" s="143"/>
      <c r="K11" s="143"/>
      <c r="L11" s="143"/>
      <c r="M11" s="143"/>
      <c r="N11" s="143"/>
      <c r="O11" s="143"/>
      <c r="P11" s="143"/>
      <c r="Q11" s="143"/>
      <c r="R11" s="143"/>
      <c r="S11" s="143"/>
      <c r="T11" s="143"/>
      <c r="U11" s="143"/>
    </row>
    <row r="12" spans="2:21" x14ac:dyDescent="0.2">
      <c r="B12" s="126"/>
      <c r="D12" s="128" t="s">
        <v>391</v>
      </c>
      <c r="E12" s="139">
        <f>$E$99</f>
        <v>17.03</v>
      </c>
      <c r="F12" s="344"/>
      <c r="G12" s="155"/>
      <c r="H12" s="143"/>
      <c r="I12" s="43" t="s">
        <v>64</v>
      </c>
      <c r="J12" s="143"/>
      <c r="K12" s="143"/>
      <c r="L12" s="143"/>
      <c r="M12" s="143"/>
      <c r="N12" s="143"/>
      <c r="O12" s="143"/>
      <c r="P12" s="143"/>
      <c r="Q12" s="143"/>
      <c r="R12" s="143"/>
      <c r="S12" s="143"/>
      <c r="T12" s="143"/>
      <c r="U12" s="143"/>
    </row>
    <row r="13" spans="2:21" x14ac:dyDescent="0.2">
      <c r="D13" s="128" t="s">
        <v>710</v>
      </c>
      <c r="E13" s="127">
        <f>SELECTION!$AR$41</f>
        <v>20</v>
      </c>
      <c r="F13" s="343" t="s">
        <v>716</v>
      </c>
      <c r="G13" s="153"/>
      <c r="H13" s="143"/>
      <c r="I13" s="43" t="s">
        <v>63</v>
      </c>
      <c r="J13" s="143"/>
      <c r="K13" s="143"/>
      <c r="L13" s="143"/>
      <c r="M13" s="143"/>
      <c r="N13" s="143"/>
      <c r="O13" s="143"/>
      <c r="P13" s="143"/>
      <c r="Q13" s="143"/>
      <c r="R13" s="143"/>
      <c r="S13" s="143"/>
      <c r="T13" s="143"/>
      <c r="U13" s="143"/>
    </row>
    <row r="14" spans="2:21" x14ac:dyDescent="0.2">
      <c r="D14" s="128" t="s">
        <v>722</v>
      </c>
      <c r="E14" s="139">
        <f>SELECTION!$AS$22</f>
        <v>17.03</v>
      </c>
      <c r="F14" s="344"/>
      <c r="G14" s="155" t="s">
        <v>389</v>
      </c>
      <c r="H14" s="143"/>
      <c r="I14" s="43" t="s">
        <v>62</v>
      </c>
      <c r="J14" s="143"/>
      <c r="K14" s="143"/>
      <c r="L14" s="143"/>
      <c r="M14" s="143"/>
      <c r="N14" s="143"/>
      <c r="O14" s="143"/>
      <c r="P14" s="143"/>
      <c r="Q14" s="143"/>
      <c r="R14" s="143"/>
      <c r="S14" s="143"/>
      <c r="T14" s="143"/>
      <c r="U14" s="143"/>
    </row>
    <row r="15" spans="2:21" x14ac:dyDescent="0.2">
      <c r="D15" s="346" t="s">
        <v>723</v>
      </c>
      <c r="E15" s="342">
        <f>$E$14</f>
        <v>17.03</v>
      </c>
      <c r="F15" s="154" t="s">
        <v>725</v>
      </c>
      <c r="G15" s="155"/>
      <c r="H15" s="143"/>
      <c r="I15" s="43" t="s">
        <v>61</v>
      </c>
      <c r="J15" s="143"/>
      <c r="K15" s="143"/>
      <c r="L15" s="143"/>
      <c r="M15" s="143"/>
      <c r="N15" s="143"/>
      <c r="O15" s="143"/>
      <c r="P15" s="143"/>
      <c r="Q15" s="143"/>
      <c r="R15" s="143"/>
      <c r="S15" s="143"/>
      <c r="T15" s="143"/>
      <c r="U15" s="143"/>
    </row>
    <row r="16" spans="2:21" x14ac:dyDescent="0.2">
      <c r="D16" s="346" t="s">
        <v>724</v>
      </c>
      <c r="E16" s="342">
        <f>$E$14</f>
        <v>17.03</v>
      </c>
      <c r="F16" s="347">
        <f>353.7*($E$6/(POWER($E$13,2)))</f>
        <v>618.97500000000002</v>
      </c>
      <c r="G16" s="155"/>
      <c r="H16" s="143"/>
      <c r="I16" s="43" t="s">
        <v>60</v>
      </c>
      <c r="J16" s="143"/>
      <c r="K16" s="143"/>
      <c r="L16" s="143"/>
      <c r="M16" s="143"/>
      <c r="N16" s="143"/>
      <c r="O16" s="143"/>
      <c r="P16" s="143"/>
      <c r="Q16" s="143"/>
      <c r="R16" s="143"/>
      <c r="S16" s="143"/>
      <c r="T16" s="143"/>
      <c r="U16" s="143"/>
    </row>
    <row r="17" spans="4:21" x14ac:dyDescent="0.2">
      <c r="D17" s="128" t="s">
        <v>728</v>
      </c>
      <c r="E17" s="127">
        <f>IF(SELECTION!$L$12=SELECTION!$BU$22,SELECTION!$X$12,(SELECTION!$X$12/($E$15)))</f>
        <v>50</v>
      </c>
      <c r="F17" s="154" t="s">
        <v>726</v>
      </c>
      <c r="G17" s="155"/>
      <c r="H17" s="143"/>
      <c r="I17" s="43" t="s">
        <v>59</v>
      </c>
      <c r="J17" s="143"/>
      <c r="K17" s="143"/>
      <c r="L17" s="143"/>
      <c r="M17" s="143"/>
      <c r="N17" s="143"/>
      <c r="O17" s="143"/>
      <c r="P17" s="143"/>
      <c r="Q17" s="143"/>
      <c r="R17" s="143"/>
      <c r="S17" s="143"/>
      <c r="T17" s="143"/>
      <c r="U17" s="143"/>
    </row>
    <row r="18" spans="4:21" x14ac:dyDescent="0.2">
      <c r="D18" s="128" t="s">
        <v>729</v>
      </c>
      <c r="E18" s="127">
        <f>IF(SELECTION!$L$12=SELECTION!$BU$22,SELECTION!$AD$12,(SELECTION!$AD$12/($E$16)))</f>
        <v>10</v>
      </c>
      <c r="F18" s="347">
        <f>353.7*($E$17/(POWER($E$13,2)))</f>
        <v>44.212499999999999</v>
      </c>
      <c r="G18" s="155"/>
      <c r="H18" s="143"/>
      <c r="I18" s="43" t="s">
        <v>1283</v>
      </c>
      <c r="J18" s="143"/>
      <c r="K18" s="143"/>
      <c r="L18" s="143"/>
      <c r="M18" s="143"/>
      <c r="N18" s="143"/>
      <c r="O18" s="143"/>
      <c r="P18" s="143"/>
      <c r="Q18" s="143"/>
      <c r="R18" s="143"/>
      <c r="S18" s="143"/>
      <c r="T18" s="143"/>
      <c r="U18" s="143"/>
    </row>
    <row r="19" spans="4:21" x14ac:dyDescent="0.2">
      <c r="D19" s="346" t="s">
        <v>266</v>
      </c>
      <c r="E19" s="124">
        <f>IF(SELECTION!$AS$22&gt;0,$E$104,SELECTION!$U$18)</f>
        <v>10.102437896878001</v>
      </c>
      <c r="F19" s="154" t="s">
        <v>727</v>
      </c>
      <c r="G19" s="153"/>
      <c r="H19" s="143"/>
      <c r="I19" s="43" t="s">
        <v>1282</v>
      </c>
      <c r="J19" s="143"/>
      <c r="K19" s="143"/>
      <c r="L19" s="143"/>
      <c r="M19" s="143"/>
      <c r="N19" s="143"/>
      <c r="O19" s="143"/>
      <c r="P19" s="143"/>
      <c r="Q19" s="143"/>
      <c r="R19" s="143"/>
      <c r="S19" s="143"/>
      <c r="T19" s="143"/>
      <c r="U19" s="143"/>
    </row>
    <row r="20" spans="4:21" x14ac:dyDescent="0.2">
      <c r="D20" s="346" t="s">
        <v>267</v>
      </c>
      <c r="E20" s="342">
        <f>(($E$112*101.325)*$E$99)/(8.3144621*(273.15+$E$125))</f>
        <v>8.0819503175024021</v>
      </c>
      <c r="F20" s="347">
        <f>353.7*($E$18/(POWER($E$13,2)))</f>
        <v>8.8424999999999994</v>
      </c>
      <c r="G20" s="153"/>
      <c r="H20" s="143"/>
      <c r="I20" s="43" t="s">
        <v>58</v>
      </c>
      <c r="J20" s="143"/>
      <c r="K20" s="143"/>
      <c r="L20" s="143"/>
      <c r="M20" s="143"/>
      <c r="N20" s="143"/>
      <c r="O20" s="143"/>
      <c r="P20" s="143"/>
      <c r="Q20" s="143"/>
      <c r="R20" s="143"/>
      <c r="S20" s="143"/>
      <c r="T20" s="143"/>
      <c r="U20" s="143"/>
    </row>
    <row r="21" spans="4:21" x14ac:dyDescent="0.2">
      <c r="D21" s="346" t="s">
        <v>268</v>
      </c>
      <c r="E21" s="124">
        <f>IF(SELECTION!$AS$22&gt;0,$E$105,SELECTION!$U$18)</f>
        <v>13.469917195837336</v>
      </c>
      <c r="F21" s="157" t="s">
        <v>397</v>
      </c>
      <c r="G21" s="154" t="s">
        <v>273</v>
      </c>
      <c r="H21" s="143"/>
      <c r="I21" s="43" t="s">
        <v>57</v>
      </c>
    </row>
    <row r="22" spans="4:21" x14ac:dyDescent="0.2">
      <c r="D22" s="346" t="s">
        <v>269</v>
      </c>
      <c r="E22" s="342">
        <f>(($E$114*101.325)*$E$99)/(8.3144621*(273.15+$E$126))</f>
        <v>8.0819503175024021</v>
      </c>
      <c r="F22" s="348">
        <f>353.7*($E$6/(POWER($E$8,2)))</f>
        <v>23.676719172326393</v>
      </c>
      <c r="G22" s="151">
        <f>1.296*$E$23*((273.15+$E$125)/(POWER(ValveSIZING!$E$8,2)*$E$112))</f>
        <v>2.1192014471215685</v>
      </c>
      <c r="H22" s="143"/>
      <c r="I22" s="63" t="s">
        <v>56</v>
      </c>
    </row>
    <row r="23" spans="4:21" x14ac:dyDescent="0.2">
      <c r="D23" s="128" t="s">
        <v>270</v>
      </c>
      <c r="E23" s="127">
        <f>IF(SELECTION!$L$12=SELECTION!$BV$22,SELECTION!$R$12,$E$122)</f>
        <v>665.88294417178838</v>
      </c>
      <c r="F23" s="154" t="s">
        <v>272</v>
      </c>
      <c r="G23" s="154" t="s">
        <v>274</v>
      </c>
      <c r="H23" s="143"/>
      <c r="I23" s="63" t="s">
        <v>55</v>
      </c>
    </row>
    <row r="24" spans="4:21" x14ac:dyDescent="0.2">
      <c r="D24" s="128" t="s">
        <v>271</v>
      </c>
      <c r="E24" s="127">
        <f>IF(SELECTION!$L$12=SELECTION!$BV$22,SELECTION!$R$12,$E$123)</f>
        <v>177.56878511247692</v>
      </c>
      <c r="F24" s="349">
        <f>1.296*$E$7*((273.15+$E$124)/(POWER(ValveSIZING!$E$8,2)*$E$110))</f>
        <v>24.984269692380604</v>
      </c>
      <c r="G24" s="151">
        <f>1.296*$E$24*((273.15+$E$126)/(POWER(ValveSIZING!$E$8,2)*$E$114))</f>
        <v>0.56512038589908498</v>
      </c>
      <c r="H24" s="143"/>
      <c r="I24" s="63" t="s">
        <v>54</v>
      </c>
    </row>
    <row r="25" spans="4:21" x14ac:dyDescent="0.2">
      <c r="D25" s="144" t="s">
        <v>275</v>
      </c>
      <c r="E25" s="180">
        <f>(1.296*$E$7*((273.15+$E$124)/(POWER(ValveSIZING!$E$13,2)*$E$110)))/$F$32</f>
        <v>1.4795743132758863</v>
      </c>
      <c r="F25" s="154" t="s">
        <v>396</v>
      </c>
      <c r="G25" s="143"/>
      <c r="H25" s="143"/>
      <c r="I25" s="63" t="s">
        <v>53</v>
      </c>
    </row>
    <row r="26" spans="4:21" x14ac:dyDescent="0.2">
      <c r="D26" s="144" t="s">
        <v>279</v>
      </c>
      <c r="E26" s="180">
        <f>(1.296*$E$23*((273.15+$E$125)/(POWER(ValveSIZING!$E$13,2)*$E$112)))/$F$32</f>
        <v>0.12549960692965104</v>
      </c>
      <c r="F26" s="349">
        <f>IF(SELECTION!$AR$22=SELECTION!$AR$2,ValveSIZING!$F$22,ValveSIZING!$F$34)</f>
        <v>5.6595929577157131E-2</v>
      </c>
      <c r="G26" s="143"/>
      <c r="H26" s="143"/>
      <c r="I26" s="63" t="s">
        <v>52</v>
      </c>
    </row>
    <row r="27" spans="4:21" x14ac:dyDescent="0.2">
      <c r="D27" s="144" t="s">
        <v>280</v>
      </c>
      <c r="E27" s="180">
        <f>(1.296*$E$24*((273.15+$E$126)/(POWER(ValveSIZING!$E$13,2)*$E$114)))/$F$32</f>
        <v>3.3466561847906945E-2</v>
      </c>
      <c r="F27" s="154" t="s">
        <v>393</v>
      </c>
      <c r="G27" s="143"/>
      <c r="H27" s="143"/>
      <c r="I27" s="63" t="s">
        <v>51</v>
      </c>
    </row>
    <row r="28" spans="4:21" x14ac:dyDescent="0.2">
      <c r="D28" s="144" t="s">
        <v>275</v>
      </c>
      <c r="E28" s="180">
        <f>IF(SELECTION!$AR$22=SELECTION!$AR$2,ValveSIZING!$F$16,ValveSIZING!$E$25)</f>
        <v>1.4795743132758863</v>
      </c>
      <c r="F28" s="349">
        <f>$E$6*($E$10/(0.00371*($E$10*(273.15+SELECTION!$R$16)/SELECTION!$R$14)*1))</f>
        <v>12285.804674134386</v>
      </c>
      <c r="G28" s="143"/>
      <c r="H28" s="143"/>
      <c r="I28" s="63" t="s">
        <v>50</v>
      </c>
    </row>
    <row r="29" spans="4:21" x14ac:dyDescent="0.2">
      <c r="D29" s="144" t="s">
        <v>279</v>
      </c>
      <c r="E29" s="180">
        <f>IF(SELECTION!$AR$22=SELECTION!$AR$2,ValveSIZING!$F$18,ValveSIZING!$E$26)</f>
        <v>0.12549960692965104</v>
      </c>
      <c r="F29" s="154" t="s">
        <v>392</v>
      </c>
      <c r="G29" s="143"/>
      <c r="H29" s="143"/>
      <c r="I29" s="63" t="s">
        <v>49</v>
      </c>
    </row>
    <row r="30" spans="4:21" x14ac:dyDescent="0.2">
      <c r="D30" s="144" t="s">
        <v>280</v>
      </c>
      <c r="E30" s="180">
        <f>IF(SELECTION!$AR$22=SELECTION!$AR$2,ValveSIZING!$F$20,ValveSIZING!$E$27)</f>
        <v>3.3466561847906945E-2</v>
      </c>
      <c r="F30" s="349">
        <f>$E$6*($E$10/($E$12/22.45))</f>
        <v>12470.283181731022</v>
      </c>
      <c r="G30" s="143"/>
      <c r="H30" s="143"/>
      <c r="I30" s="63" t="s">
        <v>48</v>
      </c>
    </row>
    <row r="31" spans="4:21" x14ac:dyDescent="0.2">
      <c r="D31" s="144"/>
      <c r="E31" s="144"/>
      <c r="F31" s="152" t="s">
        <v>390</v>
      </c>
      <c r="G31" s="143"/>
      <c r="H31" s="143"/>
      <c r="I31" s="63" t="s">
        <v>47</v>
      </c>
    </row>
    <row r="32" spans="4:21" x14ac:dyDescent="0.2">
      <c r="D32" s="144"/>
      <c r="E32" s="144"/>
      <c r="F32" s="347">
        <f>316.2*SQRT($E$9*($E$51/$E$11))</f>
        <v>441.44993958124837</v>
      </c>
      <c r="G32" s="143"/>
      <c r="H32" s="143"/>
      <c r="I32" s="63" t="s">
        <v>1278</v>
      </c>
    </row>
    <row r="33" spans="2:9" x14ac:dyDescent="0.2">
      <c r="D33" s="144"/>
      <c r="E33" s="144"/>
      <c r="F33" s="157" t="s">
        <v>276</v>
      </c>
      <c r="G33" s="143"/>
      <c r="H33" s="143"/>
      <c r="I33" s="63" t="s">
        <v>46</v>
      </c>
    </row>
    <row r="34" spans="2:9" x14ac:dyDescent="0.2">
      <c r="D34" s="144"/>
      <c r="E34" s="144"/>
      <c r="F34" s="348">
        <f>$F$24/$F$32</f>
        <v>5.6595929577157131E-2</v>
      </c>
      <c r="G34" s="143"/>
      <c r="H34" s="143"/>
      <c r="I34" s="63" t="s">
        <v>45</v>
      </c>
    </row>
    <row r="35" spans="2:9" x14ac:dyDescent="0.2">
      <c r="D35" s="144"/>
      <c r="E35" s="144"/>
      <c r="F35" s="157" t="s">
        <v>277</v>
      </c>
      <c r="G35" s="143"/>
      <c r="H35" s="143"/>
      <c r="I35" s="63" t="s">
        <v>44</v>
      </c>
    </row>
    <row r="36" spans="2:9" x14ac:dyDescent="0.2">
      <c r="D36" s="144"/>
      <c r="E36" s="144"/>
      <c r="F36" s="348">
        <f>$G$22/$F$32</f>
        <v>4.8005475980624343E-3</v>
      </c>
      <c r="G36" s="143"/>
      <c r="H36" s="143"/>
      <c r="I36" s="63" t="s">
        <v>43</v>
      </c>
    </row>
    <row r="37" spans="2:9" x14ac:dyDescent="0.2">
      <c r="D37" s="144"/>
      <c r="E37" s="144"/>
      <c r="F37" s="157" t="s">
        <v>278</v>
      </c>
      <c r="G37" s="143"/>
      <c r="H37" s="143"/>
      <c r="I37" s="63" t="s">
        <v>42</v>
      </c>
    </row>
    <row r="38" spans="2:9" x14ac:dyDescent="0.2">
      <c r="D38" s="144"/>
      <c r="E38" s="144"/>
      <c r="F38" s="348">
        <f>$G$24/$F$32</f>
        <v>1.2801460261499826E-3</v>
      </c>
      <c r="G38" s="143"/>
      <c r="H38" s="143"/>
      <c r="I38" s="63" t="s">
        <v>41</v>
      </c>
    </row>
    <row r="39" spans="2:9" x14ac:dyDescent="0.2">
      <c r="D39" s="150"/>
      <c r="E39" s="150"/>
      <c r="F39" s="150"/>
      <c r="G39" s="143"/>
      <c r="H39" s="143"/>
      <c r="I39" s="63" t="s">
        <v>40</v>
      </c>
    </row>
    <row r="40" spans="2:9" x14ac:dyDescent="0.2">
      <c r="D40" s="143"/>
      <c r="E40" s="143"/>
      <c r="F40" s="149" t="s">
        <v>388</v>
      </c>
      <c r="H40" s="143"/>
      <c r="I40" s="63" t="s">
        <v>39</v>
      </c>
    </row>
    <row r="41" spans="2:9" x14ac:dyDescent="0.2">
      <c r="D41" s="614" t="s">
        <v>369</v>
      </c>
      <c r="E41" s="615"/>
      <c r="F41" s="146" t="s">
        <v>982</v>
      </c>
      <c r="G41" s="345" t="s">
        <v>717</v>
      </c>
      <c r="H41" s="143"/>
      <c r="I41" s="63" t="s">
        <v>38</v>
      </c>
    </row>
    <row r="42" spans="2:9" x14ac:dyDescent="0.2">
      <c r="D42" s="128" t="s">
        <v>387</v>
      </c>
      <c r="E42" s="127" t="e">
        <f>SELECTION!$R$20</f>
        <v>#N/A</v>
      </c>
      <c r="F42" s="85" t="e">
        <f>IF(($E$50-$E$51)&gt;POWER($E$44,2)*($E$50-($F$54*$E$42)),$I$64,$I$63)</f>
        <v>#N/A</v>
      </c>
      <c r="G42" s="334" t="e">
        <f>POWER($E$44,2)*($E$50-($F$54*$E$42))</f>
        <v>#N/A</v>
      </c>
      <c r="H42" s="143"/>
      <c r="I42" s="63" t="s">
        <v>37</v>
      </c>
    </row>
    <row r="43" spans="2:9" x14ac:dyDescent="0.2">
      <c r="D43" s="128" t="s">
        <v>386</v>
      </c>
      <c r="E43" s="127">
        <f>IF(SELECTION!$AD$10&gt;0,SELECTION!$AD$10,SELECTION!$AG$10)</f>
        <v>113.47</v>
      </c>
      <c r="F43" s="146" t="s">
        <v>995</v>
      </c>
      <c r="G43" s="345" t="s">
        <v>718</v>
      </c>
      <c r="H43" s="143"/>
      <c r="I43" s="63" t="s">
        <v>36</v>
      </c>
    </row>
    <row r="44" spans="2:9" x14ac:dyDescent="0.2">
      <c r="D44" s="128" t="s">
        <v>385</v>
      </c>
      <c r="E44" s="127">
        <f>SELECTION!$M$49</f>
        <v>0.9</v>
      </c>
      <c r="F44" s="85" t="e">
        <f>IF(($E$52-$E$53)&gt;POWER($E$44,2)*($E$52-($F$54*$E$42)),$I$64,$I$63)</f>
        <v>#N/A</v>
      </c>
      <c r="G44" s="111" t="e">
        <f>POWER($E$44,2)*($E$52-($F$54*$E$42))</f>
        <v>#N/A</v>
      </c>
      <c r="H44" s="143"/>
      <c r="I44" s="63" t="s">
        <v>35</v>
      </c>
    </row>
    <row r="45" spans="2:9" x14ac:dyDescent="0.2">
      <c r="D45" s="128" t="s">
        <v>383</v>
      </c>
      <c r="E45" s="127">
        <v>1</v>
      </c>
      <c r="F45" s="146" t="s">
        <v>996</v>
      </c>
      <c r="G45" s="345" t="s">
        <v>719</v>
      </c>
      <c r="H45" s="143"/>
      <c r="I45" s="63" t="s">
        <v>34</v>
      </c>
    </row>
    <row r="46" spans="2:9" x14ac:dyDescent="0.2">
      <c r="D46" s="128"/>
      <c r="E46" s="127"/>
      <c r="F46" s="85" t="e">
        <f>IF(($E$54-$E$55)&gt;POWER($E$44,2)*($E$54-($F$54*$E$42)),$I$64,$I$63)</f>
        <v>#N/A</v>
      </c>
      <c r="G46" s="111" t="e">
        <f>POWER($E$44,2)*($E$54-($F$54*$E$42))</f>
        <v>#N/A</v>
      </c>
      <c r="H46" s="143"/>
      <c r="I46" s="63" t="s">
        <v>1274</v>
      </c>
    </row>
    <row r="47" spans="2:9" x14ac:dyDescent="0.2">
      <c r="D47" s="128"/>
      <c r="E47" s="127"/>
      <c r="F47" s="146" t="s">
        <v>384</v>
      </c>
      <c r="G47" s="143"/>
      <c r="H47" s="143"/>
      <c r="I47" s="63" t="s">
        <v>33</v>
      </c>
    </row>
    <row r="48" spans="2:9" x14ac:dyDescent="0.2">
      <c r="B48" s="126"/>
      <c r="D48" s="128" t="s">
        <v>381</v>
      </c>
      <c r="E48" s="139">
        <f>$E$14</f>
        <v>17.03</v>
      </c>
      <c r="F48" s="85">
        <f>($E$56/(31.6*$E$45))*SQRT($E$48/($E$50-$E$51))</f>
        <v>91.415172135280656</v>
      </c>
      <c r="G48" s="143"/>
      <c r="H48" s="143"/>
      <c r="I48" s="63" t="s">
        <v>32</v>
      </c>
    </row>
    <row r="49" spans="2:13" x14ac:dyDescent="0.2">
      <c r="B49" s="126"/>
      <c r="D49" s="128" t="s">
        <v>29</v>
      </c>
      <c r="E49" s="127"/>
      <c r="F49" s="146" t="s">
        <v>382</v>
      </c>
      <c r="G49" s="143"/>
      <c r="H49" s="143"/>
      <c r="I49" s="63" t="s">
        <v>31</v>
      </c>
    </row>
    <row r="50" spans="2:13" x14ac:dyDescent="0.2">
      <c r="D50" s="128" t="s">
        <v>351</v>
      </c>
      <c r="E50" s="139">
        <f>SELECTION!$R$14</f>
        <v>20</v>
      </c>
      <c r="F50" s="85">
        <f>($E$57/(31.6*$E$45))*SQRT($E$48/($E$52-$E$53))</f>
        <v>3.7698981600228763</v>
      </c>
      <c r="G50" s="143"/>
      <c r="H50" s="143"/>
      <c r="I50" s="63" t="s">
        <v>30</v>
      </c>
    </row>
    <row r="51" spans="2:13" x14ac:dyDescent="0.2">
      <c r="D51" s="128" t="s">
        <v>349</v>
      </c>
      <c r="E51" s="127">
        <f>SELECTION!$R$15</f>
        <v>19</v>
      </c>
      <c r="F51" s="146" t="s">
        <v>380</v>
      </c>
      <c r="G51" s="143"/>
      <c r="H51" s="143"/>
      <c r="I51" s="63" t="s">
        <v>29</v>
      </c>
    </row>
    <row r="52" spans="2:13" x14ac:dyDescent="0.2">
      <c r="D52" s="128" t="s">
        <v>348</v>
      </c>
      <c r="E52" s="127">
        <f>SELECTION!$X$14</f>
        <v>15</v>
      </c>
      <c r="F52" s="85">
        <f>($E$58/(31.6*$E$45))*SQRT($E$48/($E$54-$E$55))</f>
        <v>0.4617163437156605</v>
      </c>
      <c r="G52" s="143"/>
      <c r="H52" s="143"/>
      <c r="I52" s="63" t="s">
        <v>28</v>
      </c>
    </row>
    <row r="53" spans="2:13" x14ac:dyDescent="0.2">
      <c r="D53" s="128" t="s">
        <v>346</v>
      </c>
      <c r="E53" s="127">
        <f>SELECTION!$X$15</f>
        <v>12</v>
      </c>
      <c r="F53" s="148" t="s">
        <v>984</v>
      </c>
      <c r="G53" s="143"/>
      <c r="H53" s="143"/>
      <c r="I53" s="63" t="s">
        <v>27</v>
      </c>
    </row>
    <row r="54" spans="2:13" x14ac:dyDescent="0.2">
      <c r="D54" s="128" t="s">
        <v>344</v>
      </c>
      <c r="E54" s="127">
        <f>SELECTION!$AD$14</f>
        <v>20</v>
      </c>
      <c r="F54" s="147" t="e">
        <f>0.96-0.28*SQRT($E$42/$E$43)</f>
        <v>#N/A</v>
      </c>
      <c r="G54" s="143"/>
      <c r="H54" s="143"/>
      <c r="I54" s="142" t="s">
        <v>362</v>
      </c>
    </row>
    <row r="55" spans="2:13" x14ac:dyDescent="0.2">
      <c r="D55" s="128" t="s">
        <v>342</v>
      </c>
      <c r="E55" s="127">
        <f>SELECTION!$AD$15</f>
        <v>12</v>
      </c>
      <c r="F55" s="146" t="s">
        <v>975</v>
      </c>
      <c r="G55" s="250" t="s">
        <v>707</v>
      </c>
      <c r="H55" s="143"/>
      <c r="I55" s="141" t="s">
        <v>360</v>
      </c>
    </row>
    <row r="56" spans="2:13" x14ac:dyDescent="0.2">
      <c r="D56" s="128" t="s">
        <v>378</v>
      </c>
      <c r="E56" s="127">
        <f>IF(SELECTION!$AT$22=SELECTION!$BU$22,SELECTION!$R$12,ValveSIZING!I146)</f>
        <v>700</v>
      </c>
      <c r="F56" s="85" t="e">
        <f>IF(($E$50-$E$51)&gt;$E$62*($E$50-$E$42),$I$61,$I$60)</f>
        <v>#N/A</v>
      </c>
      <c r="G56" s="370" t="e">
        <f>$E$62*($E$50-$E$42)</f>
        <v>#N/A</v>
      </c>
      <c r="H56" s="143"/>
      <c r="I56" s="126" t="s">
        <v>834</v>
      </c>
    </row>
    <row r="57" spans="2:13" x14ac:dyDescent="0.2">
      <c r="D57" s="128" t="s">
        <v>377</v>
      </c>
      <c r="E57" s="127">
        <f>IF(SELECTION!$AT$22=SELECTION!$BU$22,SELECTION!$X$12,ValveSIZING!I147)</f>
        <v>50</v>
      </c>
      <c r="F57" s="146" t="s">
        <v>976</v>
      </c>
      <c r="G57" s="250" t="s">
        <v>708</v>
      </c>
      <c r="H57" s="143"/>
      <c r="I57" s="126"/>
    </row>
    <row r="58" spans="2:13" x14ac:dyDescent="0.2">
      <c r="D58" s="128" t="s">
        <v>375</v>
      </c>
      <c r="E58" s="127">
        <f>IF(SELECTION!$AT$22=SELECTION!$BU$22,SELECTION!$AD$12,ValveSIZING!I148)</f>
        <v>10</v>
      </c>
      <c r="F58" s="85" t="e">
        <f>IF(($E$52-$E$53)&gt;$E$63*($E$52-$E$42),$I$61,$I$60)</f>
        <v>#N/A</v>
      </c>
      <c r="G58" s="370" t="e">
        <f>$E$63*($E$52-$E$42)</f>
        <v>#N/A</v>
      </c>
      <c r="H58" s="143"/>
      <c r="I58" s="324"/>
    </row>
    <row r="59" spans="2:13" x14ac:dyDescent="0.2">
      <c r="D59" s="128" t="s">
        <v>374</v>
      </c>
      <c r="E59" s="127">
        <f>SELECTION!$R$16</f>
        <v>34</v>
      </c>
      <c r="F59" s="146" t="s">
        <v>977</v>
      </c>
      <c r="G59" s="250" t="s">
        <v>709</v>
      </c>
      <c r="H59" s="143"/>
      <c r="I59" s="324" t="s">
        <v>971</v>
      </c>
    </row>
    <row r="60" spans="2:13" x14ac:dyDescent="0.2">
      <c r="B60" s="145"/>
      <c r="D60" s="128" t="s">
        <v>372</v>
      </c>
      <c r="E60" s="127">
        <f>SELECTION!$X$16</f>
        <v>35</v>
      </c>
      <c r="F60" s="85" t="e">
        <f>IF(($E$54-$E$55)&gt;$E$64*($E$54-$E$42),$I$61,$I$60)</f>
        <v>#N/A</v>
      </c>
      <c r="G60" s="370" t="e">
        <f>$E$64*($E$54-$E$42)</f>
        <v>#N/A</v>
      </c>
      <c r="H60" s="143"/>
      <c r="I60" s="324" t="s">
        <v>981</v>
      </c>
    </row>
    <row r="61" spans="2:13" x14ac:dyDescent="0.2">
      <c r="B61" s="145"/>
      <c r="D61" s="128" t="s">
        <v>371</v>
      </c>
      <c r="E61" s="127">
        <f>SELECTION!$AD$16</f>
        <v>35</v>
      </c>
      <c r="F61" s="146" t="s">
        <v>978</v>
      </c>
      <c r="G61" s="250" t="s">
        <v>994</v>
      </c>
      <c r="H61" s="143"/>
      <c r="I61" s="324" t="s">
        <v>990</v>
      </c>
    </row>
    <row r="62" spans="2:13" x14ac:dyDescent="0.2">
      <c r="B62" s="202" t="s">
        <v>1408</v>
      </c>
      <c r="D62" s="128" t="s">
        <v>985</v>
      </c>
      <c r="E62" s="127">
        <f>VLOOKUP(SELECTION!$AR$41,ValveSIZING!H66:I93,2,FALSE)</f>
        <v>0.43</v>
      </c>
      <c r="F62" s="147" t="e">
        <f>IF(($E$50-$E$51)&gt;POWER($E$44,2)*($E$50-$E$42),$I$62,$F$56)</f>
        <v>#N/A</v>
      </c>
      <c r="G62" s="334" t="e">
        <f>POWER($E$44,2)*($E$50-$E$42)</f>
        <v>#N/A</v>
      </c>
      <c r="I62" s="324" t="s">
        <v>989</v>
      </c>
    </row>
    <row r="63" spans="2:13" ht="12.75" customHeight="1" x14ac:dyDescent="0.2">
      <c r="B63" s="145" t="s">
        <v>1409</v>
      </c>
      <c r="D63" s="128" t="s">
        <v>986</v>
      </c>
      <c r="E63" s="127">
        <f>VLOOKUP(SELECTION!$AR$41,ValveSIZING!H67:I94,2,FALSE)</f>
        <v>0.43</v>
      </c>
      <c r="F63" s="146" t="s">
        <v>979</v>
      </c>
      <c r="I63" s="126" t="s">
        <v>983</v>
      </c>
      <c r="J63" s="609" t="s">
        <v>1400</v>
      </c>
      <c r="K63" s="609"/>
      <c r="L63" s="609"/>
      <c r="M63" s="609"/>
    </row>
    <row r="64" spans="2:13" ht="16.5" customHeight="1" x14ac:dyDescent="0.2">
      <c r="B64" s="145" t="s">
        <v>1410</v>
      </c>
      <c r="D64" s="128" t="s">
        <v>987</v>
      </c>
      <c r="E64" s="127" t="e">
        <f>VLOOKUP(SELECTION!$AR$41,ValveSIZING!H68:I95,2,FALSE)</f>
        <v>#N/A</v>
      </c>
      <c r="F64" s="147" t="e">
        <f>IF(($E$52-$E$53)&gt;POWER($E$44,2)*($E$52-$E$42),$I$62,$F$58)</f>
        <v>#N/A</v>
      </c>
      <c r="I64" s="126" t="s">
        <v>988</v>
      </c>
      <c r="J64" s="609"/>
      <c r="K64" s="609"/>
      <c r="L64" s="609"/>
      <c r="M64" s="609"/>
    </row>
    <row r="65" spans="2:11" x14ac:dyDescent="0.2">
      <c r="B65" s="145" t="s">
        <v>1411</v>
      </c>
      <c r="D65" s="128" t="s">
        <v>991</v>
      </c>
      <c r="E65" s="127">
        <f>1/$E$62</f>
        <v>2.3255813953488373</v>
      </c>
      <c r="F65" s="146" t="s">
        <v>980</v>
      </c>
      <c r="G65" s="188"/>
      <c r="I65" s="324"/>
      <c r="J65" s="373" t="s">
        <v>1398</v>
      </c>
      <c r="K65" s="374" t="s">
        <v>1399</v>
      </c>
    </row>
    <row r="66" spans="2:11" x14ac:dyDescent="0.2">
      <c r="B66" s="145" t="s">
        <v>1412</v>
      </c>
      <c r="D66" s="128" t="s">
        <v>992</v>
      </c>
      <c r="E66" s="127">
        <f>1/$E$63</f>
        <v>2.3255813953488373</v>
      </c>
      <c r="F66" s="147" t="e">
        <f>IF(($E$54-$E$55)&gt;POWER($E$44,2)*($E$54-$E$42),$I$62,$F$60)</f>
        <v>#N/A</v>
      </c>
      <c r="G66" s="188"/>
      <c r="H66" s="372">
        <f>IF(SELECTION!$F$29=SELECTION!$AR$3,SELECTION!$AR$4,SELECTION!$BF$4)</f>
        <v>15</v>
      </c>
      <c r="I66" s="375">
        <f>IF(SELECTION!$H$47=SELECTION!$AR$17,ValveSIZING!$J66,ValveSIZING!$K66)</f>
        <v>0.45</v>
      </c>
      <c r="J66" s="42">
        <v>0.45</v>
      </c>
      <c r="K66" s="42">
        <v>0.44</v>
      </c>
    </row>
    <row r="67" spans="2:11" x14ac:dyDescent="0.2">
      <c r="B67" s="145" t="s">
        <v>1413</v>
      </c>
      <c r="D67" s="128" t="s">
        <v>993</v>
      </c>
      <c r="E67" s="127" t="e">
        <f>1/$E$64</f>
        <v>#N/A</v>
      </c>
      <c r="F67" s="146" t="s">
        <v>379</v>
      </c>
      <c r="H67" s="372">
        <f>IF(SELECTION!$F$29=SELECTION!$AR$3,SELECTION!$AS$4,SELECTION!$BG$4)</f>
        <v>20</v>
      </c>
      <c r="I67" s="375">
        <f>IF(SELECTION!$H$47=SELECTION!$AR$17,ValveSIZING!$J67,ValveSIZING!$K67)</f>
        <v>0.43</v>
      </c>
      <c r="J67" s="42">
        <v>0.43</v>
      </c>
      <c r="K67" s="42">
        <v>0.42</v>
      </c>
    </row>
    <row r="68" spans="2:11" x14ac:dyDescent="0.2">
      <c r="B68" s="145"/>
      <c r="D68" s="144" t="s">
        <v>1395</v>
      </c>
      <c r="E68" s="127" t="e">
        <f>($E$50-$E$51)/($E$50-$E$42)</f>
        <v>#N/A</v>
      </c>
      <c r="F68" s="85" t="e">
        <f>($E$56/(31.6*$E$44*$E$45))*SQRT(($E$48/($E$50-$F$54*$E$42)))</f>
        <v>#N/A</v>
      </c>
      <c r="H68" s="372">
        <f>IF(SELECTION!$F$29=SELECTION!$AR$3,SELECTION!$AT$4,SELECTION!$BH$4)</f>
        <v>25</v>
      </c>
      <c r="I68" s="375">
        <f>IF(SELECTION!$H$47=SELECTION!$AR$17,ValveSIZING!$J68,ValveSIZING!$K68)</f>
        <v>0.42</v>
      </c>
      <c r="J68" s="42">
        <v>0.42</v>
      </c>
      <c r="K68" s="42">
        <v>0.4</v>
      </c>
    </row>
    <row r="69" spans="2:11" x14ac:dyDescent="0.2">
      <c r="B69" s="202" t="s">
        <v>1414</v>
      </c>
      <c r="D69" s="144" t="s">
        <v>1396</v>
      </c>
      <c r="E69" s="127" t="e">
        <f>($E$52-$E$53)/($E$52-$E$42)</f>
        <v>#N/A</v>
      </c>
      <c r="F69" s="146" t="s">
        <v>376</v>
      </c>
      <c r="H69" s="372">
        <f>IF(SELECTION!$F$29=SELECTION!$AR$3,SELECTION!$AU$4,SELECTION!$BI$4)</f>
        <v>32</v>
      </c>
      <c r="I69" s="375">
        <f>IF(SELECTION!$H$47=SELECTION!$AR$17,ValveSIZING!$J69,ValveSIZING!$K69)</f>
        <v>0.4</v>
      </c>
      <c r="J69" s="42">
        <v>0.4</v>
      </c>
      <c r="K69" s="42">
        <v>0.38</v>
      </c>
    </row>
    <row r="70" spans="2:11" x14ac:dyDescent="0.2">
      <c r="B70" s="202" t="s">
        <v>1415</v>
      </c>
      <c r="D70" s="144" t="s">
        <v>1397</v>
      </c>
      <c r="E70" s="127" t="e">
        <f>($E$54-$E$55)/($E$54-$E$42)</f>
        <v>#N/A</v>
      </c>
      <c r="F70" s="85" t="e">
        <f>($E$57/(31.6*$E$44*$E$45))*SQRT(($E$48/($E$52-$F$54*$E$42)))</f>
        <v>#N/A</v>
      </c>
      <c r="H70" s="372">
        <f>IF(SELECTION!$F$29=SELECTION!$AR$3,SELECTION!$AV$4,SELECTION!$BI$4)</f>
        <v>40</v>
      </c>
      <c r="I70" s="375">
        <f>IF(SELECTION!$H$47=SELECTION!$AR$17,ValveSIZING!$J70,ValveSIZING!$K70)</f>
        <v>0.38</v>
      </c>
      <c r="J70" s="42">
        <v>0.38</v>
      </c>
      <c r="K70" s="42">
        <v>0.37</v>
      </c>
    </row>
    <row r="71" spans="2:11" x14ac:dyDescent="0.2">
      <c r="B71" s="202" t="s">
        <v>1416</v>
      </c>
      <c r="D71" s="144"/>
      <c r="E71" s="127"/>
      <c r="F71" s="146" t="s">
        <v>373</v>
      </c>
      <c r="H71" s="372">
        <f>IF(SELECTION!$F$29=SELECTION!$AR$3,SELECTION!$AW$4,SELECTION!$BJ$4)</f>
        <v>50</v>
      </c>
      <c r="I71" s="375">
        <f>IF(SELECTION!$H$47=SELECTION!$AR$17,ValveSIZING!$J71,ValveSIZING!$K71)</f>
        <v>0.37</v>
      </c>
      <c r="J71" s="42">
        <v>0.37</v>
      </c>
      <c r="K71" s="42">
        <v>0.35</v>
      </c>
    </row>
    <row r="72" spans="2:11" x14ac:dyDescent="0.2">
      <c r="B72" s="145"/>
      <c r="D72" s="144"/>
      <c r="E72" s="127"/>
      <c r="F72" s="85" t="e">
        <f>($E$58/(31.6*$E$44*$E$45))*SQRT(($E$48/($E$54-$F$54*$E$42)))</f>
        <v>#N/A</v>
      </c>
      <c r="H72" s="372">
        <f>IF(SELECTION!$F$29=SELECTION!$AR$3,SELECTION!$AX$4,SELECTION!$BK$4)</f>
        <v>65</v>
      </c>
      <c r="I72" s="375">
        <f>IF(SELECTION!$H$47=SELECTION!$AR$17,ValveSIZING!$J72,ValveSIZING!$K72)</f>
        <v>0.35</v>
      </c>
      <c r="J72" s="42">
        <v>0.35</v>
      </c>
      <c r="K72" s="42">
        <v>0.33</v>
      </c>
    </row>
    <row r="73" spans="2:11" x14ac:dyDescent="0.2">
      <c r="B73" s="145"/>
      <c r="D73" s="144"/>
      <c r="E73" s="127"/>
      <c r="F73" s="149" t="s">
        <v>972</v>
      </c>
      <c r="H73" s="372">
        <f>IF(SELECTION!$F$29=SELECTION!$AR$3,SELECTION!$AY$4,SELECTION!$BL$4)</f>
        <v>80</v>
      </c>
      <c r="I73" s="375">
        <f>IF(SELECTION!$H$47=SELECTION!$AR$17,ValveSIZING!$J73,ValveSIZING!$K73)</f>
        <v>0.33</v>
      </c>
      <c r="J73" s="42">
        <v>0.33</v>
      </c>
      <c r="K73" s="42">
        <v>0.31</v>
      </c>
    </row>
    <row r="74" spans="2:11" x14ac:dyDescent="0.2">
      <c r="B74" s="145"/>
      <c r="D74" s="144"/>
      <c r="E74" s="127"/>
      <c r="F74" s="335" t="e">
        <f>IF($F$42=$I$63,$F$48,$F$68)</f>
        <v>#N/A</v>
      </c>
      <c r="H74" s="372">
        <f>IF(SELECTION!$F$29=SELECTION!$AR$3,SELECTION!$AZ$4,SELECTION!$BM$4)</f>
        <v>100</v>
      </c>
      <c r="I74" s="375">
        <f>IF(SELECTION!$H$47=SELECTION!$AR$17,ValveSIZING!$J74,ValveSIZING!$K74)</f>
        <v>0.32</v>
      </c>
      <c r="J74" s="42">
        <v>0.32</v>
      </c>
      <c r="K74" s="42">
        <v>0.3</v>
      </c>
    </row>
    <row r="75" spans="2:11" x14ac:dyDescent="0.2">
      <c r="B75" s="145"/>
      <c r="D75" s="144"/>
      <c r="E75" s="127"/>
      <c r="F75" s="149" t="s">
        <v>973</v>
      </c>
      <c r="H75" s="372">
        <f>IF(SELECTION!$F$29=SELECTION!$AR$3,SELECTION!$BA$4,SELECTION!$BN$4)</f>
        <v>125</v>
      </c>
      <c r="I75" s="375">
        <f>IF(SELECTION!$H$47=SELECTION!$AR$17,ValveSIZING!$J75,ValveSIZING!$K75)</f>
        <v>0.3</v>
      </c>
      <c r="J75" s="42">
        <v>0.3</v>
      </c>
      <c r="K75" s="42">
        <v>0.28000000000000003</v>
      </c>
    </row>
    <row r="76" spans="2:11" x14ac:dyDescent="0.2">
      <c r="B76" s="145"/>
      <c r="D76" s="144"/>
      <c r="E76" s="127"/>
      <c r="F76" s="335" t="e">
        <f>IF($F$44=$I$63,$F$50,$F$70)</f>
        <v>#N/A</v>
      </c>
      <c r="H76" s="372">
        <f>IF(SELECTION!$F$29=SELECTION!$AR$3,SELECTION!$BB$4,SELECTION!$BO$4)</f>
        <v>150</v>
      </c>
      <c r="I76" s="375">
        <f>IF(SELECTION!$H$47=SELECTION!$AR$17,ValveSIZING!$J76,ValveSIZING!$K76)</f>
        <v>0.28999999999999998</v>
      </c>
      <c r="J76" s="42">
        <v>0.28999999999999998</v>
      </c>
      <c r="K76" s="42">
        <v>0.27</v>
      </c>
    </row>
    <row r="77" spans="2:11" x14ac:dyDescent="0.2">
      <c r="B77" s="145"/>
      <c r="D77" s="144"/>
      <c r="E77" s="127"/>
      <c r="F77" s="149" t="s">
        <v>974</v>
      </c>
      <c r="H77" s="372">
        <f>IF(SELECTION!$F$29=SELECTION!$AR$3,SELECTION!$BC$4,SELECTION!$BP$4)</f>
        <v>200</v>
      </c>
      <c r="I77" s="375">
        <f>IF(SELECTION!$H$47=SELECTION!$AR$17,ValveSIZING!$J77,ValveSIZING!$K77)</f>
        <v>0.27</v>
      </c>
      <c r="J77" s="42">
        <v>0.27</v>
      </c>
      <c r="K77" s="42">
        <v>0.24</v>
      </c>
    </row>
    <row r="78" spans="2:11" x14ac:dyDescent="0.2">
      <c r="B78" s="145"/>
      <c r="D78" s="144"/>
      <c r="E78" s="127"/>
      <c r="F78" s="335" t="e">
        <f>IF($F$46=$I$63,$F$52,$F$72)</f>
        <v>#N/A</v>
      </c>
      <c r="H78" s="372">
        <f>IF(SELECTION!$F$29=SELECTION!$AR$3,SELECTION!$BD$4,SELECTION!$BQ$4)</f>
        <v>250</v>
      </c>
      <c r="I78" s="375">
        <f>IF(SELECTION!$H$47=SELECTION!$AR$17,ValveSIZING!$J78,ValveSIZING!$K78)</f>
        <v>0.25</v>
      </c>
      <c r="J78" s="42">
        <v>0.25</v>
      </c>
      <c r="K78" s="42">
        <v>0.23</v>
      </c>
    </row>
    <row r="79" spans="2:11" x14ac:dyDescent="0.2">
      <c r="B79" s="145"/>
      <c r="D79" s="144"/>
      <c r="E79" s="127"/>
      <c r="F79" s="146"/>
      <c r="H79" s="372">
        <f>IF(SELECTION!$F$29=SELECTION!$AR$3,SELECTION!$BE$4,SELECTION!$BR$4)</f>
        <v>300</v>
      </c>
      <c r="I79" s="375">
        <f>IF(SELECTION!$H$47=SELECTION!$AR$17,ValveSIZING!$J79,ValveSIZING!$K79)</f>
        <v>0.24</v>
      </c>
      <c r="J79" s="42">
        <v>0.24</v>
      </c>
      <c r="K79" s="42">
        <v>0.21</v>
      </c>
    </row>
    <row r="80" spans="2:11" x14ac:dyDescent="0.2">
      <c r="B80" s="145"/>
      <c r="D80" s="144"/>
      <c r="E80" s="127"/>
      <c r="F80" s="85"/>
      <c r="H80" s="372" t="str">
        <f>IF(SELECTION!$F$29=SELECTION!$AR$3,SELECTION!$BF$4,SELECTION!$BS$4)</f>
        <v>1/2"</v>
      </c>
      <c r="I80" s="375">
        <f>IF(SELECTION!$H$47=SELECTION!$AR$17,ValveSIZING!$J80,ValveSIZING!$K80)</f>
        <v>0.45</v>
      </c>
      <c r="J80" s="42">
        <v>0.45</v>
      </c>
      <c r="K80" s="42">
        <v>0.44</v>
      </c>
    </row>
    <row r="81" spans="2:11" x14ac:dyDescent="0.2">
      <c r="B81" s="145"/>
      <c r="D81" s="144"/>
      <c r="E81" s="127"/>
      <c r="F81" s="146"/>
      <c r="H81" s="372" t="str">
        <f>IF(SELECTION!$F$29=SELECTION!$AR$3,SELECTION!$BG$4,SELECTION!$BT$4)</f>
        <v>3/4"</v>
      </c>
      <c r="I81" s="375">
        <f>IF(SELECTION!$H$47=SELECTION!$AR$17,ValveSIZING!$J81,ValveSIZING!$K81)</f>
        <v>0.43</v>
      </c>
      <c r="J81" s="42">
        <v>0.43</v>
      </c>
      <c r="K81" s="42">
        <v>0.42</v>
      </c>
    </row>
    <row r="82" spans="2:11" x14ac:dyDescent="0.2">
      <c r="B82" s="145"/>
      <c r="D82" s="144"/>
      <c r="E82" s="127"/>
      <c r="F82" s="85"/>
      <c r="H82" s="372" t="str">
        <f>IF(SELECTION!$F$29=SELECTION!$AR$3,SELECTION!$BH$4,SELECTION!$BU$4)</f>
        <v>1"</v>
      </c>
      <c r="I82" s="375">
        <f>IF(SELECTION!$H$47=SELECTION!$AR$17,ValveSIZING!$J82,ValveSIZING!$K82)</f>
        <v>0.42</v>
      </c>
      <c r="J82" s="42">
        <v>0.42</v>
      </c>
      <c r="K82" s="42">
        <v>0.4</v>
      </c>
    </row>
    <row r="83" spans="2:11" x14ac:dyDescent="0.2">
      <c r="B83" s="145"/>
      <c r="D83" s="144"/>
      <c r="E83" s="127"/>
      <c r="F83" s="146"/>
      <c r="H83" s="372" t="str">
        <f>IF(SELECTION!$F$29=SELECTION!$AR$3,SELECTION!$BI$4,SELECTION!$BV$4)</f>
        <v>1.1/2"</v>
      </c>
      <c r="I83" s="375">
        <f>IF(SELECTION!$H$47=SELECTION!$AR$17,ValveSIZING!$J83,ValveSIZING!$K83)</f>
        <v>0.38</v>
      </c>
      <c r="J83" s="42">
        <v>0.38</v>
      </c>
      <c r="K83" s="42">
        <v>0.37</v>
      </c>
    </row>
    <row r="84" spans="2:11" x14ac:dyDescent="0.2">
      <c r="B84" s="145"/>
      <c r="D84" s="144"/>
      <c r="E84" s="127"/>
      <c r="F84" s="85"/>
      <c r="H84" s="372" t="str">
        <f>IF(SELECTION!$F$29=SELECTION!$AR$3,SELECTION!$BJ$4,SELECTION!$BW$4)</f>
        <v>2"</v>
      </c>
      <c r="I84" s="375">
        <f>IF(SELECTION!$H$47=SELECTION!$AR$17,ValveSIZING!$J84,ValveSIZING!$K84)</f>
        <v>0.37</v>
      </c>
      <c r="J84" s="42">
        <v>0.37</v>
      </c>
      <c r="K84" s="42">
        <v>0.35</v>
      </c>
    </row>
    <row r="85" spans="2:11" x14ac:dyDescent="0.2">
      <c r="B85" s="145"/>
      <c r="D85" s="144"/>
      <c r="E85" s="127"/>
      <c r="F85" s="148"/>
      <c r="H85" s="372" t="str">
        <f>IF(SELECTION!$F$29=SELECTION!$AR$3,SELECTION!$BK$4,SELECTION!$BX$4)</f>
        <v>3"</v>
      </c>
      <c r="I85" s="375">
        <f>IF(SELECTION!$H$47=SELECTION!$AR$17,ValveSIZING!$J85,ValveSIZING!$K85)</f>
        <v>0.33</v>
      </c>
      <c r="J85" s="42">
        <v>0.33</v>
      </c>
      <c r="K85" s="42">
        <v>0.31</v>
      </c>
    </row>
    <row r="86" spans="2:11" x14ac:dyDescent="0.2">
      <c r="B86" s="145"/>
      <c r="D86" s="144"/>
      <c r="E86" s="127"/>
      <c r="F86" s="85"/>
      <c r="H86" s="372" t="str">
        <f>IF(SELECTION!$F$29=SELECTION!$AR$3,SELECTION!$BL$4,SELECTION!$BY$4)</f>
        <v>4"</v>
      </c>
      <c r="I86" s="375">
        <f>IF(SELECTION!$H$47=SELECTION!$AR$17,ValveSIZING!$J86,ValveSIZING!$K86)</f>
        <v>0.32</v>
      </c>
      <c r="J86" s="42">
        <v>0.32</v>
      </c>
      <c r="K86" s="42">
        <v>0.3</v>
      </c>
    </row>
    <row r="87" spans="2:11" x14ac:dyDescent="0.2">
      <c r="B87" s="145"/>
      <c r="D87" s="144"/>
      <c r="E87" s="127"/>
      <c r="F87" s="333"/>
      <c r="H87" s="372" t="str">
        <f>IF(SELECTION!$F$29=SELECTION!$AR$3,SELECTION!$BM$4,SELECTION!$BZ$4)</f>
        <v>6"</v>
      </c>
      <c r="I87" s="375">
        <f>IF(SELECTION!$H$47=SELECTION!$AR$17,ValveSIZING!$J87,ValveSIZING!$K87)</f>
        <v>0.28999999999999998</v>
      </c>
      <c r="J87" s="42">
        <v>0.28999999999999998</v>
      </c>
      <c r="K87" s="42">
        <v>0.27</v>
      </c>
    </row>
    <row r="88" spans="2:11" x14ac:dyDescent="0.2">
      <c r="B88" s="145"/>
      <c r="D88" s="144"/>
      <c r="E88" s="127"/>
      <c r="F88" s="333"/>
      <c r="H88" s="372" t="str">
        <f>IF(SELECTION!$F$29=SELECTION!$AR$3,SELECTION!$BN$4,SELECTION!$CA$4)</f>
        <v>8"</v>
      </c>
      <c r="I88" s="375">
        <f>IF(SELECTION!$H$47=SELECTION!$AR$17,ValveSIZING!$J88,ValveSIZING!$K88)</f>
        <v>0.27</v>
      </c>
      <c r="J88" s="42">
        <v>0.27</v>
      </c>
      <c r="K88" s="42">
        <v>0.24</v>
      </c>
    </row>
    <row r="89" spans="2:11" x14ac:dyDescent="0.2">
      <c r="B89" s="145"/>
      <c r="D89" s="144"/>
      <c r="E89" s="127"/>
      <c r="F89" s="148"/>
      <c r="H89" s="372" t="str">
        <f>IF(SELECTION!$F$29=SELECTION!$AR$3,SELECTION!$BO$4,SELECTION!$CB$4)</f>
        <v>10"</v>
      </c>
      <c r="I89" s="375">
        <f>IF(SELECTION!$H$47=SELECTION!$AR$17,ValveSIZING!$J89,ValveSIZING!$K89)</f>
        <v>0.25</v>
      </c>
      <c r="J89" s="42">
        <v>0.25</v>
      </c>
      <c r="K89" s="42">
        <v>0.23</v>
      </c>
    </row>
    <row r="90" spans="2:11" x14ac:dyDescent="0.2">
      <c r="B90" s="145"/>
      <c r="D90" s="144"/>
      <c r="E90" s="127"/>
      <c r="F90" s="85"/>
      <c r="H90" s="372" t="str">
        <f>IF(SELECTION!$F$29=SELECTION!$AR$3,SELECTION!$BP$4,SELECTION!$CC$4)</f>
        <v>12"</v>
      </c>
      <c r="I90" s="375">
        <f>IF(SELECTION!$H$47=SELECTION!$AR$17,ValveSIZING!$J90,ValveSIZING!$K90)</f>
        <v>0.24</v>
      </c>
      <c r="J90" s="42">
        <v>0.24</v>
      </c>
      <c r="K90" s="42">
        <v>0.21</v>
      </c>
    </row>
    <row r="91" spans="2:11" x14ac:dyDescent="0.2">
      <c r="B91" s="145"/>
      <c r="D91" s="144"/>
      <c r="E91" s="127"/>
      <c r="F91" s="148"/>
      <c r="H91" s="372"/>
      <c r="I91" s="371"/>
    </row>
    <row r="92" spans="2:11" x14ac:dyDescent="0.2">
      <c r="B92" s="145"/>
      <c r="D92" s="144"/>
      <c r="E92" s="127"/>
      <c r="F92" s="147"/>
      <c r="H92" s="372"/>
      <c r="I92" s="371"/>
    </row>
    <row r="93" spans="2:11" x14ac:dyDescent="0.2">
      <c r="H93" s="372"/>
      <c r="I93" s="371"/>
    </row>
    <row r="94" spans="2:11" x14ac:dyDescent="0.2">
      <c r="D94" s="143"/>
      <c r="E94" s="143"/>
      <c r="F94" s="282" t="s">
        <v>370</v>
      </c>
      <c r="I94" s="324"/>
    </row>
    <row r="95" spans="2:11" x14ac:dyDescent="0.2">
      <c r="D95" s="614" t="s">
        <v>369</v>
      </c>
      <c r="E95" s="615"/>
      <c r="F95" s="283" t="s">
        <v>837</v>
      </c>
      <c r="G95" s="283" t="s">
        <v>840</v>
      </c>
      <c r="I95" s="63"/>
    </row>
    <row r="96" spans="2:11" x14ac:dyDescent="0.2">
      <c r="D96" s="128" t="s">
        <v>368</v>
      </c>
      <c r="E96" s="127">
        <f>(E109-E110)/E109</f>
        <v>0.05</v>
      </c>
      <c r="F96" s="284">
        <f>($E$115/(94.8*1*$E$109*$E$127*SQRT(($E$96*$E$99)/((273.15+$E$124)*$E$106))))*0.865</f>
        <v>4.6934804114279931</v>
      </c>
      <c r="G96" s="306">
        <f>($E$121/(519*$E$109*$E$127))*SQRT(($E$100*(273.15+$E$124)*$E$106)/$E$96)</f>
        <v>83.657778929386936</v>
      </c>
      <c r="I96" s="63"/>
    </row>
    <row r="97" spans="2:15" x14ac:dyDescent="0.2">
      <c r="D97" s="128" t="s">
        <v>367</v>
      </c>
      <c r="E97" s="127">
        <f>(E111-E112)/E111</f>
        <v>0.2</v>
      </c>
      <c r="F97" s="283" t="s">
        <v>838</v>
      </c>
      <c r="G97" s="283" t="s">
        <v>841</v>
      </c>
      <c r="I97" s="63"/>
    </row>
    <row r="98" spans="2:15" x14ac:dyDescent="0.2">
      <c r="D98" s="128" t="s">
        <v>366</v>
      </c>
      <c r="E98" s="127">
        <f>(E113-E114)/E113</f>
        <v>0.4</v>
      </c>
      <c r="F98" s="284">
        <f>($E$116/(94.8*1*$E$111*$E$128*SQRT(($E$97*$E$99)/((273.15+$E$125)*$E$107))))*0.865</f>
        <v>0.24219253178313968</v>
      </c>
      <c r="G98" s="306">
        <f>($E$122/(519*$E$111*$E$128))*SQRT(($E$101*(273.15+$E$125)*$E$107)/$E$97)</f>
        <v>3.2271687735353285</v>
      </c>
      <c r="I98" s="63"/>
    </row>
    <row r="99" spans="2:15" x14ac:dyDescent="0.2">
      <c r="D99" s="307" t="s">
        <v>62</v>
      </c>
      <c r="E99" s="308">
        <f>IF(SELECTION!$X$18&gt;0,SELECTION!$X$18,SELECTION!$AA$18)</f>
        <v>17.03</v>
      </c>
      <c r="F99" s="283" t="s">
        <v>839</v>
      </c>
      <c r="G99" s="283" t="s">
        <v>842</v>
      </c>
      <c r="I99" s="142"/>
    </row>
    <row r="100" spans="2:15" x14ac:dyDescent="0.2">
      <c r="D100" s="128" t="s">
        <v>365</v>
      </c>
      <c r="E100" s="127">
        <f>IF($E$99&gt;1,$I$132,$I$128)</f>
        <v>0.75857461024498896</v>
      </c>
      <c r="F100" s="284">
        <f>($E$117/(94.8*1*$E$113*$E$129*SQRT(($E$98*$E$99)/((273.15+$E$126)*$E$108))))*0.865</f>
        <v>2.883659536414496E-2</v>
      </c>
      <c r="G100" s="306">
        <f>($E$123/(519*$E$113*$E$129))*SQRT(($E$102*(273.15+$E$126)*$E$108)/$E$98)</f>
        <v>0.51232276189022008</v>
      </c>
      <c r="I100" s="141"/>
    </row>
    <row r="101" spans="2:15" x14ac:dyDescent="0.2">
      <c r="D101" s="128" t="s">
        <v>364</v>
      </c>
      <c r="E101" s="127">
        <f>IF($E$99&gt;1,$I$133,$I$129)</f>
        <v>0.75857461024498896</v>
      </c>
      <c r="F101" s="283" t="s">
        <v>357</v>
      </c>
      <c r="I101" s="126"/>
    </row>
    <row r="102" spans="2:15" x14ac:dyDescent="0.2">
      <c r="B102" s="126"/>
      <c r="D102" s="128" t="s">
        <v>363</v>
      </c>
      <c r="E102" s="127">
        <f>IF($E$99&gt;1,$I$134,$I$130)</f>
        <v>0.75857461024498896</v>
      </c>
      <c r="F102" s="284">
        <f>($E$115/(31.6*$E$127))*SQRT((1/$E$103)/($E$109*$E$96))</f>
        <v>4.6864213449436276</v>
      </c>
      <c r="I102" s="142"/>
    </row>
    <row r="103" spans="2:15" x14ac:dyDescent="0.2">
      <c r="B103" s="303"/>
      <c r="D103" s="128" t="s">
        <v>361</v>
      </c>
      <c r="E103" s="139">
        <f>(($E$109*101.325)*$E$99)/(8.3144621*(273.15+$E$124))</f>
        <v>13.513771720323215</v>
      </c>
      <c r="F103" s="283" t="s">
        <v>354</v>
      </c>
      <c r="I103" s="141"/>
    </row>
    <row r="104" spans="2:15" x14ac:dyDescent="0.2">
      <c r="D104" s="128" t="s">
        <v>359</v>
      </c>
      <c r="E104" s="139">
        <f>(($E$111*101.325)*$E$99)/(8.3144621*(273.15+$E$125))</f>
        <v>10.102437896878001</v>
      </c>
      <c r="F104" s="284">
        <f>($E$116/(31.6*$E$128))*SQRT((1/$E$104)/($E$111*$E$97))</f>
        <v>0.24182827050280886</v>
      </c>
      <c r="I104" s="126"/>
    </row>
    <row r="105" spans="2:15" x14ac:dyDescent="0.2">
      <c r="D105" s="128" t="s">
        <v>358</v>
      </c>
      <c r="E105" s="139">
        <f>(($E$113*101.325)*$E$99)/(8.3144621*(273.15+$E$126))</f>
        <v>13.469917195837336</v>
      </c>
      <c r="F105" s="283" t="s">
        <v>350</v>
      </c>
    </row>
    <row r="106" spans="2:15" x14ac:dyDescent="0.2">
      <c r="B106" s="126"/>
      <c r="D106" s="125" t="s">
        <v>356</v>
      </c>
      <c r="E106" s="124">
        <v>0.99</v>
      </c>
      <c r="F106" s="284">
        <f>($E$117/(31.6*$E$129))*SQRT((1/$E$105)/($E$113*$E$98))</f>
        <v>2.8793224682685928E-2</v>
      </c>
    </row>
    <row r="107" spans="2:15" x14ac:dyDescent="0.2">
      <c r="B107" s="126"/>
      <c r="D107" s="125" t="s">
        <v>355</v>
      </c>
      <c r="E107" s="124">
        <v>0.99</v>
      </c>
      <c r="F107" s="283" t="s">
        <v>347</v>
      </c>
      <c r="H107" s="134"/>
      <c r="I107" s="140" t="s">
        <v>353</v>
      </c>
    </row>
    <row r="108" spans="2:15" x14ac:dyDescent="0.2">
      <c r="B108" s="126"/>
      <c r="D108" s="125" t="s">
        <v>352</v>
      </c>
      <c r="E108" s="124">
        <v>0.99</v>
      </c>
      <c r="F108" s="284">
        <f>$E$115/(22.8*$E$109*$E$127*SQRT($E$96))</f>
        <v>5.3390852993476061</v>
      </c>
      <c r="G108" s="126"/>
      <c r="H108" s="138" t="s">
        <v>334</v>
      </c>
      <c r="I108" s="137">
        <f>(SELECTION!$R$16-32)/1.8</f>
        <v>1.1111111111111112</v>
      </c>
    </row>
    <row r="109" spans="2:15" x14ac:dyDescent="0.2">
      <c r="D109" s="128" t="s">
        <v>351</v>
      </c>
      <c r="E109" s="139">
        <f>SELECTION!$R$14</f>
        <v>20</v>
      </c>
      <c r="F109" s="283" t="s">
        <v>343</v>
      </c>
      <c r="G109" s="126"/>
      <c r="H109" s="138" t="s">
        <v>331</v>
      </c>
      <c r="I109" s="137">
        <f>(SELECTION!X16-32)/1.8</f>
        <v>1.6666666666666665</v>
      </c>
    </row>
    <row r="110" spans="2:15" x14ac:dyDescent="0.2">
      <c r="B110" s="126"/>
      <c r="D110" s="128" t="s">
        <v>349</v>
      </c>
      <c r="E110" s="127">
        <f>SELECTION!$R$15</f>
        <v>19</v>
      </c>
      <c r="F110" s="284">
        <f>$E$116/(22.8*$E$111*$E$128*SQRT($E$97))</f>
        <v>0.27505957694455074</v>
      </c>
      <c r="G110" s="126"/>
      <c r="H110" s="136" t="s">
        <v>329</v>
      </c>
      <c r="I110" s="135">
        <f>(SELECTION!AD16-32)/1.8</f>
        <v>1.6666666666666665</v>
      </c>
    </row>
    <row r="111" spans="2:15" x14ac:dyDescent="0.2">
      <c r="D111" s="128" t="s">
        <v>348</v>
      </c>
      <c r="E111" s="127">
        <f>SELECTION!$X$14</f>
        <v>15</v>
      </c>
      <c r="F111" s="283" t="s">
        <v>340</v>
      </c>
      <c r="G111" s="126"/>
    </row>
    <row r="112" spans="2:15" x14ac:dyDescent="0.2">
      <c r="D112" s="128" t="s">
        <v>346</v>
      </c>
      <c r="E112" s="127">
        <f>SELECTION!$X$15</f>
        <v>12</v>
      </c>
      <c r="F112" s="284">
        <f>$E$117/(22.8*$E$113*$E$129*SQRT($E$98))</f>
        <v>3.274990216661619E-2</v>
      </c>
      <c r="G112" s="126"/>
      <c r="H112" s="134"/>
      <c r="I112" s="133" t="s">
        <v>345</v>
      </c>
      <c r="J112" s="621" t="s">
        <v>859</v>
      </c>
      <c r="K112" s="622"/>
      <c r="L112" s="622"/>
      <c r="M112" s="622"/>
      <c r="N112" s="622"/>
      <c r="O112" s="623"/>
    </row>
    <row r="113" spans="2:15" x14ac:dyDescent="0.2">
      <c r="D113" s="128" t="s">
        <v>344</v>
      </c>
      <c r="E113" s="127">
        <f>SELECTION!$AD$14</f>
        <v>20</v>
      </c>
      <c r="F113" s="283" t="s">
        <v>337</v>
      </c>
      <c r="G113" s="126"/>
      <c r="H113" s="132" t="s">
        <v>334</v>
      </c>
      <c r="I113" s="131">
        <f>$E$56*($E$103/$E$100)</f>
        <v>12470.283181731022</v>
      </c>
      <c r="J113" s="132" t="s">
        <v>334</v>
      </c>
      <c r="K113" s="616">
        <f>$E$135*($E$141/(0.00371*(($E$141*(273.15+$E$124))/$E$109)*$E$106))</f>
        <v>0</v>
      </c>
      <c r="L113" s="616"/>
      <c r="M113" s="616"/>
      <c r="N113" s="616"/>
      <c r="O113" s="616"/>
    </row>
    <row r="114" spans="2:15" x14ac:dyDescent="0.2">
      <c r="D114" s="128" t="s">
        <v>342</v>
      </c>
      <c r="E114" s="127">
        <f>SELECTION!$AD$15</f>
        <v>12</v>
      </c>
      <c r="F114" s="284">
        <f>($E$115*(1+0.00126*($E$124-SteamProperties!$C$34))/(22.8*$E$109*$E$127*SQRT($E$96)))</f>
        <v>4.139048384158726</v>
      </c>
      <c r="G114" s="126"/>
      <c r="H114" s="132" t="s">
        <v>331</v>
      </c>
      <c r="I114" s="131">
        <f>$E$57*($E$104/$E$101)</f>
        <v>665.88294417178838</v>
      </c>
      <c r="J114" s="132" t="s">
        <v>331</v>
      </c>
      <c r="K114" s="616">
        <f>$E$136*($E$142/(0.00371*(($E$142*(273.15+$E$125))/$E$111)*$E$107))</f>
        <v>0</v>
      </c>
      <c r="L114" s="616"/>
      <c r="M114" s="616"/>
      <c r="N114" s="616"/>
      <c r="O114" s="616"/>
    </row>
    <row r="115" spans="2:15" x14ac:dyDescent="0.2">
      <c r="D115" s="128" t="s">
        <v>341</v>
      </c>
      <c r="E115" s="127">
        <f>IF(SELECTION!$L$12=SELECTION!$BT$22,SELECTION!$R$12,$I$141)</f>
        <v>531.00222717149222</v>
      </c>
      <c r="F115" s="283" t="s">
        <v>332</v>
      </c>
      <c r="G115" s="126"/>
      <c r="H115" s="130" t="s">
        <v>329</v>
      </c>
      <c r="I115" s="131">
        <f>$E$58*($E$105/$E$102)</f>
        <v>177.56878511247692</v>
      </c>
      <c r="J115" s="130" t="s">
        <v>329</v>
      </c>
      <c r="K115" s="617">
        <f>$E$137*($E$143/(0.00371*(($E$143*(273.15+$E$126))/$E$113)*$E$108))</f>
        <v>0</v>
      </c>
      <c r="L115" s="617"/>
      <c r="M115" s="617"/>
      <c r="N115" s="617"/>
      <c r="O115" s="618"/>
    </row>
    <row r="116" spans="2:15" x14ac:dyDescent="0.2">
      <c r="D116" s="128" t="s">
        <v>339</v>
      </c>
      <c r="E116" s="127">
        <f>IF(SELECTION!$L$12=SELECTION!$BT$22,SELECTION!$X$12,$I$142)</f>
        <v>37.928730512249444</v>
      </c>
      <c r="F116" s="284">
        <f>($E$116*(1+0.00126*($E$125-SteamProperties!$G$34))/(22.8*$E$111*$E$128*SQRT($E$97)))</f>
        <v>0.21846551720993981</v>
      </c>
      <c r="G116" s="126"/>
    </row>
    <row r="117" spans="2:15" x14ac:dyDescent="0.2">
      <c r="D117" s="128" t="s">
        <v>338</v>
      </c>
      <c r="E117" s="127">
        <f>IF(SELECTION!$L$12=SELECTION!$BT$22,SELECTION!$AD$12,$I$143)</f>
        <v>7.5857461024498889</v>
      </c>
      <c r="F117" s="283" t="s">
        <v>327</v>
      </c>
      <c r="H117" s="134"/>
      <c r="I117" s="133" t="s">
        <v>336</v>
      </c>
    </row>
    <row r="118" spans="2:15" x14ac:dyDescent="0.2">
      <c r="D118" s="128" t="s">
        <v>335</v>
      </c>
      <c r="E118" s="127">
        <f>SELECTION!$R$12</f>
        <v>700</v>
      </c>
      <c r="F118" s="284">
        <f>($E$117*(1+0.00126*($E$126-SteamProperties!$K$34))/(22.8*$E$113*$E$129*SQRT($E$98)))</f>
        <v>2.5430151182901643E-2</v>
      </c>
      <c r="H118" s="132" t="s">
        <v>334</v>
      </c>
      <c r="I118" s="131">
        <f>$E$114*($E$103/($E$99/22.45))</f>
        <v>213.77628311538894</v>
      </c>
    </row>
    <row r="119" spans="2:15" x14ac:dyDescent="0.2">
      <c r="D119" s="128" t="s">
        <v>333</v>
      </c>
      <c r="E119" s="127">
        <f>SELECTION!$X$12</f>
        <v>50</v>
      </c>
      <c r="F119" s="283" t="s">
        <v>771</v>
      </c>
      <c r="H119" s="132" t="s">
        <v>331</v>
      </c>
      <c r="I119" s="131">
        <f>$E$115*($E$103/($E$99/22.45))</f>
        <v>9459.6402042262489</v>
      </c>
    </row>
    <row r="120" spans="2:15" x14ac:dyDescent="0.2">
      <c r="D120" s="128" t="s">
        <v>330</v>
      </c>
      <c r="E120" s="127">
        <f>SELECTION!$AD$12</f>
        <v>10</v>
      </c>
      <c r="F120" s="284">
        <f>IF(SELECTION!$L$16=SELECTION!$BT$24,SELECTION!$R$16,ValveSIZING!$I$108)</f>
        <v>34</v>
      </c>
      <c r="H120" s="130" t="s">
        <v>329</v>
      </c>
      <c r="I120" s="129">
        <f>$E$116*($E$103/($E$99/22.45))</f>
        <v>675.68858601616068</v>
      </c>
    </row>
    <row r="121" spans="2:15" x14ac:dyDescent="0.2">
      <c r="D121" s="128" t="s">
        <v>328</v>
      </c>
      <c r="E121" s="127">
        <f>IF(SELECTION!$L$12=SELECTION!$BV$22,ValveSIZING!$E$118,IF(SELECTION!$AT$22=SELECTION!$BT$22,ValveSIZING!$E$115,ValveSIZING!$I$113))</f>
        <v>12470.283181731022</v>
      </c>
      <c r="F121" s="283" t="s">
        <v>772</v>
      </c>
    </row>
    <row r="122" spans="2:15" x14ac:dyDescent="0.2">
      <c r="B122" s="46"/>
      <c r="D122" s="128" t="s">
        <v>326</v>
      </c>
      <c r="E122" s="127">
        <f>IF(SELECTION!$L$12=SELECTION!$BV$22,ValveSIZING!$E$119,IF(SELECTION!$AT$22=SELECTION!$BT$22,ValveSIZING!$E$116,ValveSIZING!$I$114))</f>
        <v>665.88294417178838</v>
      </c>
      <c r="F122" s="284">
        <f>IF(SELECTION!$L$16=SELECTION!$BT$24,SELECTION!$X$16,ValveSIZING!$I$109)</f>
        <v>35</v>
      </c>
      <c r="H122" s="134"/>
      <c r="I122" s="295" t="s">
        <v>769</v>
      </c>
      <c r="J122" s="134"/>
      <c r="K122" s="295" t="s">
        <v>828</v>
      </c>
      <c r="L122" s="295"/>
      <c r="M122" s="295"/>
      <c r="N122" s="133"/>
    </row>
    <row r="123" spans="2:15" ht="12.75" customHeight="1" x14ac:dyDescent="0.2">
      <c r="D123" s="128" t="s">
        <v>325</v>
      </c>
      <c r="E123" s="127">
        <f>IF(SELECTION!$L$12=SELECTION!$BV$22,ValveSIZING!$E$120,IF(SELECTION!$AT$22=SELECTION!$BT$22,ValveSIZING!$E$117,ValveSIZING!$I$115))</f>
        <v>177.56878511247692</v>
      </c>
      <c r="F123" s="283" t="s">
        <v>773</v>
      </c>
      <c r="G123" s="292"/>
      <c r="H123" s="132" t="s">
        <v>334</v>
      </c>
      <c r="I123" s="296">
        <f>1-($F$126/(3*(IF(SELECTION!$AR$22=SELECTION!$AS$2,'FLUID Data'!$P$34,$E$134)/1.4)*ValveSIZING!$E$130))</f>
        <v>0.97539300880227231</v>
      </c>
      <c r="J123" s="132" t="s">
        <v>334</v>
      </c>
      <c r="K123" s="298">
        <f>1-((0.41+0.33)/SteamProperties!$C$44)*(1-($E$110/$E$109))</f>
        <v>0.97218045112781948</v>
      </c>
      <c r="L123" s="298"/>
      <c r="M123" s="298"/>
      <c r="N123" s="299"/>
    </row>
    <row r="124" spans="2:15" x14ac:dyDescent="0.2">
      <c r="D124" s="128" t="s">
        <v>323</v>
      </c>
      <c r="E124" s="127">
        <f>IF(SELECTION!$AR$22=SELECTION!$AS$2,SELECTION!$R$17,$F$120)</f>
        <v>34</v>
      </c>
      <c r="F124" s="284">
        <f>IF(SELECTION!$L$16=SELECTION!$BT$24,SELECTION!$AD$16,ValveSIZING!$I$110)</f>
        <v>35</v>
      </c>
      <c r="G124" s="292"/>
      <c r="H124" s="132" t="s">
        <v>331</v>
      </c>
      <c r="I124" s="296">
        <f>1-($F$128/(3*(IF(SELECTION!$AR$22=SELECTION!$AS$2,'FLUID Data'!$P$34,$E$134)/1.4)*ValveSIZING!$E$131))</f>
        <v>0.90157203520908913</v>
      </c>
      <c r="J124" s="132" t="s">
        <v>331</v>
      </c>
      <c r="K124" s="298">
        <f>1-((0.41+0.33)/SteamProperties!$G$44)*(1-($E$112/$E$111))</f>
        <v>0.88872180451127825</v>
      </c>
      <c r="L124" s="298"/>
      <c r="M124" s="298"/>
      <c r="N124" s="299"/>
    </row>
    <row r="125" spans="2:15" x14ac:dyDescent="0.2">
      <c r="D125" s="128" t="s">
        <v>322</v>
      </c>
      <c r="E125" s="127">
        <f>IF(SELECTION!$AR$22=SELECTION!$AS$2,SELECTION!$X$17,$F$122)</f>
        <v>35</v>
      </c>
      <c r="F125" s="283" t="s">
        <v>825</v>
      </c>
      <c r="G125" s="292"/>
      <c r="H125" s="136" t="s">
        <v>329</v>
      </c>
      <c r="I125" s="297">
        <f>1-($F$130/(3*(IF(SELECTION!$AR$22=SELECTION!$AS$2,'FLUID Data'!$P$34,$E$134)/1.4)*ValveSIZING!$E$132))</f>
        <v>0.80314407041817826</v>
      </c>
      <c r="J125" s="130" t="s">
        <v>329</v>
      </c>
      <c r="K125" s="300">
        <f>1-((0.41+0.33)/SteamProperties!$K$44)*(1-($E$114/$E$113))</f>
        <v>0.77744360902255638</v>
      </c>
      <c r="L125" s="300"/>
      <c r="M125" s="300"/>
      <c r="N125" s="301"/>
    </row>
    <row r="126" spans="2:15" x14ac:dyDescent="0.2">
      <c r="D126" s="128" t="s">
        <v>320</v>
      </c>
      <c r="E126" s="127">
        <f>IF(SELECTION!$AR$22=SELECTION!$AS$2,SELECTION!$AD$17,$F$124)</f>
        <v>35</v>
      </c>
      <c r="F126" s="284">
        <f>IF($E$96&gt;((SteamProperties!$C$44/1.4)*ValveSIZING!$E$130),((SteamProperties!$C$44/1.4)*ValveSIZING!$E$130),ValveSIZING!$E$96)</f>
        <v>0.05</v>
      </c>
      <c r="H126" s="126"/>
      <c r="I126" s="126"/>
      <c r="J126" s="42" t="s">
        <v>868</v>
      </c>
    </row>
    <row r="127" spans="2:15" x14ac:dyDescent="0.2">
      <c r="B127" s="126"/>
      <c r="D127" s="128" t="s">
        <v>319</v>
      </c>
      <c r="E127" s="139">
        <f>$I$123</f>
        <v>0.97539300880227231</v>
      </c>
      <c r="F127" s="283" t="s">
        <v>826</v>
      </c>
      <c r="H127" s="134"/>
      <c r="I127" s="133" t="s">
        <v>829</v>
      </c>
      <c r="J127" s="611" t="s">
        <v>870</v>
      </c>
      <c r="K127" s="612"/>
      <c r="L127" s="612"/>
      <c r="M127" s="612"/>
      <c r="N127" s="612"/>
      <c r="O127" s="613"/>
    </row>
    <row r="128" spans="2:15" x14ac:dyDescent="0.2">
      <c r="B128" s="126"/>
      <c r="D128" s="128" t="s">
        <v>317</v>
      </c>
      <c r="E128" s="139">
        <f>$I$124</f>
        <v>0.90157203520908913</v>
      </c>
      <c r="F128" s="284">
        <f>IF($E$97&gt;((SteamProperties!$G$44/1.4)*ValveSIZING!$E$131),((SteamProperties!$G$44/1.4)*ValveSIZING!$E$131),ValveSIZING!$E$97)</f>
        <v>0.2</v>
      </c>
      <c r="H128" s="132" t="s">
        <v>334</v>
      </c>
      <c r="I128" s="288">
        <f>0.00371*(($E$103*(273.15+$E$124))/$E$109)*$E$106</f>
        <v>0.7622653990178152</v>
      </c>
      <c r="J128" s="132" t="s">
        <v>334</v>
      </c>
      <c r="K128" s="610">
        <f>0.00371*(($E$141*(273.15+$E$124))/$E$109)*$E$106</f>
        <v>0.7622653990178152</v>
      </c>
      <c r="L128" s="610"/>
      <c r="M128" s="610"/>
      <c r="N128" s="610"/>
      <c r="O128" s="610"/>
    </row>
    <row r="129" spans="2:15" x14ac:dyDescent="0.2">
      <c r="D129" s="128" t="s">
        <v>316</v>
      </c>
      <c r="E129" s="139">
        <f>$I$125</f>
        <v>0.80314407041817826</v>
      </c>
      <c r="F129" s="283" t="s">
        <v>827</v>
      </c>
      <c r="H129" s="132" t="s">
        <v>331</v>
      </c>
      <c r="I129" s="288">
        <f>0.00371*(($E$104*(273.15+$E$125))/$E$111)*$E$107</f>
        <v>0.76226539901781498</v>
      </c>
      <c r="J129" s="132" t="s">
        <v>331</v>
      </c>
      <c r="K129" s="610">
        <f>0.00371*(($E$142*(273.15+$E$125))/$E$111)*$E$107</f>
        <v>0.76226539901781498</v>
      </c>
      <c r="L129" s="610"/>
      <c r="M129" s="610"/>
      <c r="N129" s="610"/>
      <c r="O129" s="610"/>
    </row>
    <row r="130" spans="2:15" x14ac:dyDescent="0.2">
      <c r="B130" s="43"/>
      <c r="D130" s="128" t="s">
        <v>822</v>
      </c>
      <c r="E130" s="139">
        <f>SELECTION!AU22</f>
        <v>0.72</v>
      </c>
      <c r="F130" s="284">
        <f>IF($E$98&gt;((SteamProperties!$K$44/1.4)*ValveSIZING!$E$132),((SteamProperties!$K$44/1.4)*ValveSIZING!$E$132),ValveSIZING!$E$98)</f>
        <v>0.4</v>
      </c>
      <c r="H130" s="136" t="s">
        <v>329</v>
      </c>
      <c r="I130" s="289">
        <f>0.00371*(($E$105*(273.15+$E$126))/$E$113)*$E$108</f>
        <v>0.76226539901781498</v>
      </c>
      <c r="J130" s="136" t="s">
        <v>329</v>
      </c>
      <c r="K130" s="619">
        <f>0.00371*(($E$143*(273.15+$E$126))/$E$113)*$E$108</f>
        <v>0.76226539901781498</v>
      </c>
      <c r="L130" s="619"/>
      <c r="M130" s="619"/>
      <c r="N130" s="619"/>
      <c r="O130" s="620"/>
    </row>
    <row r="131" spans="2:15" x14ac:dyDescent="0.2">
      <c r="B131" s="43"/>
      <c r="D131" s="125" t="s">
        <v>823</v>
      </c>
      <c r="E131" s="124">
        <f>E130</f>
        <v>0.72</v>
      </c>
      <c r="F131" s="309" t="s">
        <v>845</v>
      </c>
      <c r="G131" s="309" t="s">
        <v>840</v>
      </c>
      <c r="H131" s="134"/>
      <c r="I131" s="133" t="s">
        <v>830</v>
      </c>
      <c r="J131" s="611" t="s">
        <v>869</v>
      </c>
      <c r="K131" s="612"/>
      <c r="L131" s="612"/>
      <c r="M131" s="612"/>
      <c r="N131" s="612"/>
      <c r="O131" s="613"/>
    </row>
    <row r="132" spans="2:15" x14ac:dyDescent="0.2">
      <c r="B132" s="43"/>
      <c r="D132" s="125" t="s">
        <v>824</v>
      </c>
      <c r="E132" s="124">
        <f>E130</f>
        <v>0.72</v>
      </c>
      <c r="F132" s="310">
        <f>($E$144/(94.8*1*$E$109*$E$127*SQRT(($E$96*$E$133)/((273.15+$E$124)*$E$106))))*0.865</f>
        <v>0</v>
      </c>
      <c r="G132" s="311">
        <f>($E$138/(519*$E$109*$E$127))*SQRT(($E$100*(273.15+$E$124)*$E$106)/$E$96)</f>
        <v>0</v>
      </c>
      <c r="H132" s="132" t="s">
        <v>334</v>
      </c>
      <c r="I132" s="288">
        <f>$E$99/22.45</f>
        <v>0.75857461024498896</v>
      </c>
      <c r="J132" s="132" t="s">
        <v>334</v>
      </c>
      <c r="K132" s="610">
        <f>$E$133/22.45</f>
        <v>0.75857461024498896</v>
      </c>
      <c r="L132" s="610"/>
      <c r="M132" s="610"/>
      <c r="N132" s="610"/>
      <c r="O132" s="610"/>
    </row>
    <row r="133" spans="2:15" x14ac:dyDescent="0.2">
      <c r="B133" s="305"/>
      <c r="D133" s="128" t="s">
        <v>848</v>
      </c>
      <c r="E133" s="139">
        <f>$E$99</f>
        <v>17.03</v>
      </c>
      <c r="F133" s="309" t="s">
        <v>846</v>
      </c>
      <c r="G133" s="309" t="s">
        <v>841</v>
      </c>
      <c r="H133" s="132" t="s">
        <v>331</v>
      </c>
      <c r="I133" s="288">
        <f>$E$99/22.45</f>
        <v>0.75857461024498896</v>
      </c>
      <c r="J133" s="132" t="s">
        <v>331</v>
      </c>
      <c r="K133" s="610">
        <f>$E$133/22.45</f>
        <v>0.75857461024498896</v>
      </c>
      <c r="L133" s="610"/>
      <c r="M133" s="610"/>
      <c r="N133" s="610"/>
      <c r="O133" s="610"/>
    </row>
    <row r="134" spans="2:15" x14ac:dyDescent="0.2">
      <c r="B134" s="304"/>
      <c r="D134" s="307" t="s">
        <v>849</v>
      </c>
      <c r="E134" s="308">
        <f>IF(SELECTION!$X$19&gt;0,SELECTION!$X$19,SELECTION!$AA$19)</f>
        <v>1.3169999999999999</v>
      </c>
      <c r="F134" s="310">
        <f>($E$145/(94.8*1*$E$111*$E$128*SQRT(($E$97*$E$133)/((273.15+$E$125)*$E$107))))*0.865</f>
        <v>0</v>
      </c>
      <c r="G134" s="311">
        <f>($E$139/(519*$E$111*$E$128))*SQRT(($E$101*(273.15+$E$125)*$E$107)/$E$97)</f>
        <v>0</v>
      </c>
      <c r="H134" s="136" t="s">
        <v>329</v>
      </c>
      <c r="I134" s="289">
        <f>$E$99/22.45</f>
        <v>0.75857461024498896</v>
      </c>
      <c r="J134" s="136" t="s">
        <v>329</v>
      </c>
      <c r="K134" s="619">
        <f>$E$133/22.45</f>
        <v>0.75857461024498896</v>
      </c>
      <c r="L134" s="619"/>
      <c r="M134" s="619"/>
      <c r="N134" s="619"/>
      <c r="O134" s="620"/>
    </row>
    <row r="135" spans="2:15" x14ac:dyDescent="0.2">
      <c r="B135" s="304"/>
      <c r="D135" s="128" t="s">
        <v>850</v>
      </c>
      <c r="E135" s="127">
        <f>SELECTION!$R$13</f>
        <v>0</v>
      </c>
      <c r="F135" s="309" t="s">
        <v>847</v>
      </c>
      <c r="G135" s="309" t="s">
        <v>842</v>
      </c>
      <c r="H135" s="134"/>
      <c r="I135" s="133" t="s">
        <v>836</v>
      </c>
      <c r="L135" s="290"/>
      <c r="M135" s="291"/>
    </row>
    <row r="136" spans="2:15" x14ac:dyDescent="0.2">
      <c r="D136" s="128" t="s">
        <v>851</v>
      </c>
      <c r="E136" s="127">
        <f>SELECTION!$X$13</f>
        <v>0</v>
      </c>
      <c r="F136" s="310">
        <f>($E$146/(94.8*1*$E$113*$E$129*SQRT(($E$98*$E$133)/((273.15+$E$126)*$E$108))))*0.865</f>
        <v>0</v>
      </c>
      <c r="G136" s="311">
        <f>($E$140/(519*$E$113*$E$129))*SQRT(($E$102*(273.15+$E$126)*$E$108)/$E$98)</f>
        <v>0</v>
      </c>
      <c r="H136" s="132" t="s">
        <v>334</v>
      </c>
      <c r="I136" s="288">
        <f>$E$100*22.45</f>
        <v>17.03</v>
      </c>
      <c r="L136" s="290"/>
      <c r="M136" s="291"/>
    </row>
    <row r="137" spans="2:15" x14ac:dyDescent="0.2">
      <c r="B137" s="126" t="s">
        <v>860</v>
      </c>
      <c r="D137" s="128" t="s">
        <v>852</v>
      </c>
      <c r="E137" s="127">
        <f>SELECTION!$AD$13</f>
        <v>0</v>
      </c>
      <c r="F137" s="309" t="s">
        <v>1007</v>
      </c>
      <c r="H137" s="132" t="s">
        <v>331</v>
      </c>
      <c r="I137" s="288">
        <f>$E$101*22.45</f>
        <v>17.03</v>
      </c>
      <c r="L137" s="290"/>
      <c r="M137" s="291"/>
    </row>
    <row r="138" spans="2:15" x14ac:dyDescent="0.2">
      <c r="B138" s="126" t="s">
        <v>1014</v>
      </c>
      <c r="D138" s="128" t="s">
        <v>853</v>
      </c>
      <c r="E138" s="127">
        <f>IF(SELECTION!$L$13=SELECTION!$BV$22,ValveSIZING!$E$135,ValveSIZING!$K$113)</f>
        <v>0</v>
      </c>
      <c r="F138" s="311" t="e">
        <f>($F$74+$F$132)*(1+($E$138/(((285*$E$56*$E$109)/(273.15+$E$124))+$E$138)))</f>
        <v>#N/A</v>
      </c>
      <c r="H138" s="136" t="s">
        <v>329</v>
      </c>
      <c r="I138" s="289">
        <f>$E$102*22.45</f>
        <v>17.03</v>
      </c>
      <c r="L138" s="290"/>
      <c r="M138" s="291"/>
    </row>
    <row r="139" spans="2:15" x14ac:dyDescent="0.2">
      <c r="B139" s="159" t="s">
        <v>1015</v>
      </c>
      <c r="D139" s="128" t="s">
        <v>854</v>
      </c>
      <c r="E139" s="127">
        <f>IF(SELECTION!$L$13=SELECTION!$BV$22,ValveSIZING!$E$136,ValveSIZING!$K$114)</f>
        <v>0</v>
      </c>
      <c r="F139" s="309" t="s">
        <v>1008</v>
      </c>
      <c r="I139" s="126"/>
      <c r="L139" s="290"/>
      <c r="M139" s="291"/>
    </row>
    <row r="140" spans="2:15" x14ac:dyDescent="0.2">
      <c r="B140" s="159" t="s">
        <v>1016</v>
      </c>
      <c r="D140" s="128" t="s">
        <v>855</v>
      </c>
      <c r="E140" s="127">
        <f>IF(SELECTION!$L$13=SELECTION!$BV$22,ValveSIZING!$E$137,ValveSIZING!$K$115)</f>
        <v>0</v>
      </c>
      <c r="F140" s="311" t="e">
        <f>($F$76+$F$134)*(1+($E$139/(((285*$E$57*$E$111)/(273.15+$E$125))+$E$139)))</f>
        <v>#N/A</v>
      </c>
      <c r="H140" s="134"/>
      <c r="I140" s="133" t="s">
        <v>968</v>
      </c>
      <c r="J140" s="621" t="s">
        <v>864</v>
      </c>
      <c r="K140" s="622"/>
      <c r="L140" s="622"/>
      <c r="M140" s="622"/>
      <c r="N140" s="622"/>
      <c r="O140" s="623"/>
    </row>
    <row r="141" spans="2:15" x14ac:dyDescent="0.2">
      <c r="B141" s="159" t="s">
        <v>1017</v>
      </c>
      <c r="D141" s="128" t="s">
        <v>856</v>
      </c>
      <c r="E141" s="139">
        <f>(($E$109*101.325)*$E$133)/(8.3144621*(273.15+$E$124))</f>
        <v>13.513771720323215</v>
      </c>
      <c r="F141" s="309" t="s">
        <v>1009</v>
      </c>
      <c r="H141" s="132" t="s">
        <v>334</v>
      </c>
      <c r="I141" s="131">
        <f>$E$118/(1/$E$100)</f>
        <v>531.00222717149222</v>
      </c>
      <c r="J141" s="312" t="s">
        <v>334</v>
      </c>
      <c r="K141" s="616">
        <f>$E$135/(1/$E$147)</f>
        <v>0</v>
      </c>
      <c r="L141" s="616"/>
      <c r="M141" s="616"/>
      <c r="N141" s="616"/>
      <c r="O141" s="616"/>
    </row>
    <row r="142" spans="2:15" x14ac:dyDescent="0.2">
      <c r="D142" s="128" t="s">
        <v>857</v>
      </c>
      <c r="E142" s="139">
        <f>(($E$111*101.325)*$E$133)/(8.3144621*(273.15+$E$125))</f>
        <v>10.102437896878001</v>
      </c>
      <c r="F142" s="311" t="e">
        <f>($F$78+$F$136)*(1+($E$140/(((285*$E$58*$E$113)/(273.15+$E$126))+$E$140)))</f>
        <v>#N/A</v>
      </c>
      <c r="H142" s="132" t="s">
        <v>331</v>
      </c>
      <c r="I142" s="131">
        <f>$E$119/(1/$E$101)</f>
        <v>37.928730512249444</v>
      </c>
      <c r="J142" s="312" t="s">
        <v>331</v>
      </c>
      <c r="K142" s="616">
        <f>$E$136/(1/$E$148)</f>
        <v>0</v>
      </c>
      <c r="L142" s="616"/>
      <c r="M142" s="616"/>
      <c r="N142" s="616"/>
      <c r="O142" s="616"/>
    </row>
    <row r="143" spans="2:15" x14ac:dyDescent="0.2">
      <c r="B143" s="46"/>
      <c r="D143" s="128" t="s">
        <v>858</v>
      </c>
      <c r="E143" s="139">
        <f>(($E$113*101.325)*$E$133)/(8.3144621*(273.15+$E$126))</f>
        <v>13.469917195837336</v>
      </c>
      <c r="F143" s="309" t="s">
        <v>1011</v>
      </c>
      <c r="H143" s="130" t="s">
        <v>329</v>
      </c>
      <c r="I143" s="129">
        <f>$E$120/(1/$E$102)</f>
        <v>7.5857461024498889</v>
      </c>
      <c r="J143" s="313" t="s">
        <v>329</v>
      </c>
      <c r="K143" s="617">
        <f>$E$137/(1/$E$149)</f>
        <v>0</v>
      </c>
      <c r="L143" s="617"/>
      <c r="M143" s="617"/>
      <c r="N143" s="617"/>
      <c r="O143" s="618"/>
    </row>
    <row r="144" spans="2:15" x14ac:dyDescent="0.2">
      <c r="B144" s="43"/>
      <c r="D144" s="128" t="s">
        <v>861</v>
      </c>
      <c r="E144" s="127">
        <f>IF(SELECTION!$L$13=SELECTION!$BT$22,SELECTION!$R$13,$K$141)</f>
        <v>0</v>
      </c>
      <c r="F144" s="311" t="e">
        <f>($F$74+$F$132)*(1+(SELECTION!$U$18/(SELECTION!$U$18+(SELECTION!$AJ$18*((1-SELECTION!$AM$13)/SELECTION!$AM$13)))))</f>
        <v>#N/A</v>
      </c>
      <c r="I144" s="126"/>
      <c r="L144" s="290"/>
      <c r="M144" s="291"/>
    </row>
    <row r="145" spans="2:13" x14ac:dyDescent="0.2">
      <c r="B145" s="43"/>
      <c r="D145" s="128" t="s">
        <v>862</v>
      </c>
      <c r="E145" s="127">
        <f>IF(SELECTION!$L$13=SELECTION!$BT$22,SELECTION!$X$13,$K$142)</f>
        <v>0</v>
      </c>
      <c r="F145" s="309" t="s">
        <v>1012</v>
      </c>
      <c r="H145" s="134"/>
      <c r="I145" s="133" t="s">
        <v>970</v>
      </c>
      <c r="L145" s="290"/>
      <c r="M145" s="291"/>
    </row>
    <row r="146" spans="2:13" x14ac:dyDescent="0.2">
      <c r="D146" s="128" t="s">
        <v>863</v>
      </c>
      <c r="E146" s="127">
        <f>IF(SELECTION!$L$13=SELECTION!$BT$22,SELECTION!$AD$13,$K$143)</f>
        <v>0</v>
      </c>
      <c r="F146" s="311" t="e">
        <f>($F$76+$F$134)*(1+(SELECTION!$U$18/(SELECTION!$U$18+(SELECTION!$AJ$18*((1-SELECTION!$AM$13)/SELECTION!$AM$13)))))</f>
        <v>#N/A</v>
      </c>
      <c r="H146" s="132" t="s">
        <v>334</v>
      </c>
      <c r="I146" s="131">
        <f>SELECTION!$R$12/$E$48</f>
        <v>41.103934233705225</v>
      </c>
      <c r="L146" s="290"/>
      <c r="M146" s="291"/>
    </row>
    <row r="147" spans="2:13" x14ac:dyDescent="0.2">
      <c r="D147" s="128" t="s">
        <v>866</v>
      </c>
      <c r="E147" s="127">
        <f>IF($E$133&gt;1,$K$132,$K$128)</f>
        <v>0.75857461024498896</v>
      </c>
      <c r="F147" s="309" t="s">
        <v>1013</v>
      </c>
      <c r="H147" s="132" t="s">
        <v>331</v>
      </c>
      <c r="I147" s="131">
        <f>SELECTION!$X$12/$E$48</f>
        <v>2.935995302407516</v>
      </c>
      <c r="L147" s="290"/>
      <c r="M147" s="291"/>
    </row>
    <row r="148" spans="2:13" x14ac:dyDescent="0.2">
      <c r="D148" s="128" t="s">
        <v>867</v>
      </c>
      <c r="E148" s="127">
        <f>IF($E$133&gt;1,$K$133,$K$129)</f>
        <v>0.75857461024498896</v>
      </c>
      <c r="F148" s="311" t="e">
        <f>($F$78+$F$136)*(1+(SELECTION!$U$18/(SELECTION!$U$18+(SELECTION!$AJ$18*((1-SELECTION!$AM$13)/SELECTION!$AM$13)))))</f>
        <v>#N/A</v>
      </c>
      <c r="H148" s="130" t="s">
        <v>329</v>
      </c>
      <c r="I148" s="129">
        <f>SELECTION!$AD$12/$E$48</f>
        <v>0.58719906048150317</v>
      </c>
      <c r="L148" s="290"/>
      <c r="M148" s="291"/>
    </row>
    <row r="149" spans="2:13" x14ac:dyDescent="0.2">
      <c r="D149" s="128" t="s">
        <v>865</v>
      </c>
      <c r="E149" s="127">
        <f>IF($E$133&gt;1,$K$134,$K$130)</f>
        <v>0.75857461024498896</v>
      </c>
      <c r="F149" s="282" t="s">
        <v>324</v>
      </c>
      <c r="I149" s="126"/>
      <c r="L149" s="290"/>
      <c r="M149" s="291"/>
    </row>
    <row r="150" spans="2:13" x14ac:dyDescent="0.2">
      <c r="D150" s="125" t="s">
        <v>315</v>
      </c>
      <c r="E150" s="124">
        <v>1</v>
      </c>
      <c r="F150" s="341">
        <f>IF(SELECTION!$AR$22=SELECTION!$AS$2,ValveSIZING!$F$108,IF(SELECTION!$AR$22=SELECTION!$AT$2,ValveSIZING!$F$114,IF(SELECTION!$AR$22=SELECTION!$AU$2,ValveSIZING!$F$96,IF(SELECTION!$AR$22=SELECTION!$AV$2,ValveSIZING!$F$102,IF(SELECTION!$AR$22=SELECTION!$AW$2,$F$138,$F$144)))))</f>
        <v>4.6934804114279931</v>
      </c>
      <c r="I150" s="126"/>
      <c r="L150" s="290"/>
      <c r="M150" s="291"/>
    </row>
    <row r="151" spans="2:13" x14ac:dyDescent="0.2">
      <c r="D151" s="125" t="s">
        <v>314</v>
      </c>
      <c r="E151" s="124">
        <v>1</v>
      </c>
      <c r="F151" s="282" t="s">
        <v>321</v>
      </c>
      <c r="I151" s="126" t="s">
        <v>800</v>
      </c>
      <c r="K151" s="291" t="s">
        <v>789</v>
      </c>
      <c r="L151" s="291" t="s">
        <v>799</v>
      </c>
    </row>
    <row r="152" spans="2:13" x14ac:dyDescent="0.2">
      <c r="D152" s="125" t="s">
        <v>313</v>
      </c>
      <c r="E152" s="124">
        <v>1</v>
      </c>
      <c r="F152" s="341">
        <f>IF(SELECTION!$AR$22=SELECTION!$AS$2,ValveSIZING!$F$110,IF(SELECTION!$AR$22=SELECTION!$AT$2,ValveSIZING!$F$116,IF(SELECTION!$AR$22=SELECTION!$AU$2,ValveSIZING!$F$98,IF(SELECTION!$AR$22=SELECTION!$AV$2,ValveSIZING!$F$104,IF(SELECTION!$AR$22=SELECTION!$AW$2,$F$140,$F$146)))))</f>
        <v>0.24219253178313968</v>
      </c>
      <c r="I152" s="126" t="s">
        <v>783</v>
      </c>
      <c r="K152" s="42">
        <v>2.2799999999999998</v>
      </c>
      <c r="L152" s="290">
        <f>(K152/2.06)-1</f>
        <v>0.10679611650485432</v>
      </c>
      <c r="M152" s="291" t="s">
        <v>801</v>
      </c>
    </row>
    <row r="153" spans="2:13" x14ac:dyDescent="0.2">
      <c r="D153" s="125"/>
      <c r="E153" s="124"/>
      <c r="F153" s="282" t="s">
        <v>318</v>
      </c>
      <c r="I153" s="126" t="s">
        <v>784</v>
      </c>
      <c r="K153" s="42">
        <v>2.99</v>
      </c>
      <c r="L153" s="290">
        <f>(K153/2.7)-1</f>
        <v>0.1074074074074074</v>
      </c>
      <c r="M153" s="291" t="s">
        <v>801</v>
      </c>
    </row>
    <row r="154" spans="2:13" x14ac:dyDescent="0.2">
      <c r="D154" s="125"/>
      <c r="E154" s="124"/>
      <c r="F154" s="341">
        <f>IF(SELECTION!$AR$22=SELECTION!$AS$2,ValveSIZING!$F$112,IF(SELECTION!$AR$22=SELECTION!$AT$2,ValveSIZING!$F$118,IF(SELECTION!$AR$22=SELECTION!$AU$2,ValveSIZING!$F$100,IF(SELECTION!$AR$22=SELECTION!$AV$2,ValveSIZING!$F$106,IF(SELECTION!$AR$22=SELECTION!$AW$2,$F$142,$F$148)))))</f>
        <v>2.883659536414496E-2</v>
      </c>
      <c r="I154" s="126" t="s">
        <v>785</v>
      </c>
      <c r="K154" s="42">
        <v>4.3499999999999996</v>
      </c>
      <c r="L154" s="290">
        <f>(K154/3.97)-1</f>
        <v>9.5717884130982256E-2</v>
      </c>
      <c r="M154" s="291" t="s">
        <v>801</v>
      </c>
    </row>
    <row r="155" spans="2:13" x14ac:dyDescent="0.2">
      <c r="D155" s="125"/>
      <c r="E155" s="124"/>
      <c r="F155" s="282"/>
      <c r="I155" s="126" t="s">
        <v>776</v>
      </c>
      <c r="K155" s="42">
        <v>2.59</v>
      </c>
      <c r="L155" s="290">
        <f>(K155/2.34)-1</f>
        <v>0.1068376068376069</v>
      </c>
      <c r="M155" s="291" t="s">
        <v>801</v>
      </c>
    </row>
    <row r="156" spans="2:13" x14ac:dyDescent="0.2">
      <c r="D156" s="125"/>
      <c r="E156" s="124"/>
      <c r="F156" s="341"/>
      <c r="I156" s="126" t="s">
        <v>777</v>
      </c>
      <c r="K156" s="42">
        <v>3.53</v>
      </c>
      <c r="L156" s="290">
        <f>(K156/3.21)-1</f>
        <v>9.9688473520249232E-2</v>
      </c>
      <c r="M156" s="291" t="s">
        <v>801</v>
      </c>
    </row>
    <row r="157" spans="2:13" x14ac:dyDescent="0.2">
      <c r="D157" s="145" t="s">
        <v>1006</v>
      </c>
      <c r="I157" s="126" t="s">
        <v>778</v>
      </c>
      <c r="K157" s="42">
        <v>5.7</v>
      </c>
      <c r="L157" s="290">
        <f>(K157/5.23)-1</f>
        <v>8.9866156787762774E-2</v>
      </c>
      <c r="M157" s="291" t="s">
        <v>801</v>
      </c>
    </row>
    <row r="158" spans="2:13" x14ac:dyDescent="0.2">
      <c r="I158" s="126" t="s">
        <v>780</v>
      </c>
      <c r="K158" s="42">
        <v>36.020000000000003</v>
      </c>
      <c r="L158" s="290">
        <f>(K158/33.96)-1</f>
        <v>6.0659599528857466E-2</v>
      </c>
      <c r="M158" s="291" t="s">
        <v>802</v>
      </c>
    </row>
    <row r="159" spans="2:13" x14ac:dyDescent="0.2">
      <c r="I159" s="126" t="s">
        <v>781</v>
      </c>
      <c r="K159" s="42">
        <v>44.14</v>
      </c>
      <c r="L159" s="290">
        <f>(K159/41.54)-1</f>
        <v>6.2590274434280335E-2</v>
      </c>
      <c r="M159" s="291" t="s">
        <v>802</v>
      </c>
    </row>
    <row r="160" spans="2:13" ht="13.5" thickBot="1" x14ac:dyDescent="0.25">
      <c r="I160" s="126" t="s">
        <v>782</v>
      </c>
      <c r="K160" s="42">
        <v>62.18</v>
      </c>
      <c r="L160" s="290">
        <f>(K160/58.2)-1</f>
        <v>6.838487972508589E-2</v>
      </c>
      <c r="M160" s="291" t="s">
        <v>802</v>
      </c>
    </row>
    <row r="161" spans="6:13" ht="15" x14ac:dyDescent="0.2">
      <c r="F161" s="336" t="s">
        <v>997</v>
      </c>
      <c r="I161" s="126" t="s">
        <v>786</v>
      </c>
      <c r="K161" s="42">
        <v>75.3</v>
      </c>
      <c r="L161" s="290">
        <f>(K161/71.3)-1</f>
        <v>5.6100981767180924E-2</v>
      </c>
      <c r="M161" s="291" t="s">
        <v>802</v>
      </c>
    </row>
    <row r="162" spans="6:13" ht="15" x14ac:dyDescent="0.2">
      <c r="F162" s="337">
        <f>IF(SELECTION!$AR$22=SELECTION!$AR$2,ValveSIZING!$F$74,$F$150)</f>
        <v>4.6934804114279931</v>
      </c>
      <c r="I162" s="126" t="s">
        <v>787</v>
      </c>
      <c r="K162" s="42">
        <v>89.7</v>
      </c>
      <c r="L162" s="290">
        <f>(K162/84.9)-1</f>
        <v>5.6537102473498191E-2</v>
      </c>
      <c r="M162" s="291" t="s">
        <v>802</v>
      </c>
    </row>
    <row r="163" spans="6:13" ht="15" x14ac:dyDescent="0.2">
      <c r="F163" s="338" t="s">
        <v>998</v>
      </c>
      <c r="I163" s="126" t="s">
        <v>788</v>
      </c>
      <c r="K163" s="42">
        <v>117.6</v>
      </c>
      <c r="L163" s="290">
        <f>(K163/111.2)-1</f>
        <v>5.7553956834532238E-2</v>
      </c>
      <c r="M163" s="291" t="s">
        <v>802</v>
      </c>
    </row>
    <row r="164" spans="6:13" ht="15" x14ac:dyDescent="0.2">
      <c r="F164" s="337">
        <f>IF(SELECTION!$AR$22=SELECTION!$AR$2,ValveSIZING!$F$76,$F$152)</f>
        <v>0.24219253178313968</v>
      </c>
      <c r="I164" s="126" t="s">
        <v>790</v>
      </c>
      <c r="K164" s="42">
        <v>17.32</v>
      </c>
      <c r="L164" s="290">
        <f>(K164/16.32)-1</f>
        <v>6.1274509803921573E-2</v>
      </c>
      <c r="M164" s="291" t="s">
        <v>802</v>
      </c>
    </row>
    <row r="165" spans="6:13" ht="15" x14ac:dyDescent="0.2">
      <c r="F165" s="338" t="s">
        <v>999</v>
      </c>
      <c r="I165" s="126" t="s">
        <v>791</v>
      </c>
      <c r="K165" s="42">
        <v>19.010000000000002</v>
      </c>
      <c r="L165" s="290">
        <f>(K165/17.9)-1</f>
        <v>6.2011173184357782E-2</v>
      </c>
      <c r="M165" s="291" t="s">
        <v>802</v>
      </c>
    </row>
    <row r="166" spans="6:13" ht="15.75" thickBot="1" x14ac:dyDescent="0.25">
      <c r="F166" s="339">
        <f>IF(SELECTION!$AR$22=SELECTION!$AR$2,ValveSIZING!$F$78,$F$154)</f>
        <v>2.883659536414496E-2</v>
      </c>
      <c r="I166" s="126" t="s">
        <v>792</v>
      </c>
      <c r="K166" s="42">
        <v>21.31</v>
      </c>
      <c r="L166" s="290">
        <f>(K166/20.04)-1</f>
        <v>6.3373253493014037E-2</v>
      </c>
      <c r="M166" s="291" t="s">
        <v>802</v>
      </c>
    </row>
    <row r="167" spans="6:13" x14ac:dyDescent="0.2">
      <c r="I167" s="126" t="s">
        <v>793</v>
      </c>
      <c r="K167" s="42">
        <v>52.8</v>
      </c>
      <c r="L167" s="290">
        <f>(K167/50.04)-1</f>
        <v>5.5155875299760071E-2</v>
      </c>
      <c r="M167" s="291" t="s">
        <v>802</v>
      </c>
    </row>
    <row r="168" spans="6:13" x14ac:dyDescent="0.2">
      <c r="I168" s="126" t="s">
        <v>794</v>
      </c>
      <c r="K168" s="42">
        <v>57.15</v>
      </c>
      <c r="L168" s="290">
        <f>(K168/54.11)-1</f>
        <v>5.6181851783404069E-2</v>
      </c>
      <c r="M168" s="291" t="s">
        <v>802</v>
      </c>
    </row>
    <row r="169" spans="6:13" x14ac:dyDescent="0.2">
      <c r="I169" s="126" t="s">
        <v>795</v>
      </c>
      <c r="K169" s="42">
        <v>62.72</v>
      </c>
      <c r="L169" s="290">
        <f>(K169/59.38)-1</f>
        <v>5.6247894914112528E-2</v>
      </c>
      <c r="M169" s="291" t="s">
        <v>802</v>
      </c>
    </row>
    <row r="170" spans="6:13" x14ac:dyDescent="0.2">
      <c r="I170" s="126" t="s">
        <v>796</v>
      </c>
      <c r="K170" s="42">
        <v>146.9</v>
      </c>
      <c r="L170" s="290">
        <f>(K170/138.7)-1</f>
        <v>5.9120403749098882E-2</v>
      </c>
      <c r="M170" s="291" t="s">
        <v>802</v>
      </c>
    </row>
    <row r="171" spans="6:13" x14ac:dyDescent="0.2">
      <c r="I171" s="126" t="s">
        <v>797</v>
      </c>
      <c r="K171" s="42">
        <v>96.1</v>
      </c>
      <c r="L171" s="290">
        <f>(K171/90.1)-1</f>
        <v>6.6592674805771468E-2</v>
      </c>
      <c r="M171" s="291" t="s">
        <v>802</v>
      </c>
    </row>
    <row r="172" spans="6:13" x14ac:dyDescent="0.2">
      <c r="I172" s="126" t="s">
        <v>798</v>
      </c>
      <c r="K172" s="42">
        <v>85.9</v>
      </c>
      <c r="L172" s="290">
        <f>(K172/78.7)-1</f>
        <v>9.1486658195679915E-2</v>
      </c>
      <c r="M172" s="291" t="s">
        <v>801</v>
      </c>
    </row>
    <row r="173" spans="6:13" x14ac:dyDescent="0.2">
      <c r="I173" s="126" t="s">
        <v>779</v>
      </c>
    </row>
  </sheetData>
  <mergeCells count="20">
    <mergeCell ref="K130:O130"/>
    <mergeCell ref="J112:O112"/>
    <mergeCell ref="K143:O143"/>
    <mergeCell ref="K133:O133"/>
    <mergeCell ref="K134:O134"/>
    <mergeCell ref="K132:O132"/>
    <mergeCell ref="J140:O140"/>
    <mergeCell ref="J131:O131"/>
    <mergeCell ref="K141:O141"/>
    <mergeCell ref="K142:O142"/>
    <mergeCell ref="J63:M64"/>
    <mergeCell ref="K128:O128"/>
    <mergeCell ref="K129:O129"/>
    <mergeCell ref="J127:O127"/>
    <mergeCell ref="D3:E3"/>
    <mergeCell ref="D41:E41"/>
    <mergeCell ref="D95:E95"/>
    <mergeCell ref="K113:O113"/>
    <mergeCell ref="K114:O114"/>
    <mergeCell ref="K115:O115"/>
  </mergeCells>
  <phoneticPr fontId="33" type="noConversion"/>
  <dataValidations disablePrompts="1" count="1">
    <dataValidation allowBlank="1" showInputMessage="1" showErrorMessage="1" sqref="E55 E114"/>
  </dataValidations>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M322"/>
  <sheetViews>
    <sheetView topLeftCell="G38" zoomScale="96" zoomScaleNormal="96" workbookViewId="0">
      <selection activeCell="L50" sqref="L50"/>
    </sheetView>
  </sheetViews>
  <sheetFormatPr defaultRowHeight="12.75" x14ac:dyDescent="0.2"/>
  <cols>
    <col min="1" max="1" width="3.140625" style="42" customWidth="1"/>
    <col min="2" max="2" width="2.7109375" style="42" customWidth="1"/>
    <col min="3" max="3" width="3.42578125" style="42" customWidth="1"/>
    <col min="4" max="4" width="30.28515625" style="42" bestFit="1" customWidth="1"/>
    <col min="5" max="5" width="10" style="42" bestFit="1" customWidth="1"/>
    <col min="6" max="6" width="46.28515625" style="158" bestFit="1" customWidth="1"/>
    <col min="7" max="7" width="29.140625" style="42" customWidth="1"/>
    <col min="8" max="8" width="32.7109375" style="42" customWidth="1"/>
    <col min="9" max="9" width="30.7109375" style="42" customWidth="1"/>
    <col min="10" max="10" width="42.140625" style="42" bestFit="1" customWidth="1"/>
    <col min="11" max="16384" width="9.140625" style="42"/>
  </cols>
  <sheetData>
    <row r="1" spans="2:10" x14ac:dyDescent="0.2">
      <c r="F1" s="209"/>
      <c r="G1" s="143"/>
    </row>
    <row r="2" spans="2:10" ht="12.75" customHeight="1" x14ac:dyDescent="0.25">
      <c r="B2" s="208"/>
      <c r="C2" s="208"/>
      <c r="D2" s="208"/>
      <c r="E2" s="208"/>
      <c r="F2" s="207" t="s">
        <v>473</v>
      </c>
      <c r="G2" s="143"/>
      <c r="H2" s="159"/>
      <c r="I2" s="159"/>
    </row>
    <row r="3" spans="2:10" x14ac:dyDescent="0.2">
      <c r="D3" s="624" t="s">
        <v>369</v>
      </c>
      <c r="E3" s="625"/>
      <c r="F3" s="179" t="s">
        <v>472</v>
      </c>
      <c r="G3" s="205"/>
      <c r="H3" s="159"/>
      <c r="I3" s="159"/>
    </row>
    <row r="4" spans="2:10" x14ac:dyDescent="0.2">
      <c r="D4" s="194" t="s">
        <v>471</v>
      </c>
      <c r="E4" s="206">
        <f>SELECTION!AQ41</f>
        <v>50</v>
      </c>
      <c r="F4" s="191">
        <f>0.079*POWER($E$4+0,2)*$E$5</f>
        <v>0</v>
      </c>
      <c r="G4" s="205"/>
      <c r="H4" s="193"/>
      <c r="I4" s="193"/>
    </row>
    <row r="5" spans="2:10" x14ac:dyDescent="0.2">
      <c r="D5" s="194" t="s">
        <v>470</v>
      </c>
      <c r="E5" s="187">
        <f>SELECTION!AJ12</f>
        <v>0</v>
      </c>
      <c r="F5" s="179" t="s">
        <v>469</v>
      </c>
      <c r="G5" s="205"/>
      <c r="H5" s="159"/>
      <c r="I5" s="159"/>
    </row>
    <row r="6" spans="2:10" x14ac:dyDescent="0.2">
      <c r="D6" s="204" t="s">
        <v>468</v>
      </c>
      <c r="E6" s="626">
        <f>IF(SELECTION!I42="PTFE",SELECTION!AT41,SELECTION!AT42)</f>
        <v>0.1</v>
      </c>
      <c r="F6" s="191" t="e">
        <f>0.15*$E$6*POWER($E$8,2)*(100+$E$9)</f>
        <v>#VALUE!</v>
      </c>
      <c r="G6" s="205"/>
      <c r="H6" s="159"/>
      <c r="I6" s="159"/>
    </row>
    <row r="7" spans="2:10" x14ac:dyDescent="0.2">
      <c r="C7" s="145"/>
      <c r="D7" s="204" t="s">
        <v>467</v>
      </c>
      <c r="E7" s="627"/>
      <c r="F7" s="179" t="s">
        <v>466</v>
      </c>
      <c r="G7" s="159"/>
      <c r="H7" s="159"/>
      <c r="I7" s="159"/>
    </row>
    <row r="8" spans="2:10" ht="15" x14ac:dyDescent="0.25">
      <c r="D8" s="194" t="s">
        <v>465</v>
      </c>
      <c r="E8" s="187">
        <f>IF(ActuatorSIZING!$F$36&lt;SELECTION!$AT$20,SELECTION!$AR$15,IF(ActuatorSIZING!$F$36&lt;SELECTION!$AU$20,SELECTION!$AS$15,IF(ActuatorSIZING!$F$36&lt;"81",SELECTION!$AT$15,"Special")))</f>
        <v>12</v>
      </c>
      <c r="F8" s="191" t="e">
        <f>0.15*$E$6*$E$8*(IF($K$50=$M$50,$M$50,IF($K$51=$M$51,$M$51,IF($K$52=$M$52,$M$52,IF($K$53=$M$53,$M$53,"")))))*(150+$E$9)</f>
        <v>#VALUE!</v>
      </c>
      <c r="G8" s="203"/>
      <c r="H8" s="159"/>
      <c r="I8" s="159"/>
    </row>
    <row r="9" spans="2:10" x14ac:dyDescent="0.2">
      <c r="D9" s="194" t="s">
        <v>464</v>
      </c>
      <c r="E9" s="187" t="str">
        <f>IF(SELECTION!AU41=SELECTION!AR45,SELECTION!AR45,IF(SELECTION!AU41=SELECTION!AR46,SELECTION!AR46,IF(SELECTION!AU41=SELECTION!AR47,SELECTION!AR47,IF(SELECTION!AU41=SELECTION!AR48,SELECTION!AR8,IF(SELECTION!AU41=SELECTION!AR49,SELECTION!AS8,IF(SELECTION!AU41=SELECTION!AR50,SELECTION!AT8,IF(SELECTION!AU41=SELECTION!AR51,SELECTION!AU8,IF(SELECTION!AU41=SELECTION!AR52,SELECTION!AV8,"Special"))))))))</f>
        <v>Special</v>
      </c>
      <c r="F9" s="179" t="s">
        <v>463</v>
      </c>
      <c r="G9" s="159"/>
      <c r="H9" s="159"/>
      <c r="I9" s="159"/>
    </row>
    <row r="10" spans="2:10" x14ac:dyDescent="0.2">
      <c r="D10" s="194" t="s">
        <v>462</v>
      </c>
      <c r="E10" s="187">
        <f>SELECTION!AT46</f>
        <v>2.7</v>
      </c>
      <c r="F10" s="191">
        <f>16*$E$4</f>
        <v>800</v>
      </c>
      <c r="G10" s="159"/>
      <c r="H10" s="159"/>
      <c r="I10" s="159"/>
    </row>
    <row r="11" spans="2:10" x14ac:dyDescent="0.2">
      <c r="D11" s="194" t="s">
        <v>461</v>
      </c>
      <c r="E11" s="187">
        <f>SELECTION!AS46</f>
        <v>1.5</v>
      </c>
      <c r="F11" s="179" t="s">
        <v>460</v>
      </c>
      <c r="G11" s="178"/>
      <c r="I11" s="202"/>
    </row>
    <row r="12" spans="2:10" x14ac:dyDescent="0.2">
      <c r="D12" s="194" t="s">
        <v>459</v>
      </c>
      <c r="E12" s="201" t="str">
        <f>SELECTION!AJ27</f>
        <v>500</v>
      </c>
      <c r="F12" s="191" t="e">
        <f>($E$10-$E$11)&gt;((10*$F$6)/(IF(SELECTION!$Z$41=SELECTION!$AR$12,"10","20")*$E$12))*(1+$E$17)</f>
        <v>#VALUE!</v>
      </c>
      <c r="G12" s="187" t="e">
        <f>((10*$F$6)/(IF(SELECTION!$Z$41=SELECTION!$AR$12,"10","20")*$E$12))*(1+$E$17)</f>
        <v>#VALUE!</v>
      </c>
      <c r="I12" s="145" t="s">
        <v>458</v>
      </c>
    </row>
    <row r="13" spans="2:10" x14ac:dyDescent="0.2">
      <c r="B13" s="43"/>
      <c r="D13" s="194" t="s">
        <v>457</v>
      </c>
      <c r="E13" s="187">
        <f>E10+0.4</f>
        <v>3.1</v>
      </c>
      <c r="F13" s="179" t="s">
        <v>456</v>
      </c>
      <c r="G13" s="178"/>
      <c r="I13" s="43" t="s">
        <v>455</v>
      </c>
    </row>
    <row r="14" spans="2:10" x14ac:dyDescent="0.2">
      <c r="B14" s="43"/>
      <c r="D14" s="200" t="s">
        <v>454</v>
      </c>
      <c r="E14" s="187"/>
      <c r="F14" s="191" t="e">
        <f>($E$10-$E$11)&gt;((10*$F$8)/(IF(SELECTION!$Z$41=SELECTION!$AR$12,"10","20")*$E$12))*(1+$E$17)</f>
        <v>#VALUE!</v>
      </c>
      <c r="G14" s="187" t="e">
        <f>((10*$F$8)/(IF(SELECTION!$Z$41=SELECTION!$AR$12,"10","20")*$E$12))*(1+$E$17)</f>
        <v>#VALUE!</v>
      </c>
      <c r="I14" s="43" t="s">
        <v>453</v>
      </c>
    </row>
    <row r="15" spans="2:10" x14ac:dyDescent="0.2">
      <c r="B15" s="43"/>
      <c r="D15" s="194" t="s">
        <v>452</v>
      </c>
      <c r="E15" s="199">
        <v>7500</v>
      </c>
      <c r="F15" s="197" t="s">
        <v>451</v>
      </c>
      <c r="G15" s="178"/>
      <c r="I15" s="43" t="s">
        <v>450</v>
      </c>
    </row>
    <row r="16" spans="2:10" x14ac:dyDescent="0.2">
      <c r="B16" s="43"/>
      <c r="D16" s="194" t="s">
        <v>449</v>
      </c>
      <c r="E16" s="187">
        <f>SELECTION!R14-SELECTION!R15</f>
        <v>1</v>
      </c>
      <c r="F16" s="195" t="e">
        <f>($F$10+$F$4+$F$6)*(1+$E$17)&lt;$E$15</f>
        <v>#VALUE!</v>
      </c>
      <c r="G16" s="187" t="e">
        <f>($F$10+$F$4+$F$6)*(1+$E$17)</f>
        <v>#VALUE!</v>
      </c>
      <c r="I16" s="43" t="s">
        <v>448</v>
      </c>
      <c r="J16" s="145"/>
    </row>
    <row r="17" spans="2:10" x14ac:dyDescent="0.2">
      <c r="B17" s="43"/>
      <c r="D17" s="194" t="s">
        <v>447</v>
      </c>
      <c r="E17" s="198">
        <v>0</v>
      </c>
      <c r="F17" s="197" t="s">
        <v>446</v>
      </c>
      <c r="G17" s="187"/>
      <c r="I17" s="43" t="s">
        <v>445</v>
      </c>
    </row>
    <row r="18" spans="2:10" x14ac:dyDescent="0.2">
      <c r="B18" s="43"/>
      <c r="D18" s="194" t="s">
        <v>444</v>
      </c>
      <c r="E18" s="196" t="str">
        <f>IF(SELECTION!AS41=SELECTION!AR14,"0",IF(SELECTION!AS41=SELECTION!AS14,0.1,IF(SELECTION!AS41=SELECTION!AT14,0.5,IF(SELECTION!AS41=SELECTION!AU14,1.1,IF(SELECTION!AS41=SELECTION!AV14,1.5,IF(SELECTION!AS41=SELECTION!AW14,1.1,IF(SELECTION!AS41=SELECTION!AX14,1.5,0)))))))</f>
        <v>0</v>
      </c>
      <c r="F18" s="195" t="e">
        <f>($F$10+$F$4+$F$8)*(1+$E$17)&lt;$E$15</f>
        <v>#VALUE!</v>
      </c>
      <c r="G18" s="187" t="e">
        <f>($F$10+$F$4+$F$8)*(1+$E$17)</f>
        <v>#VALUE!</v>
      </c>
      <c r="I18" s="43" t="s">
        <v>443</v>
      </c>
    </row>
    <row r="19" spans="2:10" x14ac:dyDescent="0.2">
      <c r="B19" s="43"/>
      <c r="D19" s="194" t="s">
        <v>442</v>
      </c>
      <c r="E19" s="187" t="str">
        <f>IF(SELECTION!AS41=SELECTION!AR14,"0",IF(SELECTION!AS41=SELECTION!AS14,(SELECTION!AQ41-"0,65"),IF(SELECTION!AS41=SELECTION!AT14,(SELECTION!AQ41-"0,65"),IF(SELECTION!AS41=SELECTION!AU14,(SELECTION!AQ41-"7,15"),IF(SELECTION!AS41=SELECTION!AV14,(SELECTION!AQ41-"7,15"),IF(SELECTION!AS41=SELECTION!AW14,(SELECTION!AQ41-"7,15"),IF(SELECTION!AS41=SELECTION!AX14,(SELECTION!AQ41-"7,15"),"Error")))))))</f>
        <v>0</v>
      </c>
      <c r="F19" s="179" t="s">
        <v>441</v>
      </c>
      <c r="G19" s="187"/>
    </row>
    <row r="20" spans="2:10" x14ac:dyDescent="0.2">
      <c r="B20" s="43"/>
      <c r="D20" s="194"/>
      <c r="E20" s="187"/>
      <c r="F20" s="191" t="e">
        <f>$E$13&gt;((($F$6/(10*$E$12))+$E$10)+0.3)*(1+$E$17)</f>
        <v>#VALUE!</v>
      </c>
      <c r="G20" s="187" t="e">
        <f>(($F$6/(10*$E$12))+$E$10)*(1+$E$17)</f>
        <v>#VALUE!</v>
      </c>
      <c r="I20" s="145" t="s">
        <v>440</v>
      </c>
    </row>
    <row r="21" spans="2:10" x14ac:dyDescent="0.2">
      <c r="B21" s="43"/>
      <c r="D21" s="194"/>
      <c r="E21" s="187"/>
      <c r="F21" s="179" t="s">
        <v>439</v>
      </c>
      <c r="G21" s="187"/>
      <c r="I21" s="43" t="s">
        <v>438</v>
      </c>
    </row>
    <row r="22" spans="2:10" x14ac:dyDescent="0.2">
      <c r="B22" s="43"/>
      <c r="D22" s="194"/>
      <c r="E22" s="187"/>
      <c r="F22" s="191" t="e">
        <f>$E$11&gt;($F$6/(10*$E$12))*(1+$E$17)</f>
        <v>#VALUE!</v>
      </c>
      <c r="G22" s="187" t="e">
        <f>($F$6/(10*$E$12))*(1+$E$17)</f>
        <v>#VALUE!</v>
      </c>
      <c r="I22" s="42" t="s">
        <v>437</v>
      </c>
    </row>
    <row r="23" spans="2:10" x14ac:dyDescent="0.2">
      <c r="B23" s="43"/>
      <c r="D23" s="194"/>
      <c r="E23" s="187"/>
      <c r="F23" s="179" t="s">
        <v>436</v>
      </c>
      <c r="G23" s="187"/>
      <c r="I23" s="43" t="s">
        <v>435</v>
      </c>
    </row>
    <row r="24" spans="2:10" x14ac:dyDescent="0.2">
      <c r="B24" s="43"/>
      <c r="D24" s="194"/>
      <c r="E24" s="187"/>
      <c r="F24" s="191" t="b">
        <f>($E$10-$E$11)&gt;((0.016*POWER($E$4,2)*$E$16)/$E$12)*(1+$E$17)</f>
        <v>1</v>
      </c>
      <c r="G24" s="187">
        <f>((0.016*POWER($E$4,2)*$E$16)/$E$12)*(1+$E$17)</f>
        <v>0.08</v>
      </c>
      <c r="I24" s="43" t="s">
        <v>434</v>
      </c>
    </row>
    <row r="25" spans="2:10" x14ac:dyDescent="0.2">
      <c r="D25" s="194"/>
      <c r="E25" s="187"/>
      <c r="F25" s="179" t="s">
        <v>433</v>
      </c>
      <c r="G25" s="187"/>
      <c r="H25" s="145"/>
      <c r="I25" s="43" t="s">
        <v>432</v>
      </c>
    </row>
    <row r="26" spans="2:10" x14ac:dyDescent="0.2">
      <c r="D26" s="188"/>
      <c r="E26" s="188"/>
      <c r="F26" s="191">
        <f>$E$18*$E$4*$E$16</f>
        <v>0</v>
      </c>
      <c r="G26" s="187"/>
      <c r="H26" s="145"/>
      <c r="I26" s="43" t="s">
        <v>431</v>
      </c>
    </row>
    <row r="27" spans="2:10" x14ac:dyDescent="0.2">
      <c r="D27" s="188"/>
      <c r="E27" s="188"/>
      <c r="F27" s="179" t="s">
        <v>430</v>
      </c>
      <c r="G27" s="187"/>
      <c r="H27" s="145"/>
      <c r="I27" s="145" t="s">
        <v>429</v>
      </c>
    </row>
    <row r="28" spans="2:10" x14ac:dyDescent="0.2">
      <c r="E28" s="188"/>
      <c r="F28" s="191" t="e">
        <f>$E$13&gt;(((($F$6+$F$22)/(10*$E$12))+$E$10)+0.3)*(1+$E$17)</f>
        <v>#VALUE!</v>
      </c>
      <c r="G28" s="187" t="e">
        <f>(($F$6+$F$22)/(10*$E$12))+$E$10</f>
        <v>#VALUE!</v>
      </c>
      <c r="H28" s="145"/>
      <c r="I28" s="43"/>
    </row>
    <row r="29" spans="2:10" x14ac:dyDescent="0.2">
      <c r="E29" s="188"/>
      <c r="F29" s="179" t="s">
        <v>428</v>
      </c>
      <c r="G29" s="187"/>
      <c r="H29" s="145"/>
      <c r="I29" s="159" t="s">
        <v>427</v>
      </c>
      <c r="J29" s="159"/>
    </row>
    <row r="30" spans="2:10" x14ac:dyDescent="0.2">
      <c r="E30" s="188"/>
      <c r="F30" s="191" t="e">
        <f>$E$11&gt;(($F$6+$F$22)/(10*$E$12))*(1+$E$17)</f>
        <v>#VALUE!</v>
      </c>
      <c r="G30" s="187" t="e">
        <f>(($F$6+$F$22)/(10*$E$12))</f>
        <v>#VALUE!</v>
      </c>
      <c r="H30" s="145"/>
      <c r="I30" s="159" t="s">
        <v>426</v>
      </c>
      <c r="J30" s="159"/>
    </row>
    <row r="31" spans="2:10" x14ac:dyDescent="0.2">
      <c r="E31" s="188"/>
      <c r="F31" s="179" t="s">
        <v>425</v>
      </c>
      <c r="G31" s="187"/>
      <c r="H31" s="145"/>
      <c r="I31" s="193" t="s">
        <v>424</v>
      </c>
      <c r="J31" s="193"/>
    </row>
    <row r="32" spans="2:10" x14ac:dyDescent="0.2">
      <c r="D32" s="188"/>
      <c r="E32" s="188"/>
      <c r="F32" s="191">
        <f>0.079*(POWER($E$4,2)-POWER($E$19,2))*$E$5</f>
        <v>0</v>
      </c>
      <c r="G32" s="187"/>
      <c r="I32" s="159" t="s">
        <v>400</v>
      </c>
      <c r="J32" s="159"/>
    </row>
    <row r="33" spans="2:10" x14ac:dyDescent="0.2">
      <c r="D33" s="192"/>
      <c r="E33" s="188"/>
      <c r="F33" s="179" t="s">
        <v>423</v>
      </c>
      <c r="G33" s="187"/>
      <c r="I33" s="159" t="s">
        <v>399</v>
      </c>
      <c r="J33" s="159"/>
    </row>
    <row r="34" spans="2:10" x14ac:dyDescent="0.2">
      <c r="D34" s="189"/>
      <c r="E34" s="188"/>
      <c r="F34" s="191" t="e">
        <f>($F$10+$F$32+(IF(SELECTION!$AV$41=SELECTION!$AR$10,ActuatorSIZING!$F$6,ActuatorSIZING!$F$8))*(1+$E$17)&lt;$E$15)</f>
        <v>#VALUE!</v>
      </c>
      <c r="G34" s="190" t="e">
        <f>($F$10+$F$32+(IF(SELECTION!$AV$41=SELECTION!$AR$10,ActuatorSIZING!$F$6,ActuatorSIZING!$F$8))*(1+$E$17))</f>
        <v>#VALUE!</v>
      </c>
      <c r="I34" s="159" t="s">
        <v>422</v>
      </c>
      <c r="J34" s="159"/>
    </row>
    <row r="35" spans="2:10" x14ac:dyDescent="0.2">
      <c r="D35" s="189"/>
      <c r="E35" s="188"/>
      <c r="F35" s="179" t="s">
        <v>421</v>
      </c>
      <c r="G35" s="187"/>
      <c r="I35" s="159" t="s">
        <v>420</v>
      </c>
      <c r="J35" s="159"/>
    </row>
    <row r="36" spans="2:10" x14ac:dyDescent="0.2">
      <c r="F36" s="177">
        <f>IF(SELECTION!$AQ$41&lt;SELECTION!$AQ$37,SELECTION!$AR$20,IF(SELECTION!$AQ$41&lt;SELECTION!$AQ$29,SELECTION!$AS$20,IF(SELECTION!$AQ$41&lt;SELECTION!$AQ$26,SELECTION!$AT$20,IF(SELECTION!$AQ$41&lt;SELECTION!$AQ$24,SELECTION!$AU$20,IF(SELECTION!$AQ$41&lt;"350",SELECTION!$AV$20,0)))))</f>
        <v>20</v>
      </c>
      <c r="G36" s="186"/>
      <c r="I36" s="159" t="s">
        <v>419</v>
      </c>
      <c r="J36" s="159"/>
    </row>
    <row r="37" spans="2:10" x14ac:dyDescent="0.2">
      <c r="F37" s="185" t="s">
        <v>418</v>
      </c>
      <c r="G37" s="178"/>
      <c r="I37" s="159" t="s">
        <v>417</v>
      </c>
      <c r="J37" s="159"/>
    </row>
    <row r="38" spans="2:10" x14ac:dyDescent="0.2">
      <c r="F38" s="184" t="e">
        <f>IF(SELECTION!$H$43=SELECTION!$AR$10,ActuatorSIZING!F16,ActuatorSIZING!F18)</f>
        <v>#VALUE!</v>
      </c>
      <c r="G38" s="144" t="e">
        <f>IF(SELECTION!$H$43=SELECTION!$AR$10,ActuatorSIZING!G16,ActuatorSIZING!G18)</f>
        <v>#VALUE!</v>
      </c>
      <c r="H38" s="182"/>
    </row>
    <row r="39" spans="2:10" x14ac:dyDescent="0.2">
      <c r="F39" s="183" t="s">
        <v>416</v>
      </c>
      <c r="G39" s="178"/>
      <c r="I39" s="182" t="s">
        <v>415</v>
      </c>
      <c r="J39" s="182"/>
    </row>
    <row r="40" spans="2:10" x14ac:dyDescent="0.2">
      <c r="F40" s="181" t="e">
        <f>IF(SELECTION!$AC$37=SELECTION!$AS$16,ActuatorSIZING!F28,ActuatorSIZING!F30)</f>
        <v>#VALUE!</v>
      </c>
      <c r="G40" s="180" t="e">
        <f>IF(SELECTION!$AC$37=SELECTION!$AS$16,ActuatorSIZING!G28,ActuatorSIZING!G30)</f>
        <v>#VALUE!</v>
      </c>
      <c r="H40" s="145"/>
      <c r="I40" s="145" t="s">
        <v>414</v>
      </c>
      <c r="J40" s="145"/>
    </row>
    <row r="41" spans="2:10" x14ac:dyDescent="0.2">
      <c r="F41" s="179"/>
      <c r="G41" s="178"/>
      <c r="H41" s="145"/>
      <c r="I41" s="145" t="s">
        <v>413</v>
      </c>
      <c r="J41" s="145"/>
    </row>
    <row r="42" spans="2:10" ht="13.5" thickBot="1" x14ac:dyDescent="0.25">
      <c r="F42" s="177"/>
      <c r="G42" s="176"/>
      <c r="H42" s="145"/>
      <c r="I42" s="145" t="s">
        <v>412</v>
      </c>
      <c r="J42" s="145"/>
    </row>
    <row r="43" spans="2:10" x14ac:dyDescent="0.2">
      <c r="D43" s="172"/>
      <c r="F43" s="175" t="s">
        <v>411</v>
      </c>
      <c r="G43" s="369" t="s">
        <v>1394</v>
      </c>
      <c r="H43" s="145"/>
      <c r="I43" s="145" t="s">
        <v>410</v>
      </c>
      <c r="J43" s="145"/>
    </row>
    <row r="44" spans="2:10" ht="15.75" thickBot="1" x14ac:dyDescent="0.25">
      <c r="D44" s="172"/>
      <c r="F44" s="174" t="e">
        <f>IF(SELECTION!$J$48=SELECTION!$AR$14,ActuatorSIZING!$F$38,ActuatorSIZING!$F$34)</f>
        <v>#VALUE!</v>
      </c>
      <c r="G44" s="368" t="e">
        <f>IF(SELECTION!$J$48=SELECTION!$AR$14,ActuatorSIZING!$G$38,ActuatorSIZING!$G$34)*1.15</f>
        <v>#VALUE!</v>
      </c>
      <c r="H44" s="145"/>
      <c r="I44" s="145" t="s">
        <v>409</v>
      </c>
      <c r="J44" s="145"/>
    </row>
    <row r="45" spans="2:10" x14ac:dyDescent="0.2">
      <c r="D45" s="173"/>
      <c r="F45" s="293"/>
      <c r="H45" s="145"/>
      <c r="I45" s="145" t="s">
        <v>408</v>
      </c>
      <c r="J45" s="145"/>
    </row>
    <row r="46" spans="2:10" ht="15" x14ac:dyDescent="0.2">
      <c r="B46" s="367" t="s">
        <v>1388</v>
      </c>
      <c r="D46" s="172"/>
      <c r="F46" s="293"/>
      <c r="H46" s="145"/>
      <c r="I46" s="145" t="s">
        <v>407</v>
      </c>
      <c r="J46" s="145"/>
    </row>
    <row r="47" spans="2:10" ht="15" x14ac:dyDescent="0.2">
      <c r="B47" s="367" t="s">
        <v>1383</v>
      </c>
      <c r="F47" s="293"/>
    </row>
    <row r="48" spans="2:10" ht="15" x14ac:dyDescent="0.2">
      <c r="B48" s="367" t="s">
        <v>1384</v>
      </c>
      <c r="F48" s="293"/>
    </row>
    <row r="49" spans="2:13" ht="15" x14ac:dyDescent="0.2">
      <c r="B49" s="367" t="s">
        <v>1385</v>
      </c>
      <c r="F49" s="293"/>
      <c r="H49" s="171"/>
      <c r="I49" s="169" t="s">
        <v>406</v>
      </c>
      <c r="J49" s="170" t="s">
        <v>405</v>
      </c>
      <c r="K49" s="628"/>
      <c r="L49" s="628"/>
      <c r="M49" s="629"/>
    </row>
    <row r="50" spans="2:13" ht="15" x14ac:dyDescent="0.2">
      <c r="B50" s="367" t="s">
        <v>1386</v>
      </c>
      <c r="F50" s="293"/>
      <c r="H50" s="165"/>
      <c r="I50" s="161">
        <v>125</v>
      </c>
      <c r="J50" s="168" t="s">
        <v>404</v>
      </c>
      <c r="K50" s="169" t="str">
        <f>IF(SELECTION!$J$29&lt;65,ActuatorSIZING!$L$50,"")</f>
        <v/>
      </c>
      <c r="L50" s="167" t="str">
        <f>IF(SELECTION!$I$42="PTFE",ActuatorSIZING!$M$50,"")</f>
        <v/>
      </c>
      <c r="M50" s="166">
        <v>20</v>
      </c>
    </row>
    <row r="51" spans="2:13" ht="15" x14ac:dyDescent="0.2">
      <c r="B51" s="367" t="s">
        <v>1387</v>
      </c>
      <c r="F51" s="293"/>
      <c r="H51" s="165"/>
      <c r="I51" s="161">
        <v>250</v>
      </c>
      <c r="J51" s="168" t="s">
        <v>403</v>
      </c>
      <c r="K51" s="167" t="str">
        <f>IF(SELECTION!$J$29&lt;350,ActuatorSIZING!$L$51,"")</f>
        <v/>
      </c>
      <c r="L51" s="167" t="str">
        <f>IF(SELECTION!$I$42="PTFE",ActuatorSIZING!$M$51,"")</f>
        <v/>
      </c>
      <c r="M51" s="166">
        <v>24</v>
      </c>
    </row>
    <row r="52" spans="2:13" ht="15" x14ac:dyDescent="0.2">
      <c r="B52" s="367"/>
      <c r="F52" s="293"/>
      <c r="H52" s="165"/>
      <c r="I52" s="161">
        <v>500</v>
      </c>
      <c r="J52" s="168" t="s">
        <v>402</v>
      </c>
      <c r="K52" s="167" t="str">
        <f>IF(SELECTION!$J$29&lt;65,ActuatorSIZING!$L$52,"")</f>
        <v/>
      </c>
      <c r="L52" s="167" t="str">
        <f>IF(SELECTION!$I$42="Graphite",ActuatorSIZING!$M$52,"")</f>
        <v/>
      </c>
      <c r="M52" s="166">
        <v>25</v>
      </c>
    </row>
    <row r="53" spans="2:13" x14ac:dyDescent="0.2">
      <c r="B53" s="365" t="s">
        <v>1389</v>
      </c>
      <c r="F53" s="293"/>
      <c r="H53" s="165"/>
      <c r="I53" s="161">
        <v>700</v>
      </c>
      <c r="J53" s="164" t="s">
        <v>401</v>
      </c>
      <c r="K53" s="163" t="str">
        <f>IF(SELECTION!$J$29&lt;350,ActuatorSIZING!$L$53,"")</f>
        <v/>
      </c>
      <c r="L53" s="163" t="str">
        <f>IF(SELECTION!$I$42="Graphite",ActuatorSIZING!$M$53,"")</f>
        <v/>
      </c>
      <c r="M53" s="162">
        <v>30</v>
      </c>
    </row>
    <row r="54" spans="2:13" x14ac:dyDescent="0.2">
      <c r="B54" s="365" t="s">
        <v>1375</v>
      </c>
      <c r="F54" s="293"/>
      <c r="I54" s="161">
        <v>1500</v>
      </c>
      <c r="J54" s="159" t="s">
        <v>400</v>
      </c>
    </row>
    <row r="55" spans="2:13" x14ac:dyDescent="0.2">
      <c r="B55" s="365" t="s">
        <v>1376</v>
      </c>
      <c r="F55" s="293"/>
      <c r="I55" s="160">
        <v>3000</v>
      </c>
      <c r="J55" s="159" t="s">
        <v>399</v>
      </c>
    </row>
    <row r="56" spans="2:13" x14ac:dyDescent="0.2">
      <c r="B56" s="365" t="s">
        <v>1377</v>
      </c>
      <c r="F56" s="293"/>
    </row>
    <row r="57" spans="2:13" x14ac:dyDescent="0.2">
      <c r="B57" s="365" t="s">
        <v>1379</v>
      </c>
      <c r="F57" s="293"/>
    </row>
    <row r="58" spans="2:13" x14ac:dyDescent="0.2">
      <c r="B58" s="365" t="s">
        <v>1380</v>
      </c>
      <c r="F58" s="293"/>
    </row>
    <row r="59" spans="2:13" x14ac:dyDescent="0.2">
      <c r="B59" s="365" t="s">
        <v>1381</v>
      </c>
      <c r="F59" s="293"/>
    </row>
    <row r="60" spans="2:13" x14ac:dyDescent="0.2">
      <c r="B60" s="365" t="s">
        <v>1382</v>
      </c>
      <c r="F60" s="293"/>
    </row>
    <row r="61" spans="2:13" x14ac:dyDescent="0.2">
      <c r="B61" s="366" t="s">
        <v>1378</v>
      </c>
      <c r="F61" s="293"/>
    </row>
    <row r="62" spans="2:13" x14ac:dyDescent="0.2">
      <c r="F62" s="293"/>
    </row>
    <row r="63" spans="2:13" ht="15" x14ac:dyDescent="0.2">
      <c r="B63" s="367"/>
      <c r="F63" s="293"/>
    </row>
    <row r="64" spans="2:13" ht="15" x14ac:dyDescent="0.2">
      <c r="B64" s="367"/>
      <c r="F64" s="293"/>
    </row>
    <row r="65" spans="2:6" ht="15" x14ac:dyDescent="0.2">
      <c r="B65" s="367"/>
      <c r="F65" s="293"/>
    </row>
    <row r="66" spans="2:6" ht="15" x14ac:dyDescent="0.2">
      <c r="B66" s="367"/>
      <c r="F66" s="293"/>
    </row>
    <row r="67" spans="2:6" ht="15" x14ac:dyDescent="0.2">
      <c r="B67" s="367"/>
      <c r="F67" s="293"/>
    </row>
    <row r="68" spans="2:6" ht="15" x14ac:dyDescent="0.2">
      <c r="B68" s="367"/>
      <c r="F68" s="293"/>
    </row>
    <row r="69" spans="2:6" x14ac:dyDescent="0.2">
      <c r="F69" s="293"/>
    </row>
    <row r="70" spans="2:6" x14ac:dyDescent="0.2">
      <c r="F70" s="293"/>
    </row>
    <row r="71" spans="2:6" x14ac:dyDescent="0.2">
      <c r="F71" s="293"/>
    </row>
    <row r="72" spans="2:6" x14ac:dyDescent="0.2">
      <c r="F72" s="293"/>
    </row>
    <row r="73" spans="2:6" x14ac:dyDescent="0.2">
      <c r="F73" s="293"/>
    </row>
    <row r="74" spans="2:6" x14ac:dyDescent="0.2">
      <c r="F74" s="293"/>
    </row>
    <row r="75" spans="2:6" x14ac:dyDescent="0.2">
      <c r="F75" s="293"/>
    </row>
    <row r="76" spans="2:6" x14ac:dyDescent="0.2">
      <c r="F76" s="293"/>
    </row>
    <row r="77" spans="2:6" x14ac:dyDescent="0.2">
      <c r="F77" s="293"/>
    </row>
    <row r="78" spans="2:6" x14ac:dyDescent="0.2">
      <c r="F78" s="293"/>
    </row>
    <row r="79" spans="2:6" x14ac:dyDescent="0.2">
      <c r="F79" s="293"/>
    </row>
    <row r="80" spans="2:6" x14ac:dyDescent="0.2">
      <c r="F80" s="293"/>
    </row>
    <row r="81" spans="6:6" x14ac:dyDescent="0.2">
      <c r="F81" s="293"/>
    </row>
    <row r="82" spans="6:6" x14ac:dyDescent="0.2">
      <c r="F82" s="293"/>
    </row>
    <row r="83" spans="6:6" x14ac:dyDescent="0.2">
      <c r="F83" s="293"/>
    </row>
    <row r="84" spans="6:6" x14ac:dyDescent="0.2">
      <c r="F84" s="293"/>
    </row>
    <row r="85" spans="6:6" x14ac:dyDescent="0.2">
      <c r="F85" s="293"/>
    </row>
    <row r="86" spans="6:6" x14ac:dyDescent="0.2">
      <c r="F86" s="293"/>
    </row>
    <row r="87" spans="6:6" x14ac:dyDescent="0.2">
      <c r="F87" s="293"/>
    </row>
    <row r="88" spans="6:6" x14ac:dyDescent="0.2">
      <c r="F88" s="293"/>
    </row>
    <row r="89" spans="6:6" x14ac:dyDescent="0.2">
      <c r="F89" s="293"/>
    </row>
    <row r="90" spans="6:6" x14ac:dyDescent="0.2">
      <c r="F90" s="293"/>
    </row>
    <row r="91" spans="6:6" x14ac:dyDescent="0.2">
      <c r="F91" s="293"/>
    </row>
    <row r="92" spans="6:6" x14ac:dyDescent="0.2">
      <c r="F92" s="293"/>
    </row>
    <row r="93" spans="6:6" x14ac:dyDescent="0.2">
      <c r="F93" s="293"/>
    </row>
    <row r="94" spans="6:6" x14ac:dyDescent="0.2">
      <c r="F94" s="293"/>
    </row>
    <row r="95" spans="6:6" x14ac:dyDescent="0.2">
      <c r="F95" s="293"/>
    </row>
    <row r="96" spans="6:6" x14ac:dyDescent="0.2">
      <c r="F96" s="293"/>
    </row>
    <row r="97" spans="6:6" x14ac:dyDescent="0.2">
      <c r="F97" s="293"/>
    </row>
    <row r="98" spans="6:6" x14ac:dyDescent="0.2">
      <c r="F98" s="293"/>
    </row>
    <row r="99" spans="6:6" x14ac:dyDescent="0.2">
      <c r="F99" s="293"/>
    </row>
    <row r="100" spans="6:6" x14ac:dyDescent="0.2">
      <c r="F100" s="293"/>
    </row>
    <row r="101" spans="6:6" x14ac:dyDescent="0.2">
      <c r="F101" s="293"/>
    </row>
    <row r="102" spans="6:6" x14ac:dyDescent="0.2">
      <c r="F102" s="293"/>
    </row>
    <row r="103" spans="6:6" x14ac:dyDescent="0.2">
      <c r="F103" s="293"/>
    </row>
    <row r="104" spans="6:6" x14ac:dyDescent="0.2">
      <c r="F104" s="293"/>
    </row>
    <row r="105" spans="6:6" x14ac:dyDescent="0.2">
      <c r="F105" s="293"/>
    </row>
    <row r="106" spans="6:6" x14ac:dyDescent="0.2">
      <c r="F106" s="293"/>
    </row>
    <row r="107" spans="6:6" x14ac:dyDescent="0.2">
      <c r="F107" s="293"/>
    </row>
    <row r="108" spans="6:6" x14ac:dyDescent="0.2">
      <c r="F108" s="293"/>
    </row>
    <row r="109" spans="6:6" x14ac:dyDescent="0.2">
      <c r="F109" s="293"/>
    </row>
    <row r="110" spans="6:6" x14ac:dyDescent="0.2">
      <c r="F110" s="293"/>
    </row>
    <row r="111" spans="6:6" x14ac:dyDescent="0.2">
      <c r="F111" s="293"/>
    </row>
    <row r="112" spans="6:6" x14ac:dyDescent="0.2">
      <c r="F112" s="293"/>
    </row>
    <row r="113" spans="6:6" x14ac:dyDescent="0.2">
      <c r="F113" s="293"/>
    </row>
    <row r="114" spans="6:6" x14ac:dyDescent="0.2">
      <c r="F114" s="293"/>
    </row>
    <row r="115" spans="6:6" x14ac:dyDescent="0.2">
      <c r="F115" s="293"/>
    </row>
    <row r="116" spans="6:6" x14ac:dyDescent="0.2">
      <c r="F116" s="293"/>
    </row>
    <row r="117" spans="6:6" x14ac:dyDescent="0.2">
      <c r="F117" s="293"/>
    </row>
    <row r="118" spans="6:6" x14ac:dyDescent="0.2">
      <c r="F118" s="293"/>
    </row>
    <row r="119" spans="6:6" x14ac:dyDescent="0.2">
      <c r="F119" s="293"/>
    </row>
    <row r="120" spans="6:6" x14ac:dyDescent="0.2">
      <c r="F120" s="293"/>
    </row>
    <row r="121" spans="6:6" x14ac:dyDescent="0.2">
      <c r="F121" s="293"/>
    </row>
    <row r="122" spans="6:6" x14ac:dyDescent="0.2">
      <c r="F122" s="293"/>
    </row>
    <row r="123" spans="6:6" x14ac:dyDescent="0.2">
      <c r="F123" s="293"/>
    </row>
    <row r="124" spans="6:6" x14ac:dyDescent="0.2">
      <c r="F124" s="293"/>
    </row>
    <row r="125" spans="6:6" x14ac:dyDescent="0.2">
      <c r="F125" s="293"/>
    </row>
    <row r="126" spans="6:6" x14ac:dyDescent="0.2">
      <c r="F126" s="293"/>
    </row>
    <row r="127" spans="6:6" x14ac:dyDescent="0.2">
      <c r="F127" s="293"/>
    </row>
    <row r="128" spans="6:6" x14ac:dyDescent="0.2">
      <c r="F128" s="293"/>
    </row>
    <row r="129" spans="6:6" x14ac:dyDescent="0.2">
      <c r="F129" s="293"/>
    </row>
    <row r="130" spans="6:6" x14ac:dyDescent="0.2">
      <c r="F130" s="293"/>
    </row>
    <row r="131" spans="6:6" x14ac:dyDescent="0.2">
      <c r="F131" s="293"/>
    </row>
    <row r="132" spans="6:6" x14ac:dyDescent="0.2">
      <c r="F132" s="293"/>
    </row>
    <row r="133" spans="6:6" x14ac:dyDescent="0.2">
      <c r="F133" s="293"/>
    </row>
    <row r="134" spans="6:6" x14ac:dyDescent="0.2">
      <c r="F134" s="293"/>
    </row>
    <row r="135" spans="6:6" x14ac:dyDescent="0.2">
      <c r="F135" s="293"/>
    </row>
    <row r="136" spans="6:6" x14ac:dyDescent="0.2">
      <c r="F136" s="293"/>
    </row>
    <row r="137" spans="6:6" x14ac:dyDescent="0.2">
      <c r="F137" s="293"/>
    </row>
    <row r="138" spans="6:6" x14ac:dyDescent="0.2">
      <c r="F138" s="293"/>
    </row>
    <row r="139" spans="6:6" x14ac:dyDescent="0.2">
      <c r="F139" s="293"/>
    </row>
    <row r="140" spans="6:6" x14ac:dyDescent="0.2">
      <c r="F140" s="293"/>
    </row>
    <row r="141" spans="6:6" x14ac:dyDescent="0.2">
      <c r="F141" s="293"/>
    </row>
    <row r="142" spans="6:6" x14ac:dyDescent="0.2">
      <c r="F142" s="293"/>
    </row>
    <row r="143" spans="6:6" x14ac:dyDescent="0.2">
      <c r="F143" s="293"/>
    </row>
    <row r="144" spans="6:6" x14ac:dyDescent="0.2">
      <c r="F144" s="293"/>
    </row>
    <row r="145" spans="6:6" x14ac:dyDescent="0.2">
      <c r="F145" s="293"/>
    </row>
    <row r="146" spans="6:6" x14ac:dyDescent="0.2">
      <c r="F146" s="293"/>
    </row>
    <row r="147" spans="6:6" x14ac:dyDescent="0.2">
      <c r="F147" s="293"/>
    </row>
    <row r="148" spans="6:6" x14ac:dyDescent="0.2">
      <c r="F148" s="293"/>
    </row>
    <row r="149" spans="6:6" x14ac:dyDescent="0.2">
      <c r="F149" s="293"/>
    </row>
    <row r="150" spans="6:6" x14ac:dyDescent="0.2">
      <c r="F150" s="293"/>
    </row>
    <row r="151" spans="6:6" x14ac:dyDescent="0.2">
      <c r="F151" s="293"/>
    </row>
    <row r="152" spans="6:6" x14ac:dyDescent="0.2">
      <c r="F152" s="293"/>
    </row>
    <row r="153" spans="6:6" x14ac:dyDescent="0.2">
      <c r="F153" s="293"/>
    </row>
    <row r="154" spans="6:6" x14ac:dyDescent="0.2">
      <c r="F154" s="293"/>
    </row>
    <row r="155" spans="6:6" x14ac:dyDescent="0.2">
      <c r="F155" s="293"/>
    </row>
    <row r="156" spans="6:6" x14ac:dyDescent="0.2">
      <c r="F156" s="293"/>
    </row>
    <row r="157" spans="6:6" x14ac:dyDescent="0.2">
      <c r="F157" s="293"/>
    </row>
    <row r="158" spans="6:6" x14ac:dyDescent="0.2">
      <c r="F158" s="293"/>
    </row>
    <row r="159" spans="6:6" x14ac:dyDescent="0.2">
      <c r="F159" s="293"/>
    </row>
    <row r="160" spans="6:6" x14ac:dyDescent="0.2">
      <c r="F160" s="293"/>
    </row>
    <row r="161" spans="6:6" x14ac:dyDescent="0.2">
      <c r="F161" s="293"/>
    </row>
    <row r="162" spans="6:6" x14ac:dyDescent="0.2">
      <c r="F162" s="293"/>
    </row>
    <row r="163" spans="6:6" x14ac:dyDescent="0.2">
      <c r="F163" s="293"/>
    </row>
    <row r="164" spans="6:6" x14ac:dyDescent="0.2">
      <c r="F164" s="293"/>
    </row>
    <row r="165" spans="6:6" x14ac:dyDescent="0.2">
      <c r="F165" s="293"/>
    </row>
    <row r="166" spans="6:6" x14ac:dyDescent="0.2">
      <c r="F166" s="293"/>
    </row>
    <row r="167" spans="6:6" x14ac:dyDescent="0.2">
      <c r="F167" s="293"/>
    </row>
    <row r="168" spans="6:6" x14ac:dyDescent="0.2">
      <c r="F168" s="293"/>
    </row>
    <row r="169" spans="6:6" x14ac:dyDescent="0.2">
      <c r="F169" s="293"/>
    </row>
    <row r="170" spans="6:6" x14ac:dyDescent="0.2">
      <c r="F170" s="293"/>
    </row>
    <row r="171" spans="6:6" x14ac:dyDescent="0.2">
      <c r="F171" s="293"/>
    </row>
    <row r="172" spans="6:6" x14ac:dyDescent="0.2">
      <c r="F172" s="293"/>
    </row>
    <row r="173" spans="6:6" x14ac:dyDescent="0.2">
      <c r="F173" s="293"/>
    </row>
    <row r="174" spans="6:6" x14ac:dyDescent="0.2">
      <c r="F174" s="293"/>
    </row>
    <row r="175" spans="6:6" x14ac:dyDescent="0.2">
      <c r="F175" s="293"/>
    </row>
    <row r="176" spans="6:6" x14ac:dyDescent="0.2">
      <c r="F176" s="293"/>
    </row>
    <row r="177" spans="6:6" x14ac:dyDescent="0.2">
      <c r="F177" s="293"/>
    </row>
    <row r="178" spans="6:6" x14ac:dyDescent="0.2">
      <c r="F178" s="293"/>
    </row>
    <row r="179" spans="6:6" x14ac:dyDescent="0.2">
      <c r="F179" s="293"/>
    </row>
    <row r="180" spans="6:6" x14ac:dyDescent="0.2">
      <c r="F180" s="293"/>
    </row>
    <row r="181" spans="6:6" x14ac:dyDescent="0.2">
      <c r="F181" s="293"/>
    </row>
    <row r="182" spans="6:6" x14ac:dyDescent="0.2">
      <c r="F182" s="293"/>
    </row>
    <row r="183" spans="6:6" x14ac:dyDescent="0.2">
      <c r="F183" s="293"/>
    </row>
    <row r="184" spans="6:6" x14ac:dyDescent="0.2">
      <c r="F184" s="293"/>
    </row>
    <row r="185" spans="6:6" x14ac:dyDescent="0.2">
      <c r="F185" s="293"/>
    </row>
    <row r="186" spans="6:6" x14ac:dyDescent="0.2">
      <c r="F186" s="293"/>
    </row>
    <row r="187" spans="6:6" x14ac:dyDescent="0.2">
      <c r="F187" s="293"/>
    </row>
    <row r="188" spans="6:6" x14ac:dyDescent="0.2">
      <c r="F188" s="293"/>
    </row>
    <row r="189" spans="6:6" x14ac:dyDescent="0.2">
      <c r="F189" s="293"/>
    </row>
    <row r="190" spans="6:6" x14ac:dyDescent="0.2">
      <c r="F190" s="293"/>
    </row>
    <row r="191" spans="6:6" x14ac:dyDescent="0.2">
      <c r="F191" s="293"/>
    </row>
    <row r="192" spans="6:6" x14ac:dyDescent="0.2">
      <c r="F192" s="293"/>
    </row>
    <row r="193" spans="6:6" x14ac:dyDescent="0.2">
      <c r="F193" s="293"/>
    </row>
    <row r="194" spans="6:6" x14ac:dyDescent="0.2">
      <c r="F194" s="293"/>
    </row>
    <row r="195" spans="6:6" x14ac:dyDescent="0.2">
      <c r="F195" s="293"/>
    </row>
    <row r="196" spans="6:6" x14ac:dyDescent="0.2">
      <c r="F196" s="293"/>
    </row>
    <row r="197" spans="6:6" x14ac:dyDescent="0.2">
      <c r="F197" s="293"/>
    </row>
    <row r="198" spans="6:6" x14ac:dyDescent="0.2">
      <c r="F198" s="293"/>
    </row>
    <row r="199" spans="6:6" x14ac:dyDescent="0.2">
      <c r="F199" s="293"/>
    </row>
    <row r="200" spans="6:6" x14ac:dyDescent="0.2">
      <c r="F200" s="293"/>
    </row>
    <row r="201" spans="6:6" x14ac:dyDescent="0.2">
      <c r="F201" s="293"/>
    </row>
    <row r="202" spans="6:6" x14ac:dyDescent="0.2">
      <c r="F202" s="293"/>
    </row>
    <row r="203" spans="6:6" x14ac:dyDescent="0.2">
      <c r="F203" s="293"/>
    </row>
    <row r="204" spans="6:6" x14ac:dyDescent="0.2">
      <c r="F204" s="293"/>
    </row>
    <row r="205" spans="6:6" x14ac:dyDescent="0.2">
      <c r="F205" s="293"/>
    </row>
    <row r="206" spans="6:6" x14ac:dyDescent="0.2">
      <c r="F206" s="293"/>
    </row>
    <row r="207" spans="6:6" x14ac:dyDescent="0.2">
      <c r="F207" s="293"/>
    </row>
    <row r="208" spans="6:6" x14ac:dyDescent="0.2">
      <c r="F208" s="293"/>
    </row>
    <row r="209" spans="6:6" x14ac:dyDescent="0.2">
      <c r="F209" s="293"/>
    </row>
    <row r="210" spans="6:6" x14ac:dyDescent="0.2">
      <c r="F210" s="293"/>
    </row>
    <row r="211" spans="6:6" x14ac:dyDescent="0.2">
      <c r="F211" s="293"/>
    </row>
    <row r="212" spans="6:6" x14ac:dyDescent="0.2">
      <c r="F212" s="293"/>
    </row>
    <row r="213" spans="6:6" x14ac:dyDescent="0.2">
      <c r="F213" s="293"/>
    </row>
    <row r="214" spans="6:6" x14ac:dyDescent="0.2">
      <c r="F214" s="293"/>
    </row>
    <row r="215" spans="6:6" x14ac:dyDescent="0.2">
      <c r="F215" s="293"/>
    </row>
    <row r="216" spans="6:6" x14ac:dyDescent="0.2">
      <c r="F216" s="293"/>
    </row>
    <row r="217" spans="6:6" x14ac:dyDescent="0.2">
      <c r="F217" s="293"/>
    </row>
    <row r="218" spans="6:6" x14ac:dyDescent="0.2">
      <c r="F218" s="293"/>
    </row>
    <row r="219" spans="6:6" x14ac:dyDescent="0.2">
      <c r="F219" s="293"/>
    </row>
    <row r="220" spans="6:6" x14ac:dyDescent="0.2">
      <c r="F220" s="293"/>
    </row>
    <row r="221" spans="6:6" x14ac:dyDescent="0.2">
      <c r="F221" s="293"/>
    </row>
    <row r="222" spans="6:6" x14ac:dyDescent="0.2">
      <c r="F222" s="293"/>
    </row>
    <row r="223" spans="6:6" x14ac:dyDescent="0.2">
      <c r="F223" s="293"/>
    </row>
    <row r="224" spans="6:6" x14ac:dyDescent="0.2">
      <c r="F224" s="293"/>
    </row>
    <row r="225" spans="6:6" x14ac:dyDescent="0.2">
      <c r="F225" s="293"/>
    </row>
    <row r="226" spans="6:6" x14ac:dyDescent="0.2">
      <c r="F226" s="293"/>
    </row>
    <row r="227" spans="6:6" x14ac:dyDescent="0.2">
      <c r="F227" s="293"/>
    </row>
    <row r="228" spans="6:6" x14ac:dyDescent="0.2">
      <c r="F228" s="293"/>
    </row>
    <row r="229" spans="6:6" x14ac:dyDescent="0.2">
      <c r="F229" s="293"/>
    </row>
    <row r="230" spans="6:6" x14ac:dyDescent="0.2">
      <c r="F230" s="293"/>
    </row>
    <row r="231" spans="6:6" x14ac:dyDescent="0.2">
      <c r="F231" s="293"/>
    </row>
    <row r="232" spans="6:6" x14ac:dyDescent="0.2">
      <c r="F232" s="293"/>
    </row>
    <row r="233" spans="6:6" x14ac:dyDescent="0.2">
      <c r="F233" s="293"/>
    </row>
    <row r="234" spans="6:6" x14ac:dyDescent="0.2">
      <c r="F234" s="293"/>
    </row>
    <row r="235" spans="6:6" x14ac:dyDescent="0.2">
      <c r="F235" s="293"/>
    </row>
    <row r="236" spans="6:6" x14ac:dyDescent="0.2">
      <c r="F236" s="293"/>
    </row>
    <row r="237" spans="6:6" x14ac:dyDescent="0.2">
      <c r="F237" s="293"/>
    </row>
    <row r="238" spans="6:6" x14ac:dyDescent="0.2">
      <c r="F238" s="293"/>
    </row>
    <row r="239" spans="6:6" x14ac:dyDescent="0.2">
      <c r="F239" s="293"/>
    </row>
    <row r="240" spans="6:6" x14ac:dyDescent="0.2">
      <c r="F240" s="293"/>
    </row>
    <row r="241" spans="6:6" x14ac:dyDescent="0.2">
      <c r="F241" s="293"/>
    </row>
    <row r="242" spans="6:6" x14ac:dyDescent="0.2">
      <c r="F242" s="293"/>
    </row>
    <row r="243" spans="6:6" x14ac:dyDescent="0.2">
      <c r="F243" s="293"/>
    </row>
    <row r="244" spans="6:6" x14ac:dyDescent="0.2">
      <c r="F244" s="293"/>
    </row>
    <row r="245" spans="6:6" x14ac:dyDescent="0.2">
      <c r="F245" s="293"/>
    </row>
    <row r="246" spans="6:6" x14ac:dyDescent="0.2">
      <c r="F246" s="293"/>
    </row>
    <row r="247" spans="6:6" x14ac:dyDescent="0.2">
      <c r="F247" s="293"/>
    </row>
    <row r="248" spans="6:6" x14ac:dyDescent="0.2">
      <c r="F248" s="293"/>
    </row>
    <row r="249" spans="6:6" x14ac:dyDescent="0.2">
      <c r="F249" s="293"/>
    </row>
    <row r="250" spans="6:6" x14ac:dyDescent="0.2">
      <c r="F250" s="293"/>
    </row>
    <row r="251" spans="6:6" x14ac:dyDescent="0.2">
      <c r="F251" s="293"/>
    </row>
    <row r="252" spans="6:6" x14ac:dyDescent="0.2">
      <c r="F252" s="293"/>
    </row>
    <row r="253" spans="6:6" x14ac:dyDescent="0.2">
      <c r="F253" s="293"/>
    </row>
    <row r="254" spans="6:6" x14ac:dyDescent="0.2">
      <c r="F254" s="293"/>
    </row>
    <row r="255" spans="6:6" x14ac:dyDescent="0.2">
      <c r="F255" s="293"/>
    </row>
    <row r="256" spans="6:6" x14ac:dyDescent="0.2">
      <c r="F256" s="293"/>
    </row>
    <row r="257" spans="6:6" x14ac:dyDescent="0.2">
      <c r="F257" s="293"/>
    </row>
    <row r="258" spans="6:6" x14ac:dyDescent="0.2">
      <c r="F258" s="293"/>
    </row>
    <row r="259" spans="6:6" x14ac:dyDescent="0.2">
      <c r="F259" s="293"/>
    </row>
    <row r="260" spans="6:6" x14ac:dyDescent="0.2">
      <c r="F260" s="293"/>
    </row>
    <row r="261" spans="6:6" x14ac:dyDescent="0.2">
      <c r="F261" s="293"/>
    </row>
    <row r="262" spans="6:6" x14ac:dyDescent="0.2">
      <c r="F262" s="293"/>
    </row>
    <row r="263" spans="6:6" x14ac:dyDescent="0.2">
      <c r="F263" s="293"/>
    </row>
    <row r="264" spans="6:6" x14ac:dyDescent="0.2">
      <c r="F264" s="293"/>
    </row>
    <row r="265" spans="6:6" x14ac:dyDescent="0.2">
      <c r="F265" s="293"/>
    </row>
    <row r="266" spans="6:6" x14ac:dyDescent="0.2">
      <c r="F266" s="293"/>
    </row>
    <row r="267" spans="6:6" x14ac:dyDescent="0.2">
      <c r="F267" s="293"/>
    </row>
    <row r="268" spans="6:6" x14ac:dyDescent="0.2">
      <c r="F268" s="293"/>
    </row>
    <row r="269" spans="6:6" x14ac:dyDescent="0.2">
      <c r="F269" s="293"/>
    </row>
    <row r="270" spans="6:6" x14ac:dyDescent="0.2">
      <c r="F270" s="293"/>
    </row>
    <row r="271" spans="6:6" x14ac:dyDescent="0.2">
      <c r="F271" s="293"/>
    </row>
    <row r="272" spans="6:6" x14ac:dyDescent="0.2">
      <c r="F272" s="293"/>
    </row>
    <row r="273" spans="6:6" x14ac:dyDescent="0.2">
      <c r="F273" s="293"/>
    </row>
    <row r="274" spans="6:6" x14ac:dyDescent="0.2">
      <c r="F274" s="293"/>
    </row>
    <row r="275" spans="6:6" x14ac:dyDescent="0.2">
      <c r="F275" s="293"/>
    </row>
    <row r="276" spans="6:6" x14ac:dyDescent="0.2">
      <c r="F276" s="293"/>
    </row>
    <row r="277" spans="6:6" x14ac:dyDescent="0.2">
      <c r="F277" s="293"/>
    </row>
    <row r="278" spans="6:6" x14ac:dyDescent="0.2">
      <c r="F278" s="293"/>
    </row>
    <row r="279" spans="6:6" x14ac:dyDescent="0.2">
      <c r="F279" s="293"/>
    </row>
    <row r="280" spans="6:6" x14ac:dyDescent="0.2">
      <c r="F280" s="293"/>
    </row>
    <row r="281" spans="6:6" x14ac:dyDescent="0.2">
      <c r="F281" s="293"/>
    </row>
    <row r="282" spans="6:6" x14ac:dyDescent="0.2">
      <c r="F282" s="293"/>
    </row>
    <row r="283" spans="6:6" x14ac:dyDescent="0.2">
      <c r="F283" s="293"/>
    </row>
    <row r="284" spans="6:6" x14ac:dyDescent="0.2">
      <c r="F284" s="293"/>
    </row>
    <row r="285" spans="6:6" x14ac:dyDescent="0.2">
      <c r="F285" s="293"/>
    </row>
    <row r="286" spans="6:6" x14ac:dyDescent="0.2">
      <c r="F286" s="293"/>
    </row>
    <row r="287" spans="6:6" x14ac:dyDescent="0.2">
      <c r="F287" s="293"/>
    </row>
    <row r="288" spans="6:6" x14ac:dyDescent="0.2">
      <c r="F288" s="293"/>
    </row>
    <row r="289" spans="6:6" x14ac:dyDescent="0.2">
      <c r="F289" s="293"/>
    </row>
    <row r="290" spans="6:6" x14ac:dyDescent="0.2">
      <c r="F290" s="293"/>
    </row>
    <row r="291" spans="6:6" x14ac:dyDescent="0.2">
      <c r="F291" s="293"/>
    </row>
    <row r="292" spans="6:6" x14ac:dyDescent="0.2">
      <c r="F292" s="293"/>
    </row>
    <row r="293" spans="6:6" x14ac:dyDescent="0.2">
      <c r="F293" s="293"/>
    </row>
    <row r="294" spans="6:6" x14ac:dyDescent="0.2">
      <c r="F294" s="293"/>
    </row>
    <row r="295" spans="6:6" x14ac:dyDescent="0.2">
      <c r="F295" s="293"/>
    </row>
    <row r="296" spans="6:6" x14ac:dyDescent="0.2">
      <c r="F296" s="293"/>
    </row>
    <row r="297" spans="6:6" x14ac:dyDescent="0.2">
      <c r="F297" s="293"/>
    </row>
    <row r="298" spans="6:6" x14ac:dyDescent="0.2">
      <c r="F298" s="293"/>
    </row>
    <row r="299" spans="6:6" x14ac:dyDescent="0.2">
      <c r="F299" s="293"/>
    </row>
    <row r="300" spans="6:6" x14ac:dyDescent="0.2">
      <c r="F300" s="293"/>
    </row>
    <row r="301" spans="6:6" x14ac:dyDescent="0.2">
      <c r="F301" s="293"/>
    </row>
    <row r="302" spans="6:6" x14ac:dyDescent="0.2">
      <c r="F302" s="293"/>
    </row>
    <row r="303" spans="6:6" x14ac:dyDescent="0.2">
      <c r="F303" s="293"/>
    </row>
    <row r="304" spans="6:6" x14ac:dyDescent="0.2">
      <c r="F304" s="293"/>
    </row>
    <row r="305" spans="6:6" x14ac:dyDescent="0.2">
      <c r="F305" s="293"/>
    </row>
    <row r="306" spans="6:6" x14ac:dyDescent="0.2">
      <c r="F306" s="293"/>
    </row>
    <row r="307" spans="6:6" x14ac:dyDescent="0.2">
      <c r="F307" s="293"/>
    </row>
    <row r="308" spans="6:6" x14ac:dyDescent="0.2">
      <c r="F308" s="293"/>
    </row>
    <row r="309" spans="6:6" x14ac:dyDescent="0.2">
      <c r="F309" s="293"/>
    </row>
    <row r="310" spans="6:6" x14ac:dyDescent="0.2">
      <c r="F310" s="293"/>
    </row>
    <row r="311" spans="6:6" x14ac:dyDescent="0.2">
      <c r="F311" s="293"/>
    </row>
    <row r="312" spans="6:6" x14ac:dyDescent="0.2">
      <c r="F312" s="293"/>
    </row>
    <row r="313" spans="6:6" x14ac:dyDescent="0.2">
      <c r="F313" s="293"/>
    </row>
    <row r="314" spans="6:6" x14ac:dyDescent="0.2">
      <c r="F314" s="293"/>
    </row>
    <row r="315" spans="6:6" x14ac:dyDescent="0.2">
      <c r="F315" s="293"/>
    </row>
    <row r="316" spans="6:6" x14ac:dyDescent="0.2">
      <c r="F316" s="293"/>
    </row>
    <row r="317" spans="6:6" x14ac:dyDescent="0.2">
      <c r="F317" s="293"/>
    </row>
    <row r="318" spans="6:6" x14ac:dyDescent="0.2">
      <c r="F318" s="293"/>
    </row>
    <row r="319" spans="6:6" x14ac:dyDescent="0.2">
      <c r="F319" s="293"/>
    </row>
    <row r="320" spans="6:6" x14ac:dyDescent="0.2">
      <c r="F320" s="293"/>
    </row>
    <row r="321" spans="6:6" x14ac:dyDescent="0.2">
      <c r="F321" s="293"/>
    </row>
    <row r="322" spans="6:6" x14ac:dyDescent="0.2">
      <c r="F322" s="293"/>
    </row>
  </sheetData>
  <mergeCells count="3">
    <mergeCell ref="D3:E3"/>
    <mergeCell ref="E6:E7"/>
    <mergeCell ref="K49:M49"/>
  </mergeCells>
  <phoneticPr fontId="33"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C2:I76"/>
  <sheetViews>
    <sheetView zoomScale="90" zoomScaleNormal="90" workbookViewId="0">
      <selection activeCell="G39" sqref="G39"/>
    </sheetView>
  </sheetViews>
  <sheetFormatPr defaultRowHeight="12.75" x14ac:dyDescent="0.2"/>
  <cols>
    <col min="1" max="2" width="3.140625" customWidth="1"/>
    <col min="3" max="3" width="33.28515625" bestFit="1" customWidth="1"/>
    <col min="4" max="4" width="8.5703125" customWidth="1"/>
    <col min="5" max="5" width="33.85546875" customWidth="1"/>
    <col min="6" max="6" width="15.85546875" customWidth="1"/>
    <col min="7" max="7" width="85.28515625" customWidth="1"/>
    <col min="8" max="8" width="5.42578125" customWidth="1"/>
    <col min="9" max="9" width="78.5703125" bestFit="1" customWidth="1"/>
  </cols>
  <sheetData>
    <row r="2" spans="3:9" ht="13.5" customHeight="1" x14ac:dyDescent="0.25">
      <c r="E2" s="357" t="s">
        <v>1360</v>
      </c>
      <c r="G2" s="351" t="s">
        <v>473</v>
      </c>
      <c r="H2" s="351"/>
      <c r="I2" s="351" t="s">
        <v>281</v>
      </c>
    </row>
    <row r="3" spans="3:9" ht="13.5" customHeight="1" x14ac:dyDescent="0.2">
      <c r="C3" s="630" t="s">
        <v>369</v>
      </c>
      <c r="D3" s="631"/>
      <c r="E3" s="359" t="s">
        <v>1361</v>
      </c>
      <c r="I3" t="s">
        <v>282</v>
      </c>
    </row>
    <row r="4" spans="3:9" ht="13.5" customHeight="1" x14ac:dyDescent="0.2">
      <c r="C4" s="360" t="s">
        <v>295</v>
      </c>
      <c r="D4" s="364">
        <f>IF(SELECTION!$AR$22=SELECTION!$AR$2,ValveSIZING!$F$22,ValveSIZING!$F$24)</f>
        <v>24.984269692380604</v>
      </c>
      <c r="E4" s="358">
        <f>($D$4*$D$5)/$D$6</f>
        <v>25548914.187428404</v>
      </c>
      <c r="G4" t="s">
        <v>1300</v>
      </c>
      <c r="I4" t="s">
        <v>283</v>
      </c>
    </row>
    <row r="5" spans="3:9" ht="13.5" customHeight="1" x14ac:dyDescent="0.2">
      <c r="C5" s="360" t="s">
        <v>1362</v>
      </c>
      <c r="D5" s="364">
        <f>ValveSIZING!$E$8</f>
        <v>102.25999999999999</v>
      </c>
      <c r="E5" s="362" t="s">
        <v>1367</v>
      </c>
      <c r="G5" s="1" t="s">
        <v>1363</v>
      </c>
      <c r="I5" t="s">
        <v>284</v>
      </c>
    </row>
    <row r="6" spans="3:9" ht="13.5" customHeight="1" x14ac:dyDescent="0.2">
      <c r="C6" s="356" t="s">
        <v>33</v>
      </c>
      <c r="D6" s="364">
        <v>1E-4</v>
      </c>
      <c r="E6" s="363" t="e">
        <f>10*LOG10($D$7)+18*LOG10(ValveSIZING!$E$50-ValveSIZING!$E$42)-5*LOG10(ValveSIZING!$E$14)+18*LOG10((((ValveSIZING!$E$50-ValveSIZING!$E$51)/(ValveSIZING!$E$50))/ValveSIZING!$E$62))+40</f>
        <v>#N/A</v>
      </c>
      <c r="G6" s="350" t="s">
        <v>1318</v>
      </c>
      <c r="I6" t="s">
        <v>285</v>
      </c>
    </row>
    <row r="7" spans="3:9" ht="13.5" customHeight="1" x14ac:dyDescent="0.2">
      <c r="C7" s="360" t="s">
        <v>1364</v>
      </c>
      <c r="D7" s="364">
        <f>ValveSIZING!$F$162</f>
        <v>4.6934804114279931</v>
      </c>
      <c r="E7" s="362" t="s">
        <v>1368</v>
      </c>
      <c r="G7" s="354" t="s">
        <v>1319</v>
      </c>
      <c r="I7" t="s">
        <v>286</v>
      </c>
    </row>
    <row r="8" spans="3:9" ht="13.5" customHeight="1" x14ac:dyDescent="0.2">
      <c r="C8" s="360" t="s">
        <v>1365</v>
      </c>
      <c r="D8" s="364">
        <f>ValveSIZING!$F$164</f>
        <v>0.24219253178313968</v>
      </c>
      <c r="E8" s="363" t="e">
        <f>10*LOG10($D$8)+18*LOG10(ValveSIZING!$E$52-ValveSIZING!$E$42)-5*LOG10(ValveSIZING!$E$15)+18*LOG10((((ValveSIZING!$E$52-ValveSIZING!$E$53)/(ValveSIZING!$E$52))/ValveSIZING!$E$63))+40</f>
        <v>#N/A</v>
      </c>
      <c r="G8" s="354" t="s">
        <v>1320</v>
      </c>
      <c r="I8" t="s">
        <v>287</v>
      </c>
    </row>
    <row r="9" spans="3:9" ht="13.5" customHeight="1" x14ac:dyDescent="0.2">
      <c r="C9" s="360" t="s">
        <v>1366</v>
      </c>
      <c r="D9" s="364">
        <f>ValveSIZING!$F$166</f>
        <v>2.883659536414496E-2</v>
      </c>
      <c r="E9" s="362" t="s">
        <v>1369</v>
      </c>
      <c r="G9" s="354" t="s">
        <v>1315</v>
      </c>
      <c r="I9" t="s">
        <v>288</v>
      </c>
    </row>
    <row r="10" spans="3:9" ht="13.5" customHeight="1" x14ac:dyDescent="0.2">
      <c r="C10" s="356"/>
      <c r="D10" s="364"/>
      <c r="E10" s="363" t="e">
        <f>10*LOG10($D$9)+18*LOG10(ValveSIZING!$E$54-ValveSIZING!$E$42)-5*LOG10(ValveSIZING!$E$16)+18*LOG10((((ValveSIZING!$E$54-ValveSIZING!$E$55)/(ValveSIZING!$E$54))/ValveSIZING!$E$64))+40</f>
        <v>#N/A</v>
      </c>
      <c r="G10" s="354" t="s">
        <v>1316</v>
      </c>
      <c r="I10" t="s">
        <v>289</v>
      </c>
    </row>
    <row r="11" spans="3:9" ht="13.5" customHeight="1" x14ac:dyDescent="0.2">
      <c r="C11" s="356"/>
      <c r="D11" s="364"/>
      <c r="E11" s="362" t="s">
        <v>1370</v>
      </c>
      <c r="G11" s="354" t="s">
        <v>1317</v>
      </c>
      <c r="I11" t="s">
        <v>290</v>
      </c>
    </row>
    <row r="12" spans="3:9" ht="13.5" customHeight="1" x14ac:dyDescent="0.2">
      <c r="C12" s="356"/>
      <c r="D12" s="364"/>
      <c r="E12" s="363" t="e">
        <f>10*LOG10($D$7)+18*LOG10(ValveSIZING!$E$50-ValveSIZING!$E$42)-5*LOG10(ValveSIZING!$E$14)+292*POWER((ValveSIZING!$E$68-ValveSIZING!$E$62),0.75)-(268+(38*ValveSIZING!$E$62))*POWER(ValveSIZING!$E$68-ValveSIZING!$E$62,0.935)+40</f>
        <v>#N/A</v>
      </c>
      <c r="G12" s="354" t="s">
        <v>1312</v>
      </c>
      <c r="I12" t="s">
        <v>291</v>
      </c>
    </row>
    <row r="13" spans="3:9" ht="13.5" customHeight="1" x14ac:dyDescent="0.2">
      <c r="C13" s="356"/>
      <c r="D13" s="364"/>
      <c r="E13" s="362" t="s">
        <v>1371</v>
      </c>
      <c r="G13" s="354" t="s">
        <v>1313</v>
      </c>
      <c r="I13" t="s">
        <v>292</v>
      </c>
    </row>
    <row r="14" spans="3:9" ht="13.5" customHeight="1" x14ac:dyDescent="0.2">
      <c r="C14" s="356"/>
      <c r="D14" s="364"/>
      <c r="E14" s="363" t="e">
        <f>10*LOG10($D$8)+18*LOG10(ValveSIZING!$E$52-ValveSIZING!$E$42)-5*LOG10(ValveSIZING!$E$15)+292*POWER((ValveSIZING!$E$69-ValveSIZING!$E$63),0.75)-(268+(38*ValveSIZING!$E$62))*POWER(ValveSIZING!$E$69-ValveSIZING!$E$63,0.935)+40</f>
        <v>#N/A</v>
      </c>
      <c r="G14" s="355" t="s">
        <v>1314</v>
      </c>
      <c r="I14" t="s">
        <v>293</v>
      </c>
    </row>
    <row r="15" spans="3:9" ht="13.5" customHeight="1" x14ac:dyDescent="0.2">
      <c r="C15" s="356"/>
      <c r="D15" s="364"/>
      <c r="E15" s="362" t="s">
        <v>1372</v>
      </c>
      <c r="I15" t="s">
        <v>294</v>
      </c>
    </row>
    <row r="16" spans="3:9" ht="13.5" customHeight="1" x14ac:dyDescent="0.2">
      <c r="C16" s="356"/>
      <c r="D16" s="364"/>
      <c r="E16" s="363" t="e">
        <f>10*LOG10($D$9)+18*LOG10(ValveSIZING!$E$54-ValveSIZING!$E$42)-5*LOG10(ValveSIZING!$E$16)+292*POWER((ValveSIZING!$E$70-ValveSIZING!$E$64),0.75)-(268+(38*ValveSIZING!$E$62))*POWER(ValveSIZING!$E$70-ValveSIZING!$E$64,0.935)+40</f>
        <v>#N/A</v>
      </c>
      <c r="G16" s="350" t="s">
        <v>1301</v>
      </c>
      <c r="I16" s="2" t="s">
        <v>295</v>
      </c>
    </row>
    <row r="17" spans="3:9" ht="13.5" customHeight="1" x14ac:dyDescent="0.2">
      <c r="C17" s="356"/>
      <c r="D17" s="364"/>
      <c r="E17" s="362" t="s">
        <v>1391</v>
      </c>
      <c r="G17" s="350" t="s">
        <v>1302</v>
      </c>
      <c r="I17" t="s">
        <v>296</v>
      </c>
    </row>
    <row r="18" spans="3:9" ht="13.5" customHeight="1" x14ac:dyDescent="0.2">
      <c r="C18" s="356"/>
      <c r="D18" s="364"/>
      <c r="E18" s="363">
        <f>14*LOG10($D$7)+18*LOG10(ValveSIZING!$E$50)+5*LOG10(273+ValveSIZING!$E$59)-5*LOG10(ValveSIZING!$E$14)+20*LOG10(LOG10(ValveSIZING!$E$50/ValveSIZING!$E$51))+52</f>
        <v>58.05598678390745</v>
      </c>
      <c r="G18" s="350" t="s">
        <v>1303</v>
      </c>
      <c r="I18" t="s">
        <v>297</v>
      </c>
    </row>
    <row r="19" spans="3:9" ht="13.5" customHeight="1" x14ac:dyDescent="0.2">
      <c r="C19" s="356"/>
      <c r="D19" s="364"/>
      <c r="E19" s="362" t="s">
        <v>1392</v>
      </c>
      <c r="G19" s="352" t="s">
        <v>1374</v>
      </c>
      <c r="I19" t="s">
        <v>298</v>
      </c>
    </row>
    <row r="20" spans="3:9" ht="13.5" customHeight="1" x14ac:dyDescent="0.2">
      <c r="C20" s="356"/>
      <c r="D20" s="364"/>
      <c r="E20" s="363">
        <f>14*LOG10($D$8)+18*LOG10(ValveSIZING!$E$52)+5*LOG10(273+ValveSIZING!$E$60)-5*LOG10(ValveSIZING!$E$14)+20*LOG10(LOG10(ValveSIZING!$E$52/ValveSIZING!$E$53))+52</f>
        <v>50.56194650331696</v>
      </c>
      <c r="G20" s="350" t="s">
        <v>1304</v>
      </c>
      <c r="I20" t="s">
        <v>299</v>
      </c>
    </row>
    <row r="21" spans="3:9" ht="13.5" customHeight="1" x14ac:dyDescent="0.2">
      <c r="C21" s="356"/>
      <c r="D21" s="364"/>
      <c r="E21" s="362" t="s">
        <v>1393</v>
      </c>
      <c r="G21" s="352" t="s">
        <v>1390</v>
      </c>
      <c r="I21" t="s">
        <v>300</v>
      </c>
    </row>
    <row r="22" spans="3:9" ht="13.5" customHeight="1" x14ac:dyDescent="0.2">
      <c r="C22" s="356"/>
      <c r="D22" s="364"/>
      <c r="E22" s="363">
        <f>14*LOG10($D$9)+18*LOG10(ValveSIZING!$E$54)+5*LOG10(273+ValveSIZING!$E$61)-5*LOG10(ValveSIZING!$E$14)+20*LOG10(LOG10(ValveSIZING!$E$54/ValveSIZING!$E$55))+52</f>
        <v>47.065575738662119</v>
      </c>
      <c r="G22" s="350" t="s">
        <v>1305</v>
      </c>
      <c r="I22" t="s">
        <v>301</v>
      </c>
    </row>
    <row r="23" spans="3:9" ht="13.5" customHeight="1" x14ac:dyDescent="0.2">
      <c r="G23" s="352" t="s">
        <v>1373</v>
      </c>
      <c r="I23" t="s">
        <v>27</v>
      </c>
    </row>
    <row r="24" spans="3:9" ht="13.5" customHeight="1" x14ac:dyDescent="0.2">
      <c r="G24" s="352"/>
      <c r="I24" s="2" t="s">
        <v>302</v>
      </c>
    </row>
    <row r="25" spans="3:9" ht="13.5" customHeight="1" x14ac:dyDescent="0.2">
      <c r="G25" s="350" t="s">
        <v>1306</v>
      </c>
      <c r="I25" s="2" t="s">
        <v>303</v>
      </c>
    </row>
    <row r="26" spans="3:9" ht="13.5" customHeight="1" x14ac:dyDescent="0.2">
      <c r="G26" s="350" t="s">
        <v>1307</v>
      </c>
      <c r="I26" s="361" t="s">
        <v>33</v>
      </c>
    </row>
    <row r="27" spans="3:9" ht="13.5" customHeight="1" x14ac:dyDescent="0.2">
      <c r="C27" s="2"/>
      <c r="I27" s="361" t="s">
        <v>31</v>
      </c>
    </row>
    <row r="28" spans="3:9" ht="13.5" customHeight="1" x14ac:dyDescent="0.2">
      <c r="G28" t="s">
        <v>1308</v>
      </c>
      <c r="I28" s="361" t="s">
        <v>27</v>
      </c>
    </row>
    <row r="29" spans="3:9" ht="13.5" customHeight="1" x14ac:dyDescent="0.2">
      <c r="G29" t="s">
        <v>1309</v>
      </c>
    </row>
    <row r="30" spans="3:9" ht="13.5" customHeight="1" x14ac:dyDescent="0.2">
      <c r="G30" t="s">
        <v>1310</v>
      </c>
    </row>
    <row r="31" spans="3:9" ht="13.5" customHeight="1" x14ac:dyDescent="0.2">
      <c r="G31" t="s">
        <v>1311</v>
      </c>
    </row>
    <row r="32" spans="3:9" ht="13.5" customHeight="1" x14ac:dyDescent="0.2">
      <c r="G32" s="350" t="s">
        <v>1321</v>
      </c>
    </row>
    <row r="33" spans="7:7" ht="13.5" customHeight="1" x14ac:dyDescent="0.2">
      <c r="G33" s="350" t="s">
        <v>1322</v>
      </c>
    </row>
    <row r="34" spans="7:7" ht="13.5" customHeight="1" x14ac:dyDescent="0.2">
      <c r="G34" s="350" t="s">
        <v>1323</v>
      </c>
    </row>
    <row r="35" spans="7:7" ht="13.5" customHeight="1" x14ac:dyDescent="0.2">
      <c r="G35" s="352"/>
    </row>
    <row r="36" spans="7:7" ht="13.5" customHeight="1" x14ac:dyDescent="0.2">
      <c r="G36" s="350" t="s">
        <v>1324</v>
      </c>
    </row>
    <row r="37" spans="7:7" ht="13.5" customHeight="1" x14ac:dyDescent="0.2">
      <c r="G37" s="350" t="s">
        <v>1325</v>
      </c>
    </row>
    <row r="38" spans="7:7" ht="13.5" customHeight="1" x14ac:dyDescent="0.2">
      <c r="G38" s="2" t="s">
        <v>1326</v>
      </c>
    </row>
    <row r="39" spans="7:7" ht="13.5" customHeight="1" x14ac:dyDescent="0.2">
      <c r="G39" s="352" t="s">
        <v>1327</v>
      </c>
    </row>
    <row r="40" spans="7:7" ht="13.5" customHeight="1" x14ac:dyDescent="0.2"/>
    <row r="41" spans="7:7" ht="13.5" customHeight="1" x14ac:dyDescent="0.2">
      <c r="G41" t="s">
        <v>1328</v>
      </c>
    </row>
    <row r="42" spans="7:7" ht="13.5" customHeight="1" x14ac:dyDescent="0.2">
      <c r="G42" t="s">
        <v>1329</v>
      </c>
    </row>
    <row r="43" spans="7:7" ht="13.5" customHeight="1" x14ac:dyDescent="0.2">
      <c r="G43" t="s">
        <v>1330</v>
      </c>
    </row>
    <row r="44" spans="7:7" ht="13.5" customHeight="1" x14ac:dyDescent="0.2">
      <c r="G44" t="s">
        <v>1331</v>
      </c>
    </row>
    <row r="45" spans="7:7" ht="13.5" customHeight="1" x14ac:dyDescent="0.2">
      <c r="G45" t="s">
        <v>1332</v>
      </c>
    </row>
    <row r="46" spans="7:7" ht="13.5" customHeight="1" x14ac:dyDescent="0.2">
      <c r="G46" t="s">
        <v>1333</v>
      </c>
    </row>
    <row r="47" spans="7:7" ht="13.5" customHeight="1" x14ac:dyDescent="0.2">
      <c r="G47" t="s">
        <v>1334</v>
      </c>
    </row>
    <row r="48" spans="7:7" ht="13.5" customHeight="1" x14ac:dyDescent="0.2">
      <c r="G48" t="s">
        <v>1335</v>
      </c>
    </row>
    <row r="49" spans="7:7" ht="13.5" customHeight="1" x14ac:dyDescent="0.2">
      <c r="G49" s="1" t="s">
        <v>1336</v>
      </c>
    </row>
    <row r="50" spans="7:7" ht="13.5" customHeight="1" x14ac:dyDescent="0.2">
      <c r="G50" t="s">
        <v>1337</v>
      </c>
    </row>
    <row r="51" spans="7:7" ht="13.5" customHeight="1" x14ac:dyDescent="0.2">
      <c r="G51" t="s">
        <v>1338</v>
      </c>
    </row>
    <row r="52" spans="7:7" ht="13.5" customHeight="1" x14ac:dyDescent="0.2">
      <c r="G52" t="s">
        <v>1339</v>
      </c>
    </row>
    <row r="53" spans="7:7" ht="13.5" customHeight="1" x14ac:dyDescent="0.2">
      <c r="G53" t="s">
        <v>1340</v>
      </c>
    </row>
    <row r="54" spans="7:7" ht="13.5" customHeight="1" x14ac:dyDescent="0.2">
      <c r="G54" t="s">
        <v>1341</v>
      </c>
    </row>
    <row r="55" spans="7:7" ht="13.5" customHeight="1" x14ac:dyDescent="0.2">
      <c r="G55" t="s">
        <v>1342</v>
      </c>
    </row>
    <row r="56" spans="7:7" ht="13.5" customHeight="1" x14ac:dyDescent="0.2">
      <c r="G56" t="s">
        <v>1343</v>
      </c>
    </row>
    <row r="57" spans="7:7" ht="13.5" customHeight="1" x14ac:dyDescent="0.2">
      <c r="G57" t="s">
        <v>1344</v>
      </c>
    </row>
    <row r="58" spans="7:7" ht="13.5" customHeight="1" x14ac:dyDescent="0.2">
      <c r="G58" t="s">
        <v>1345</v>
      </c>
    </row>
    <row r="59" spans="7:7" ht="13.5" customHeight="1" x14ac:dyDescent="0.2">
      <c r="G59" t="s">
        <v>1346</v>
      </c>
    </row>
    <row r="60" spans="7:7" ht="13.5" customHeight="1" x14ac:dyDescent="0.2">
      <c r="G60" t="s">
        <v>1347</v>
      </c>
    </row>
    <row r="61" spans="7:7" ht="13.5" customHeight="1" x14ac:dyDescent="0.2">
      <c r="G61" t="s">
        <v>1348</v>
      </c>
    </row>
    <row r="62" spans="7:7" ht="13.5" customHeight="1" x14ac:dyDescent="0.2">
      <c r="G62" t="s">
        <v>1349</v>
      </c>
    </row>
    <row r="63" spans="7:7" ht="13.5" customHeight="1" x14ac:dyDescent="0.2">
      <c r="G63" t="s">
        <v>1350</v>
      </c>
    </row>
    <row r="64" spans="7:7" ht="13.5" customHeight="1" x14ac:dyDescent="0.2">
      <c r="G64" t="s">
        <v>1351</v>
      </c>
    </row>
    <row r="65" spans="7:7" ht="13.5" customHeight="1" x14ac:dyDescent="0.2">
      <c r="G65" t="s">
        <v>1352</v>
      </c>
    </row>
    <row r="66" spans="7:7" ht="13.5" customHeight="1" x14ac:dyDescent="0.2">
      <c r="G66" t="s">
        <v>1353</v>
      </c>
    </row>
    <row r="67" spans="7:7" ht="13.5" customHeight="1" x14ac:dyDescent="0.2">
      <c r="G67" t="s">
        <v>1354</v>
      </c>
    </row>
    <row r="68" spans="7:7" ht="13.5" customHeight="1" x14ac:dyDescent="0.2">
      <c r="G68" t="s">
        <v>1355</v>
      </c>
    </row>
    <row r="69" spans="7:7" ht="13.5" customHeight="1" x14ac:dyDescent="0.2">
      <c r="G69" t="s">
        <v>1356</v>
      </c>
    </row>
    <row r="70" spans="7:7" ht="13.5" customHeight="1" x14ac:dyDescent="0.2">
      <c r="G70" t="s">
        <v>1357</v>
      </c>
    </row>
    <row r="71" spans="7:7" ht="13.5" customHeight="1" x14ac:dyDescent="0.2">
      <c r="G71" t="s">
        <v>1358</v>
      </c>
    </row>
    <row r="72" spans="7:7" ht="13.5" customHeight="1" x14ac:dyDescent="0.2">
      <c r="G72" t="s">
        <v>1359</v>
      </c>
    </row>
    <row r="73" spans="7:7" ht="13.5" customHeight="1" x14ac:dyDescent="0.2"/>
    <row r="74" spans="7:7" ht="13.5" customHeight="1" x14ac:dyDescent="0.2"/>
    <row r="75" spans="7:7" ht="13.5" customHeight="1" x14ac:dyDescent="0.2"/>
    <row r="76" spans="7:7" ht="13.5" customHeight="1" x14ac:dyDescent="0.2"/>
  </sheetData>
  <mergeCells count="1">
    <mergeCell ref="C3:D3"/>
  </mergeCells>
  <phoneticPr fontId="33"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50"/>
  <sheetViews>
    <sheetView topLeftCell="G29" zoomScale="86" zoomScaleNormal="86" workbookViewId="0">
      <selection activeCell="R25" sqref="R25"/>
    </sheetView>
  </sheetViews>
  <sheetFormatPr defaultRowHeight="12.75" x14ac:dyDescent="0.2"/>
  <cols>
    <col min="1" max="1" width="10.42578125" customWidth="1"/>
    <col min="2" max="6" width="10.5703125" customWidth="1"/>
    <col min="17" max="17" width="12.85546875" customWidth="1"/>
    <col min="18" max="18" width="23.85546875" customWidth="1"/>
    <col min="26" max="26" width="17" customWidth="1"/>
    <col min="29" max="29" width="16.5703125" customWidth="1"/>
  </cols>
  <sheetData>
    <row r="1" spans="1:29" x14ac:dyDescent="0.2">
      <c r="A1" t="s">
        <v>1508</v>
      </c>
    </row>
    <row r="2" spans="1:29" ht="13.5" thickBot="1" x14ac:dyDescent="0.25"/>
    <row r="3" spans="1:29" ht="12.75" customHeight="1" x14ac:dyDescent="0.2">
      <c r="A3" s="658" t="s">
        <v>541</v>
      </c>
      <c r="B3" s="660"/>
      <c r="C3" s="662" t="s">
        <v>1455</v>
      </c>
      <c r="D3" s="662" t="s">
        <v>1456</v>
      </c>
      <c r="E3" s="664"/>
      <c r="F3" s="665"/>
      <c r="G3" s="665"/>
      <c r="H3" s="665"/>
      <c r="I3" s="665"/>
      <c r="J3" s="665"/>
      <c r="K3" s="665"/>
      <c r="L3" s="665"/>
      <c r="M3" s="665"/>
      <c r="N3" s="665"/>
      <c r="O3" s="665"/>
      <c r="P3" s="666"/>
      <c r="Q3" s="646" t="s">
        <v>1457</v>
      </c>
      <c r="R3" s="647" t="s">
        <v>1458</v>
      </c>
      <c r="S3" s="648"/>
      <c r="T3" s="649"/>
      <c r="U3" s="653" t="s">
        <v>1459</v>
      </c>
      <c r="Z3" s="658" t="s">
        <v>541</v>
      </c>
    </row>
    <row r="4" spans="1:29" x14ac:dyDescent="0.2">
      <c r="A4" s="659"/>
      <c r="B4" s="661"/>
      <c r="C4" s="663"/>
      <c r="D4" s="663"/>
      <c r="E4" s="393">
        <v>15</v>
      </c>
      <c r="F4" s="393">
        <v>20</v>
      </c>
      <c r="G4" s="393">
        <v>25</v>
      </c>
      <c r="H4" s="393">
        <v>32</v>
      </c>
      <c r="I4" s="393">
        <v>40</v>
      </c>
      <c r="J4" s="393">
        <v>50</v>
      </c>
      <c r="K4" s="393">
        <v>65</v>
      </c>
      <c r="L4" s="393">
        <v>80</v>
      </c>
      <c r="M4" s="393">
        <v>100</v>
      </c>
      <c r="N4" s="393">
        <v>125</v>
      </c>
      <c r="O4" s="393">
        <v>150</v>
      </c>
      <c r="P4" s="393">
        <v>200</v>
      </c>
      <c r="Q4" s="641"/>
      <c r="R4" s="650"/>
      <c r="S4" s="651"/>
      <c r="T4" s="652"/>
      <c r="U4" s="654"/>
      <c r="V4">
        <v>1</v>
      </c>
      <c r="Z4" s="659"/>
    </row>
    <row r="5" spans="1:29" ht="13.5" thickBot="1" x14ac:dyDescent="0.25">
      <c r="A5" s="394"/>
      <c r="B5" s="642"/>
      <c r="C5" s="395"/>
      <c r="D5" s="395"/>
      <c r="E5" s="396"/>
      <c r="F5" s="396"/>
      <c r="G5" s="396"/>
      <c r="H5" s="396"/>
      <c r="I5" s="396"/>
      <c r="J5" s="396"/>
      <c r="K5" s="396"/>
      <c r="L5" s="396"/>
      <c r="M5" s="396"/>
      <c r="N5" s="396"/>
      <c r="O5" s="396"/>
      <c r="P5" s="396"/>
      <c r="Q5" s="397"/>
      <c r="R5" s="398"/>
      <c r="S5" s="399"/>
      <c r="T5" s="400"/>
      <c r="U5" s="401"/>
      <c r="V5">
        <v>2</v>
      </c>
      <c r="Z5" s="572"/>
    </row>
    <row r="6" spans="1:29" ht="25.5" x14ac:dyDescent="0.2">
      <c r="A6" s="402" t="s">
        <v>1460</v>
      </c>
      <c r="B6" s="403" t="s">
        <v>1461</v>
      </c>
      <c r="C6" s="404">
        <v>2.5</v>
      </c>
      <c r="D6" s="405" t="s">
        <v>1462</v>
      </c>
      <c r="E6" s="406">
        <v>40</v>
      </c>
      <c r="F6" s="406">
        <v>40</v>
      </c>
      <c r="G6" s="406">
        <v>35</v>
      </c>
      <c r="H6" s="406">
        <v>24</v>
      </c>
      <c r="I6" s="406">
        <v>15</v>
      </c>
      <c r="J6" s="406">
        <v>10</v>
      </c>
      <c r="K6" s="406">
        <v>6</v>
      </c>
      <c r="L6" s="406">
        <v>3.5</v>
      </c>
      <c r="M6" s="406">
        <v>2.4</v>
      </c>
      <c r="N6" s="406">
        <v>1.5</v>
      </c>
      <c r="O6" s="406">
        <v>1.1000000000000001</v>
      </c>
      <c r="P6" s="406">
        <v>0.5</v>
      </c>
      <c r="Q6" s="407">
        <v>971.15</v>
      </c>
      <c r="R6" s="655" t="s">
        <v>1463</v>
      </c>
      <c r="S6" s="656"/>
      <c r="T6" s="657"/>
      <c r="U6" s="408"/>
      <c r="V6">
        <v>3</v>
      </c>
      <c r="Z6" s="409" t="s">
        <v>1483</v>
      </c>
      <c r="AA6">
        <f>INDEX($E$4:$P$15,12,$W$24)</f>
        <v>40</v>
      </c>
      <c r="AB6" s="863" t="s">
        <v>2507</v>
      </c>
      <c r="AC6" s="863">
        <f>MATCH(R25,AA6:AA15,-1)</f>
        <v>10</v>
      </c>
    </row>
    <row r="7" spans="1:29" ht="38.25" x14ac:dyDescent="0.2">
      <c r="A7" s="409" t="s">
        <v>1464</v>
      </c>
      <c r="B7" s="403" t="s">
        <v>1461</v>
      </c>
      <c r="C7" s="410">
        <v>2</v>
      </c>
      <c r="D7" s="411" t="s">
        <v>1462</v>
      </c>
      <c r="E7" s="318">
        <v>40</v>
      </c>
      <c r="F7" s="318">
        <v>40</v>
      </c>
      <c r="G7" s="318">
        <v>30</v>
      </c>
      <c r="H7" s="318">
        <v>18</v>
      </c>
      <c r="I7" s="318">
        <v>12</v>
      </c>
      <c r="J7" s="318">
        <v>8</v>
      </c>
      <c r="K7" s="318">
        <v>4.5</v>
      </c>
      <c r="L7" s="318">
        <v>3.2</v>
      </c>
      <c r="M7" s="318">
        <v>1.8</v>
      </c>
      <c r="N7" s="318">
        <v>1.1000000000000001</v>
      </c>
      <c r="O7" s="412" t="s">
        <v>1465</v>
      </c>
      <c r="P7" s="412" t="s">
        <v>1465</v>
      </c>
      <c r="Q7" s="413">
        <v>1178.8499999999999</v>
      </c>
      <c r="R7" s="643" t="s">
        <v>1466</v>
      </c>
      <c r="S7" s="644"/>
      <c r="T7" s="645"/>
      <c r="U7" s="414"/>
      <c r="V7">
        <v>4</v>
      </c>
      <c r="Z7" s="409" t="s">
        <v>1475</v>
      </c>
      <c r="AA7">
        <f>INDEX($E$4:$P$15,8,$W$24)</f>
        <v>40</v>
      </c>
      <c r="AB7" s="863" t="s">
        <v>2508</v>
      </c>
      <c r="AC7" s="863" t="str">
        <f>INDEX(Z6:Z15,AC6,)</f>
        <v xml:space="preserve">RegadaST0PA                     </v>
      </c>
    </row>
    <row r="8" spans="1:29" ht="25.5" x14ac:dyDescent="0.2">
      <c r="A8" s="409" t="s">
        <v>1467</v>
      </c>
      <c r="B8" s="403" t="s">
        <v>1468</v>
      </c>
      <c r="C8" s="410">
        <v>1</v>
      </c>
      <c r="D8" s="411" t="s">
        <v>1469</v>
      </c>
      <c r="E8" s="318">
        <v>40</v>
      </c>
      <c r="F8" s="318">
        <v>26</v>
      </c>
      <c r="G8" s="318">
        <v>16</v>
      </c>
      <c r="H8" s="318">
        <v>10</v>
      </c>
      <c r="I8" s="318">
        <v>6</v>
      </c>
      <c r="J8" s="318">
        <v>4</v>
      </c>
      <c r="K8" s="318">
        <v>2.2999999999999998</v>
      </c>
      <c r="L8" s="318">
        <v>1.5</v>
      </c>
      <c r="M8" s="318">
        <v>1</v>
      </c>
      <c r="N8" s="412" t="s">
        <v>1465</v>
      </c>
      <c r="O8" s="412" t="s">
        <v>1465</v>
      </c>
      <c r="P8" s="412" t="s">
        <v>1465</v>
      </c>
      <c r="Q8" s="413">
        <v>1711.54</v>
      </c>
      <c r="R8" s="643" t="s">
        <v>1470</v>
      </c>
      <c r="S8" s="644"/>
      <c r="T8" s="645"/>
      <c r="U8" s="414"/>
      <c r="V8">
        <v>5</v>
      </c>
      <c r="Z8" s="409" t="s">
        <v>1481</v>
      </c>
      <c r="AA8">
        <f>INDEX($E$4:$P$15,11,$W$24)</f>
        <v>40</v>
      </c>
    </row>
    <row r="9" spans="1:29" ht="25.5" x14ac:dyDescent="0.2">
      <c r="A9" s="409" t="s">
        <v>1471</v>
      </c>
      <c r="B9" s="403" t="s">
        <v>1468</v>
      </c>
      <c r="C9" s="410">
        <v>5</v>
      </c>
      <c r="D9" s="411" t="s">
        <v>1469</v>
      </c>
      <c r="E9" s="318">
        <v>40</v>
      </c>
      <c r="F9" s="318">
        <v>40</v>
      </c>
      <c r="G9" s="318">
        <v>40</v>
      </c>
      <c r="H9" s="318">
        <v>40</v>
      </c>
      <c r="I9" s="318">
        <v>30</v>
      </c>
      <c r="J9" s="318">
        <v>20</v>
      </c>
      <c r="K9" s="318">
        <v>12</v>
      </c>
      <c r="L9" s="318">
        <v>8</v>
      </c>
      <c r="M9" s="318">
        <v>5</v>
      </c>
      <c r="N9" s="318">
        <v>3</v>
      </c>
      <c r="O9" s="318">
        <v>2.2000000000000002</v>
      </c>
      <c r="P9" s="318">
        <v>1.6</v>
      </c>
      <c r="Q9" s="413">
        <v>2134.62</v>
      </c>
      <c r="R9" s="643" t="s">
        <v>1472</v>
      </c>
      <c r="S9" s="644"/>
      <c r="T9" s="645"/>
      <c r="U9" s="415"/>
      <c r="V9">
        <v>6</v>
      </c>
      <c r="Z9" s="409" t="s">
        <v>1473</v>
      </c>
      <c r="AA9">
        <f>INDEX($E$4:$P$15,7,$W$24)</f>
        <v>40</v>
      </c>
    </row>
    <row r="10" spans="1:29" ht="25.5" x14ac:dyDescent="0.2">
      <c r="A10" s="409" t="s">
        <v>1473</v>
      </c>
      <c r="B10" s="403" t="s">
        <v>1468</v>
      </c>
      <c r="C10" s="410">
        <v>7.5</v>
      </c>
      <c r="D10" s="411" t="s">
        <v>1469</v>
      </c>
      <c r="E10" s="318">
        <v>40</v>
      </c>
      <c r="F10" s="318">
        <v>40</v>
      </c>
      <c r="G10" s="318">
        <v>40</v>
      </c>
      <c r="H10" s="318">
        <v>40</v>
      </c>
      <c r="I10" s="318">
        <v>40</v>
      </c>
      <c r="J10" s="318">
        <v>29</v>
      </c>
      <c r="K10" s="318">
        <v>18</v>
      </c>
      <c r="L10" s="318">
        <v>12</v>
      </c>
      <c r="M10" s="318">
        <v>7.3</v>
      </c>
      <c r="N10" s="318">
        <v>4.5</v>
      </c>
      <c r="O10" s="318">
        <v>3</v>
      </c>
      <c r="P10" s="318">
        <v>2.2999999999999998</v>
      </c>
      <c r="Q10" s="413">
        <v>3607.69</v>
      </c>
      <c r="R10" s="643" t="s">
        <v>1474</v>
      </c>
      <c r="S10" s="644"/>
      <c r="T10" s="645"/>
      <c r="U10" s="415"/>
      <c r="V10">
        <v>7</v>
      </c>
      <c r="Z10" s="409" t="s">
        <v>2506</v>
      </c>
      <c r="AA10">
        <f>INDEX($E$4:$P$15,6,$W$24)</f>
        <v>40</v>
      </c>
    </row>
    <row r="11" spans="1:29" ht="26.25" thickBot="1" x14ac:dyDescent="0.25">
      <c r="A11" s="409" t="s">
        <v>1475</v>
      </c>
      <c r="B11" s="403" t="s">
        <v>1468</v>
      </c>
      <c r="C11" s="410">
        <v>17</v>
      </c>
      <c r="D11" s="411" t="s">
        <v>1469</v>
      </c>
      <c r="E11" s="318">
        <v>40</v>
      </c>
      <c r="F11" s="318">
        <v>40</v>
      </c>
      <c r="G11" s="318">
        <v>40</v>
      </c>
      <c r="H11" s="318">
        <v>40</v>
      </c>
      <c r="I11" s="318">
        <v>40</v>
      </c>
      <c r="J11" s="318">
        <v>40</v>
      </c>
      <c r="K11" s="318">
        <v>40</v>
      </c>
      <c r="L11" s="318">
        <v>26.5</v>
      </c>
      <c r="M11" s="318">
        <v>17</v>
      </c>
      <c r="N11" s="318">
        <v>10.5</v>
      </c>
      <c r="O11" s="318">
        <v>7.3</v>
      </c>
      <c r="P11" s="318">
        <v>5.3</v>
      </c>
      <c r="Q11" s="413">
        <v>4050</v>
      </c>
      <c r="R11" s="643" t="s">
        <v>1476</v>
      </c>
      <c r="S11" s="644"/>
      <c r="T11" s="645"/>
      <c r="U11" s="415"/>
      <c r="V11">
        <v>8</v>
      </c>
      <c r="Z11" s="409" t="s">
        <v>1479</v>
      </c>
      <c r="AA11">
        <f>INDEX($E$4:$P$15,10,$W$24)</f>
        <v>40</v>
      </c>
    </row>
    <row r="12" spans="1:29" ht="25.5" x14ac:dyDescent="0.2">
      <c r="A12" s="409" t="s">
        <v>1477</v>
      </c>
      <c r="B12" s="411" t="s">
        <v>1404</v>
      </c>
      <c r="C12" s="410">
        <v>1</v>
      </c>
      <c r="D12" s="411" t="s">
        <v>1469</v>
      </c>
      <c r="E12" s="318">
        <v>40</v>
      </c>
      <c r="F12" s="318">
        <v>26</v>
      </c>
      <c r="G12" s="318">
        <v>16</v>
      </c>
      <c r="H12" s="318">
        <v>10</v>
      </c>
      <c r="I12" s="318">
        <v>6</v>
      </c>
      <c r="J12" s="318">
        <v>4</v>
      </c>
      <c r="K12" s="318">
        <v>2.2999999999999998</v>
      </c>
      <c r="L12" s="318">
        <v>1.5</v>
      </c>
      <c r="M12" s="318">
        <v>1</v>
      </c>
      <c r="N12" s="412" t="s">
        <v>1465</v>
      </c>
      <c r="O12" s="412" t="s">
        <v>1465</v>
      </c>
      <c r="P12" s="412" t="s">
        <v>1465</v>
      </c>
      <c r="Q12" s="413">
        <v>1000</v>
      </c>
      <c r="R12" s="643" t="s">
        <v>1478</v>
      </c>
      <c r="S12" s="644"/>
      <c r="T12" s="645"/>
      <c r="U12" s="416">
        <v>20</v>
      </c>
      <c r="V12">
        <v>9</v>
      </c>
      <c r="Z12" s="402" t="s">
        <v>1460</v>
      </c>
      <c r="AA12">
        <f>INDEX($E$4:$P$15,3,$W$24)</f>
        <v>40</v>
      </c>
    </row>
    <row r="13" spans="1:29" ht="38.25" x14ac:dyDescent="0.2">
      <c r="A13" s="409" t="s">
        <v>1479</v>
      </c>
      <c r="B13" s="411" t="s">
        <v>1404</v>
      </c>
      <c r="C13" s="410">
        <v>5</v>
      </c>
      <c r="D13" s="411" t="s">
        <v>1469</v>
      </c>
      <c r="E13" s="318">
        <v>40</v>
      </c>
      <c r="F13" s="318">
        <v>40</v>
      </c>
      <c r="G13" s="318">
        <v>40</v>
      </c>
      <c r="H13" s="318">
        <v>40</v>
      </c>
      <c r="I13" s="318">
        <v>30</v>
      </c>
      <c r="J13" s="318">
        <v>20</v>
      </c>
      <c r="K13" s="318">
        <v>12</v>
      </c>
      <c r="L13" s="318">
        <v>8</v>
      </c>
      <c r="M13" s="318">
        <v>5</v>
      </c>
      <c r="N13" s="318">
        <v>3</v>
      </c>
      <c r="O13" s="318">
        <v>2.2000000000000002</v>
      </c>
      <c r="P13" s="318">
        <v>1.6</v>
      </c>
      <c r="Q13" s="413">
        <v>1480.77</v>
      </c>
      <c r="R13" s="643" t="s">
        <v>1480</v>
      </c>
      <c r="S13" s="644"/>
      <c r="T13" s="645"/>
      <c r="U13" s="416">
        <v>20</v>
      </c>
      <c r="V13">
        <v>10</v>
      </c>
      <c r="Z13" s="409" t="s">
        <v>1464</v>
      </c>
      <c r="AA13">
        <f>INDEX($E$4:$P$15,4,$W$24)</f>
        <v>40</v>
      </c>
    </row>
    <row r="14" spans="1:29" ht="25.5" x14ac:dyDescent="0.2">
      <c r="A14" s="409" t="s">
        <v>1481</v>
      </c>
      <c r="B14" s="411" t="s">
        <v>1404</v>
      </c>
      <c r="C14" s="410">
        <v>7.5</v>
      </c>
      <c r="D14" s="411" t="s">
        <v>1469</v>
      </c>
      <c r="E14" s="318">
        <v>40</v>
      </c>
      <c r="F14" s="318">
        <v>40</v>
      </c>
      <c r="G14" s="318">
        <v>40</v>
      </c>
      <c r="H14" s="318">
        <v>40</v>
      </c>
      <c r="I14" s="318">
        <v>40</v>
      </c>
      <c r="J14" s="318">
        <v>29</v>
      </c>
      <c r="K14" s="318">
        <v>18</v>
      </c>
      <c r="L14" s="318">
        <v>12</v>
      </c>
      <c r="M14" s="318">
        <v>7.3</v>
      </c>
      <c r="N14" s="318">
        <v>4.5</v>
      </c>
      <c r="O14" s="318">
        <v>3</v>
      </c>
      <c r="P14" s="318">
        <v>2.2999999999999998</v>
      </c>
      <c r="Q14" s="413">
        <v>2592.31</v>
      </c>
      <c r="R14" s="643" t="s">
        <v>1482</v>
      </c>
      <c r="S14" s="644"/>
      <c r="T14" s="645"/>
      <c r="U14" s="416">
        <v>20</v>
      </c>
      <c r="V14">
        <v>11</v>
      </c>
      <c r="Z14" s="409" t="s">
        <v>1477</v>
      </c>
      <c r="AA14">
        <f>INDEX($E$4:$P$15,9,$W$24)</f>
        <v>26</v>
      </c>
    </row>
    <row r="15" spans="1:29" ht="25.5" x14ac:dyDescent="0.2">
      <c r="A15" s="409" t="s">
        <v>1483</v>
      </c>
      <c r="B15" s="411" t="s">
        <v>1404</v>
      </c>
      <c r="C15" s="410">
        <v>17</v>
      </c>
      <c r="D15" s="411" t="s">
        <v>1469</v>
      </c>
      <c r="E15" s="318">
        <v>40</v>
      </c>
      <c r="F15" s="318">
        <v>40</v>
      </c>
      <c r="G15" s="318">
        <v>40</v>
      </c>
      <c r="H15" s="318">
        <v>40</v>
      </c>
      <c r="I15" s="318">
        <v>40</v>
      </c>
      <c r="J15" s="318">
        <v>40</v>
      </c>
      <c r="K15" s="318">
        <v>40</v>
      </c>
      <c r="L15" s="318">
        <v>26.5</v>
      </c>
      <c r="M15" s="318">
        <v>17</v>
      </c>
      <c r="N15" s="318">
        <v>10.5</v>
      </c>
      <c r="O15" s="318">
        <v>7.3</v>
      </c>
      <c r="P15" s="318">
        <v>5.3</v>
      </c>
      <c r="Q15" s="413">
        <v>2961.54</v>
      </c>
      <c r="R15" s="643" t="s">
        <v>1484</v>
      </c>
      <c r="S15" s="644"/>
      <c r="T15" s="645"/>
      <c r="U15" s="416">
        <v>20</v>
      </c>
      <c r="V15">
        <v>12</v>
      </c>
      <c r="Z15" s="409" t="s">
        <v>1467</v>
      </c>
      <c r="AA15">
        <f>INDEX($E$4:$P$15,5,$W$24)</f>
        <v>26</v>
      </c>
    </row>
    <row r="18" spans="1:25" x14ac:dyDescent="0.2">
      <c r="B18" t="s">
        <v>1449</v>
      </c>
      <c r="C18" t="s">
        <v>1509</v>
      </c>
      <c r="D18" t="s">
        <v>1452</v>
      </c>
      <c r="E18" t="s">
        <v>1453</v>
      </c>
      <c r="F18" t="s">
        <v>1454</v>
      </c>
    </row>
    <row r="19" spans="1:25" x14ac:dyDescent="0.2">
      <c r="B19">
        <v>50</v>
      </c>
      <c r="C19">
        <f>IF(SELECTION!AJ12=0,SELECTION!R14+1,AJ12)</f>
        <v>21</v>
      </c>
    </row>
    <row r="22" spans="1:25" x14ac:dyDescent="0.2">
      <c r="V22" t="s">
        <v>2373</v>
      </c>
      <c r="W22">
        <f>MATCH(R25,X28:X39,-1)</f>
        <v>11</v>
      </c>
    </row>
    <row r="24" spans="1:25" ht="15" x14ac:dyDescent="0.2">
      <c r="A24" s="393" t="s">
        <v>541</v>
      </c>
      <c r="B24" s="636" t="s">
        <v>1485</v>
      </c>
      <c r="C24" s="636" t="s">
        <v>1486</v>
      </c>
      <c r="D24" s="638"/>
      <c r="E24" s="639"/>
      <c r="F24" s="639"/>
      <c r="G24" s="639"/>
      <c r="H24" s="639"/>
      <c r="I24" s="639"/>
      <c r="J24" s="639"/>
      <c r="K24" s="639"/>
      <c r="L24" s="639"/>
      <c r="M24" s="639"/>
      <c r="N24" s="639"/>
      <c r="O24" s="640"/>
      <c r="P24" s="641" t="s">
        <v>1457</v>
      </c>
      <c r="Q24" t="s">
        <v>2369</v>
      </c>
      <c r="R24">
        <f>SELECTION!J29</f>
        <v>20</v>
      </c>
      <c r="V24" t="s">
        <v>2372</v>
      </c>
      <c r="W24">
        <f>MATCH(R24,D25:O25,0)</f>
        <v>2</v>
      </c>
    </row>
    <row r="25" spans="1:25" ht="13.5" thickBot="1" x14ac:dyDescent="0.25">
      <c r="A25" s="417"/>
      <c r="B25" s="637"/>
      <c r="C25" s="637"/>
      <c r="D25" s="393">
        <v>15</v>
      </c>
      <c r="E25" s="393">
        <v>20</v>
      </c>
      <c r="F25" s="393">
        <v>25</v>
      </c>
      <c r="G25" s="393">
        <v>32</v>
      </c>
      <c r="H25" s="393">
        <v>40</v>
      </c>
      <c r="I25" s="393">
        <v>50</v>
      </c>
      <c r="J25" s="393">
        <v>65</v>
      </c>
      <c r="K25" s="393">
        <v>80</v>
      </c>
      <c r="L25" s="393">
        <v>100</v>
      </c>
      <c r="M25" s="393">
        <v>125</v>
      </c>
      <c r="N25" s="393">
        <v>150</v>
      </c>
      <c r="O25" s="393">
        <v>200</v>
      </c>
      <c r="P25" s="642"/>
      <c r="Q25" t="s">
        <v>2370</v>
      </c>
      <c r="R25" s="555">
        <f>IF(SELECTION!AJ12=0,SELECTION!R14+1,AJ12)</f>
        <v>21</v>
      </c>
    </row>
    <row r="26" spans="1:25" ht="25.5" x14ac:dyDescent="0.2">
      <c r="A26" s="402" t="s">
        <v>1487</v>
      </c>
      <c r="B26" s="632" t="s">
        <v>1488</v>
      </c>
      <c r="C26" s="405" t="s">
        <v>1489</v>
      </c>
      <c r="D26" s="406">
        <v>14</v>
      </c>
      <c r="E26" s="406">
        <v>12</v>
      </c>
      <c r="F26" s="406">
        <v>11</v>
      </c>
      <c r="G26" s="406">
        <v>4</v>
      </c>
      <c r="H26" s="418" t="s">
        <v>1465</v>
      </c>
      <c r="I26" s="418" t="s">
        <v>1465</v>
      </c>
      <c r="J26" s="418" t="s">
        <v>1465</v>
      </c>
      <c r="K26" s="418" t="s">
        <v>1465</v>
      </c>
      <c r="L26" s="418" t="s">
        <v>1465</v>
      </c>
      <c r="M26" s="418" t="s">
        <v>1465</v>
      </c>
      <c r="N26" s="418" t="s">
        <v>1465</v>
      </c>
      <c r="O26" s="418" t="s">
        <v>1465</v>
      </c>
      <c r="P26" s="634">
        <v>403.31</v>
      </c>
      <c r="Q26" s="559" t="s">
        <v>82</v>
      </c>
      <c r="R26" t="str">
        <f>_xlfn.IFNA(INDEX(W28:W39,W22,),"Balancing Plug Required")</f>
        <v>S200B-130 (20) 0,4 - 2,0  (6 - 30)</v>
      </c>
      <c r="T26" s="423"/>
    </row>
    <row r="27" spans="1:25" ht="26.25" thickBot="1" x14ac:dyDescent="0.25">
      <c r="A27" s="419" t="s">
        <v>2376</v>
      </c>
      <c r="B27" s="633"/>
      <c r="C27" s="420" t="s">
        <v>2375</v>
      </c>
      <c r="D27" s="421">
        <v>26</v>
      </c>
      <c r="E27" s="421">
        <v>22</v>
      </c>
      <c r="F27" s="421">
        <v>18</v>
      </c>
      <c r="G27" s="421">
        <v>5</v>
      </c>
      <c r="H27" s="422" t="s">
        <v>1465</v>
      </c>
      <c r="I27" s="422" t="s">
        <v>1465</v>
      </c>
      <c r="J27" s="422" t="s">
        <v>1465</v>
      </c>
      <c r="K27" s="422" t="s">
        <v>1465</v>
      </c>
      <c r="L27" s="422" t="s">
        <v>1465</v>
      </c>
      <c r="M27" s="422" t="s">
        <v>1465</v>
      </c>
      <c r="N27" s="422" t="s">
        <v>1465</v>
      </c>
      <c r="O27" s="422" t="s">
        <v>1465</v>
      </c>
      <c r="P27" s="635"/>
      <c r="R27" t="str">
        <f>_xlfn.IFNA(VLOOKUP("NAA",U28:V39,2,FALSE),$A$37)</f>
        <v>S430sA</v>
      </c>
    </row>
    <row r="28" spans="1:25" ht="26.25" thickBot="1" x14ac:dyDescent="0.25">
      <c r="A28" s="402" t="s">
        <v>1492</v>
      </c>
      <c r="B28" s="632" t="s">
        <v>1493</v>
      </c>
      <c r="C28" s="405" t="s">
        <v>1489</v>
      </c>
      <c r="D28" s="406">
        <v>28</v>
      </c>
      <c r="E28" s="406">
        <v>25</v>
      </c>
      <c r="F28" s="406">
        <v>16</v>
      </c>
      <c r="G28" s="406">
        <v>8</v>
      </c>
      <c r="H28" s="406">
        <v>6</v>
      </c>
      <c r="I28" s="406">
        <v>4</v>
      </c>
      <c r="J28" s="418" t="s">
        <v>1465</v>
      </c>
      <c r="K28" s="418" t="s">
        <v>1465</v>
      </c>
      <c r="L28" s="418" t="s">
        <v>1465</v>
      </c>
      <c r="M28" s="418" t="s">
        <v>1465</v>
      </c>
      <c r="N28" s="418" t="s">
        <v>1465</v>
      </c>
      <c r="O28" s="418" t="s">
        <v>1465</v>
      </c>
      <c r="P28" s="634">
        <v>478.03</v>
      </c>
      <c r="Q28" s="556" t="s">
        <v>2377</v>
      </c>
      <c r="R28" s="560" t="str">
        <f>IF($R$26="Balancing Plug Required",$R$27 &amp; " Add Balancing Plug",$R$26)</f>
        <v>S200B-130 (20) 0,4 - 2,0  (6 - 30)</v>
      </c>
      <c r="U28">
        <f>HLOOKUP($R$24,$D$25:$O$37,2,FALSE)</f>
        <v>12</v>
      </c>
      <c r="V28" s="402" t="s">
        <v>1487</v>
      </c>
      <c r="W28" s="419" t="s">
        <v>1507</v>
      </c>
      <c r="X28" t="str">
        <f>U39</f>
        <v>NAA</v>
      </c>
      <c r="Y28" s="419" t="s">
        <v>1507</v>
      </c>
    </row>
    <row r="29" spans="1:25" ht="26.25" thickBot="1" x14ac:dyDescent="0.25">
      <c r="A29" s="419" t="s">
        <v>1494</v>
      </c>
      <c r="B29" s="633"/>
      <c r="C29" s="420" t="s">
        <v>1491</v>
      </c>
      <c r="D29" s="421">
        <v>52</v>
      </c>
      <c r="E29" s="421">
        <v>47</v>
      </c>
      <c r="F29" s="421">
        <v>25</v>
      </c>
      <c r="G29" s="421">
        <v>16</v>
      </c>
      <c r="H29" s="421">
        <v>12</v>
      </c>
      <c r="I29" s="421">
        <v>6</v>
      </c>
      <c r="J29" s="422" t="s">
        <v>1465</v>
      </c>
      <c r="K29" s="422" t="s">
        <v>1465</v>
      </c>
      <c r="L29" s="422" t="s">
        <v>1465</v>
      </c>
      <c r="M29" s="422" t="s">
        <v>1465</v>
      </c>
      <c r="N29" s="422" t="s">
        <v>1465</v>
      </c>
      <c r="O29" s="422" t="s">
        <v>1465</v>
      </c>
      <c r="P29" s="635"/>
      <c r="U29">
        <f>HLOOKUP($R$24,$D$25:$O$37,3,FALSE)</f>
        <v>22</v>
      </c>
      <c r="V29" s="419" t="s">
        <v>2376</v>
      </c>
      <c r="W29" s="402" t="s">
        <v>1505</v>
      </c>
      <c r="X29" t="str">
        <f>U38</f>
        <v>NAA</v>
      </c>
      <c r="Y29" s="402" t="s">
        <v>1505</v>
      </c>
    </row>
    <row r="30" spans="1:25" ht="26.25" thickBot="1" x14ac:dyDescent="0.25">
      <c r="A30" s="402" t="s">
        <v>1495</v>
      </c>
      <c r="B30" s="632" t="s">
        <v>1496</v>
      </c>
      <c r="C30" s="405" t="s">
        <v>1489</v>
      </c>
      <c r="D30" s="406">
        <v>58</v>
      </c>
      <c r="E30" s="406">
        <v>58</v>
      </c>
      <c r="F30" s="406">
        <v>49</v>
      </c>
      <c r="G30" s="406">
        <v>19</v>
      </c>
      <c r="H30" s="406">
        <v>16</v>
      </c>
      <c r="I30" s="406">
        <v>10</v>
      </c>
      <c r="J30" s="406">
        <v>4</v>
      </c>
      <c r="K30" s="406">
        <v>3</v>
      </c>
      <c r="L30" s="406">
        <v>1</v>
      </c>
      <c r="M30" s="418" t="s">
        <v>1465</v>
      </c>
      <c r="N30" s="418" t="s">
        <v>1465</v>
      </c>
      <c r="O30" s="418" t="s">
        <v>1465</v>
      </c>
      <c r="P30" s="634">
        <v>695.34</v>
      </c>
      <c r="Q30" s="556"/>
      <c r="U30">
        <f>HLOOKUP($R$24,$D$25:$O$37,4,FALSE)</f>
        <v>25</v>
      </c>
      <c r="V30" s="402" t="s">
        <v>1492</v>
      </c>
      <c r="W30" s="419" t="s">
        <v>1503</v>
      </c>
      <c r="X30" t="str">
        <f>U37</f>
        <v>NAA</v>
      </c>
      <c r="Y30" s="419" t="s">
        <v>1503</v>
      </c>
    </row>
    <row r="31" spans="1:25" ht="26.25" thickBot="1" x14ac:dyDescent="0.25">
      <c r="A31" s="419" t="s">
        <v>1497</v>
      </c>
      <c r="B31" s="633"/>
      <c r="C31" s="420" t="s">
        <v>1491</v>
      </c>
      <c r="D31" s="421">
        <v>101</v>
      </c>
      <c r="E31" s="421">
        <v>101</v>
      </c>
      <c r="F31" s="421">
        <v>82</v>
      </c>
      <c r="G31" s="421">
        <v>38</v>
      </c>
      <c r="H31" s="421">
        <v>26</v>
      </c>
      <c r="I31" s="421">
        <v>18</v>
      </c>
      <c r="J31" s="421">
        <v>6</v>
      </c>
      <c r="K31" s="421">
        <v>4</v>
      </c>
      <c r="L31" s="421">
        <v>2</v>
      </c>
      <c r="M31" s="422" t="s">
        <v>1465</v>
      </c>
      <c r="N31" s="422" t="s">
        <v>1465</v>
      </c>
      <c r="O31" s="422" t="s">
        <v>1465</v>
      </c>
      <c r="P31" s="635"/>
      <c r="U31">
        <f>HLOOKUP($R$24,$D$25:$O$37,5,FALSE)</f>
        <v>47</v>
      </c>
      <c r="V31" s="419" t="s">
        <v>1494</v>
      </c>
      <c r="W31" s="402" t="s">
        <v>1501</v>
      </c>
      <c r="X31" t="str">
        <f>U36</f>
        <v>NAA</v>
      </c>
      <c r="Y31" s="402" t="s">
        <v>1501</v>
      </c>
    </row>
    <row r="32" spans="1:25" ht="26.25" thickBot="1" x14ac:dyDescent="0.25">
      <c r="A32" s="402" t="s">
        <v>1498</v>
      </c>
      <c r="B32" s="632" t="s">
        <v>1499</v>
      </c>
      <c r="C32" s="405" t="s">
        <v>1489</v>
      </c>
      <c r="D32" s="406">
        <v>91</v>
      </c>
      <c r="E32" s="406">
        <v>89</v>
      </c>
      <c r="F32" s="406">
        <v>57</v>
      </c>
      <c r="G32" s="406">
        <v>48</v>
      </c>
      <c r="H32" s="406">
        <v>37</v>
      </c>
      <c r="I32" s="406">
        <v>26</v>
      </c>
      <c r="J32" s="406">
        <v>8</v>
      </c>
      <c r="K32" s="406">
        <v>5</v>
      </c>
      <c r="L32" s="406">
        <v>4</v>
      </c>
      <c r="M32" s="406">
        <v>1</v>
      </c>
      <c r="N32" s="418" t="s">
        <v>1465</v>
      </c>
      <c r="O32" s="418" t="s">
        <v>1465</v>
      </c>
      <c r="P32" s="634">
        <v>1109.51</v>
      </c>
      <c r="U32">
        <f>HLOOKUP($R$24,$D$25:$O$37,6,FALSE)</f>
        <v>58</v>
      </c>
      <c r="V32" s="402" t="s">
        <v>1495</v>
      </c>
      <c r="W32" s="419" t="s">
        <v>1500</v>
      </c>
      <c r="X32">
        <f>U35</f>
        <v>101</v>
      </c>
      <c r="Y32" s="419" t="s">
        <v>1500</v>
      </c>
    </row>
    <row r="33" spans="1:25" ht="26.25" thickBot="1" x14ac:dyDescent="0.25">
      <c r="A33" s="419" t="s">
        <v>1500</v>
      </c>
      <c r="B33" s="633"/>
      <c r="C33" s="420" t="s">
        <v>1491</v>
      </c>
      <c r="D33" s="421">
        <v>101</v>
      </c>
      <c r="E33" s="421">
        <v>101</v>
      </c>
      <c r="F33" s="421">
        <v>101</v>
      </c>
      <c r="G33" s="421">
        <v>63</v>
      </c>
      <c r="H33" s="421">
        <v>48</v>
      </c>
      <c r="I33" s="421">
        <v>37</v>
      </c>
      <c r="J33" s="421">
        <v>15</v>
      </c>
      <c r="K33" s="421">
        <v>9</v>
      </c>
      <c r="L33" s="421">
        <v>6</v>
      </c>
      <c r="M33" s="421">
        <v>2</v>
      </c>
      <c r="N33" s="422" t="s">
        <v>1465</v>
      </c>
      <c r="O33" s="422" t="s">
        <v>1465</v>
      </c>
      <c r="P33" s="635"/>
      <c r="U33">
        <f>HLOOKUP($R$24,$D$25:$O$37,7,FALSE)</f>
        <v>101</v>
      </c>
      <c r="V33" s="419" t="s">
        <v>1497</v>
      </c>
      <c r="W33" s="402" t="s">
        <v>1498</v>
      </c>
      <c r="X33">
        <f>U34</f>
        <v>89</v>
      </c>
      <c r="Y33" s="402" t="s">
        <v>1498</v>
      </c>
    </row>
    <row r="34" spans="1:25" ht="26.25" thickBot="1" x14ac:dyDescent="0.25">
      <c r="A34" s="402" t="s">
        <v>1501</v>
      </c>
      <c r="B34" s="632" t="s">
        <v>1499</v>
      </c>
      <c r="C34" s="405" t="s">
        <v>1502</v>
      </c>
      <c r="D34" s="418" t="s">
        <v>2374</v>
      </c>
      <c r="E34" s="418" t="s">
        <v>2374</v>
      </c>
      <c r="F34" s="418" t="s">
        <v>2374</v>
      </c>
      <c r="G34" s="418" t="s">
        <v>2374</v>
      </c>
      <c r="H34" s="418" t="s">
        <v>2374</v>
      </c>
      <c r="I34" s="406">
        <v>52</v>
      </c>
      <c r="J34" s="406">
        <v>13</v>
      </c>
      <c r="K34" s="406">
        <v>8</v>
      </c>
      <c r="L34" s="406">
        <v>4</v>
      </c>
      <c r="M34" s="406">
        <v>2</v>
      </c>
      <c r="N34" s="418" t="s">
        <v>1465</v>
      </c>
      <c r="O34" s="418" t="s">
        <v>1465</v>
      </c>
      <c r="P34" s="634">
        <v>1130.4000000000001</v>
      </c>
      <c r="U34">
        <f>HLOOKUP($R$24,$D$25:$O$37,8,FALSE)</f>
        <v>89</v>
      </c>
      <c r="V34" s="402" t="s">
        <v>1498</v>
      </c>
      <c r="W34" s="419" t="s">
        <v>1497</v>
      </c>
      <c r="X34">
        <f>U33</f>
        <v>101</v>
      </c>
      <c r="Y34" s="419" t="s">
        <v>1497</v>
      </c>
    </row>
    <row r="35" spans="1:25" ht="26.25" thickBot="1" x14ac:dyDescent="0.25">
      <c r="A35" s="419" t="s">
        <v>1503</v>
      </c>
      <c r="B35" s="633"/>
      <c r="C35" s="420" t="s">
        <v>1504</v>
      </c>
      <c r="D35" s="418" t="s">
        <v>2374</v>
      </c>
      <c r="E35" s="418" t="s">
        <v>2374</v>
      </c>
      <c r="F35" s="418" t="s">
        <v>2374</v>
      </c>
      <c r="G35" s="418" t="s">
        <v>2374</v>
      </c>
      <c r="H35" s="418" t="s">
        <v>2374</v>
      </c>
      <c r="I35" s="421">
        <v>68</v>
      </c>
      <c r="J35" s="421">
        <v>21</v>
      </c>
      <c r="K35" s="421">
        <v>14</v>
      </c>
      <c r="L35" s="421">
        <v>10</v>
      </c>
      <c r="M35" s="421">
        <v>5</v>
      </c>
      <c r="N35" s="421">
        <v>3</v>
      </c>
      <c r="O35" s="421">
        <v>1</v>
      </c>
      <c r="P35" s="635"/>
      <c r="R35" s="557"/>
      <c r="U35">
        <f>HLOOKUP($R$24,$D$25:$O$37,9,FALSE)</f>
        <v>101</v>
      </c>
      <c r="V35" s="419" t="s">
        <v>1500</v>
      </c>
      <c r="W35" s="402" t="s">
        <v>1495</v>
      </c>
      <c r="X35">
        <f>U32</f>
        <v>58</v>
      </c>
      <c r="Y35" s="402" t="s">
        <v>1495</v>
      </c>
    </row>
    <row r="36" spans="1:25" ht="26.25" thickBot="1" x14ac:dyDescent="0.25">
      <c r="A36" s="402" t="s">
        <v>1505</v>
      </c>
      <c r="B36" s="632" t="s">
        <v>1506</v>
      </c>
      <c r="C36" s="405" t="s">
        <v>1502</v>
      </c>
      <c r="D36" s="418" t="s">
        <v>2374</v>
      </c>
      <c r="E36" s="418" t="s">
        <v>2374</v>
      </c>
      <c r="F36" s="418" t="s">
        <v>2374</v>
      </c>
      <c r="G36" s="418" t="s">
        <v>2374</v>
      </c>
      <c r="H36" s="418" t="s">
        <v>2374</v>
      </c>
      <c r="I36" s="418" t="s">
        <v>2374</v>
      </c>
      <c r="J36" s="406">
        <v>26</v>
      </c>
      <c r="K36" s="406">
        <v>12</v>
      </c>
      <c r="L36" s="406">
        <v>9</v>
      </c>
      <c r="M36" s="406">
        <v>5</v>
      </c>
      <c r="N36" s="406">
        <v>2</v>
      </c>
      <c r="O36" s="406">
        <v>1</v>
      </c>
      <c r="P36" s="634">
        <v>1375.87</v>
      </c>
      <c r="R36" s="557"/>
      <c r="U36" t="str">
        <f>HLOOKUP($R$24,$D$25:$O$37,10,FALSE)</f>
        <v>NAA</v>
      </c>
      <c r="V36" s="402" t="s">
        <v>1501</v>
      </c>
      <c r="W36" s="419" t="s">
        <v>1494</v>
      </c>
      <c r="X36">
        <f>U31</f>
        <v>47</v>
      </c>
      <c r="Y36" s="419" t="s">
        <v>1494</v>
      </c>
    </row>
    <row r="37" spans="1:25" ht="26.25" thickBot="1" x14ac:dyDescent="0.25">
      <c r="A37" s="419" t="s">
        <v>1507</v>
      </c>
      <c r="B37" s="633"/>
      <c r="C37" s="420" t="s">
        <v>1504</v>
      </c>
      <c r="D37" s="418" t="s">
        <v>2374</v>
      </c>
      <c r="E37" s="418" t="s">
        <v>2374</v>
      </c>
      <c r="F37" s="418" t="s">
        <v>2374</v>
      </c>
      <c r="G37" s="418" t="s">
        <v>2374</v>
      </c>
      <c r="H37" s="418" t="s">
        <v>2374</v>
      </c>
      <c r="I37" s="422" t="s">
        <v>2374</v>
      </c>
      <c r="J37" s="421">
        <v>36</v>
      </c>
      <c r="K37" s="421">
        <v>21</v>
      </c>
      <c r="L37" s="421">
        <v>18</v>
      </c>
      <c r="M37" s="421">
        <v>11</v>
      </c>
      <c r="N37" s="421">
        <v>5</v>
      </c>
      <c r="O37" s="421">
        <v>3</v>
      </c>
      <c r="P37" s="635"/>
      <c r="R37" s="557"/>
      <c r="U37" t="str">
        <f>HLOOKUP($R$24,$D$25:$O$37,11,FALSE)</f>
        <v>NAA</v>
      </c>
      <c r="V37" s="419" t="s">
        <v>1503</v>
      </c>
      <c r="W37" s="402" t="s">
        <v>1492</v>
      </c>
      <c r="X37">
        <f>U30</f>
        <v>25</v>
      </c>
      <c r="Y37" s="402" t="s">
        <v>1492</v>
      </c>
    </row>
    <row r="38" spans="1:25" ht="13.5" thickBot="1" x14ac:dyDescent="0.25">
      <c r="J38" t="s">
        <v>2374</v>
      </c>
      <c r="K38" t="s">
        <v>2374</v>
      </c>
      <c r="L38" t="s">
        <v>2374</v>
      </c>
      <c r="M38" t="s">
        <v>2374</v>
      </c>
      <c r="N38" t="s">
        <v>2374</v>
      </c>
      <c r="O38" t="s">
        <v>2374</v>
      </c>
      <c r="U38" t="str">
        <f>HLOOKUP($R$24,$D$25:$O$37,12,FALSE)</f>
        <v>NAA</v>
      </c>
      <c r="V38" s="402" t="s">
        <v>1505</v>
      </c>
      <c r="W38" s="419" t="s">
        <v>2376</v>
      </c>
      <c r="X38">
        <f>U29</f>
        <v>22</v>
      </c>
      <c r="Y38" s="419" t="s">
        <v>1490</v>
      </c>
    </row>
    <row r="39" spans="1:25" ht="13.5" thickBot="1" x14ac:dyDescent="0.25">
      <c r="U39" t="str">
        <f>HLOOKUP($R$24,$D$25:$O$37,13,FALSE)</f>
        <v>NAA</v>
      </c>
      <c r="V39" s="419" t="s">
        <v>1507</v>
      </c>
      <c r="W39" s="402" t="s">
        <v>1487</v>
      </c>
      <c r="X39">
        <f>U28</f>
        <v>12</v>
      </c>
      <c r="Y39" s="402" t="s">
        <v>1487</v>
      </c>
    </row>
    <row r="40" spans="1:25" x14ac:dyDescent="0.2">
      <c r="V40" s="558" t="s">
        <v>2371</v>
      </c>
    </row>
    <row r="45" spans="1:25" x14ac:dyDescent="0.2">
      <c r="V45" t="s">
        <v>2524</v>
      </c>
      <c r="W45" t="s">
        <v>2533</v>
      </c>
    </row>
    <row r="46" spans="1:25" x14ac:dyDescent="0.2">
      <c r="V46" t="s">
        <v>2525</v>
      </c>
      <c r="W46" t="s">
        <v>2534</v>
      </c>
    </row>
    <row r="47" spans="1:25" x14ac:dyDescent="0.2">
      <c r="V47" t="s">
        <v>2526</v>
      </c>
      <c r="W47" t="s">
        <v>2535</v>
      </c>
    </row>
    <row r="48" spans="1:25" x14ac:dyDescent="0.2">
      <c r="V48" t="s">
        <v>2527</v>
      </c>
      <c r="W48" t="s">
        <v>2536</v>
      </c>
    </row>
    <row r="49" spans="22:23" x14ac:dyDescent="0.2">
      <c r="V49" t="s">
        <v>2528</v>
      </c>
      <c r="W49" t="s">
        <v>2537</v>
      </c>
    </row>
    <row r="50" spans="22:23" x14ac:dyDescent="0.2">
      <c r="V50" t="s">
        <v>2529</v>
      </c>
    </row>
  </sheetData>
  <sortState ref="E4:P5">
    <sortCondition descending="1" ref="P5"/>
  </sortState>
  <mergeCells count="35">
    <mergeCell ref="Z3:Z4"/>
    <mergeCell ref="U3:U4"/>
    <mergeCell ref="R6:T6"/>
    <mergeCell ref="R7:T7"/>
    <mergeCell ref="A3:A4"/>
    <mergeCell ref="B3:B5"/>
    <mergeCell ref="C3:C4"/>
    <mergeCell ref="D3:D4"/>
    <mergeCell ref="E3:P3"/>
    <mergeCell ref="R12:T12"/>
    <mergeCell ref="R13:T13"/>
    <mergeCell ref="R14:T14"/>
    <mergeCell ref="R15:T15"/>
    <mergeCell ref="Q3:Q4"/>
    <mergeCell ref="R3:T4"/>
    <mergeCell ref="B30:B31"/>
    <mergeCell ref="B32:B33"/>
    <mergeCell ref="P28:P29"/>
    <mergeCell ref="P30:P31"/>
    <mergeCell ref="P32:P33"/>
    <mergeCell ref="R8:T8"/>
    <mergeCell ref="R9:T9"/>
    <mergeCell ref="P26:P27"/>
    <mergeCell ref="R10:T10"/>
    <mergeCell ref="R11:T11"/>
    <mergeCell ref="B34:B35"/>
    <mergeCell ref="P34:P35"/>
    <mergeCell ref="B36:B37"/>
    <mergeCell ref="P36:P37"/>
    <mergeCell ref="B24:B25"/>
    <mergeCell ref="C24:C25"/>
    <mergeCell ref="D24:O24"/>
    <mergeCell ref="P24:P25"/>
    <mergeCell ref="B26:B27"/>
    <mergeCell ref="B28:B29"/>
  </mergeCells>
  <phoneticPr fontId="33"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I227"/>
  <sheetViews>
    <sheetView topLeftCell="A57" workbookViewId="0">
      <selection activeCell="J63" sqref="J63"/>
    </sheetView>
  </sheetViews>
  <sheetFormatPr defaultRowHeight="12.75" x14ac:dyDescent="0.2"/>
  <cols>
    <col min="1" max="1" width="17.28515625" style="2" customWidth="1"/>
    <col min="2" max="2" width="13" customWidth="1"/>
    <col min="3" max="3" width="13.140625" customWidth="1"/>
    <col min="4" max="4" width="13.28515625" customWidth="1"/>
    <col min="5" max="6" width="11.140625" customWidth="1"/>
    <col min="7" max="7" width="15.140625" customWidth="1"/>
    <col min="8" max="8" width="14.140625" customWidth="1"/>
    <col min="9" max="9" width="21.5703125" customWidth="1"/>
    <col min="12" max="14" width="10.42578125" customWidth="1"/>
  </cols>
  <sheetData>
    <row r="1" spans="1:35" ht="15.75" x14ac:dyDescent="0.3">
      <c r="A1" s="667" t="s">
        <v>1521</v>
      </c>
      <c r="B1" s="668"/>
      <c r="C1" s="668"/>
      <c r="D1" s="668"/>
      <c r="E1" s="668"/>
    </row>
    <row r="2" spans="1:35" ht="14.25" x14ac:dyDescent="0.2">
      <c r="A2" s="445" t="s">
        <v>1520</v>
      </c>
      <c r="B2" s="446">
        <f>SELECTION!$R$16</f>
        <v>34</v>
      </c>
      <c r="C2" s="2">
        <f>B2+273.15</f>
        <v>307.14999999999998</v>
      </c>
      <c r="K2" s="2"/>
      <c r="L2" s="2"/>
      <c r="M2" s="2"/>
      <c r="N2" s="2"/>
      <c r="O2" s="2"/>
      <c r="P2" s="2"/>
      <c r="Q2" s="2"/>
      <c r="R2" s="2"/>
      <c r="S2" s="2"/>
      <c r="T2" s="2"/>
      <c r="U2" s="2"/>
      <c r="V2" s="2"/>
      <c r="W2" s="2"/>
      <c r="X2" s="2"/>
      <c r="Y2" s="2"/>
      <c r="Z2" s="2"/>
      <c r="AA2" s="2"/>
      <c r="AB2" s="2"/>
      <c r="AC2" s="2"/>
      <c r="AD2" s="2"/>
      <c r="AE2" s="2"/>
      <c r="AF2" s="2"/>
      <c r="AG2" s="2"/>
      <c r="AH2" s="2"/>
      <c r="AI2" s="2"/>
    </row>
    <row r="3" spans="1:35" ht="14.25" x14ac:dyDescent="0.2">
      <c r="B3" s="2" t="s">
        <v>1519</v>
      </c>
      <c r="C3" s="2" t="s">
        <v>1518</v>
      </c>
      <c r="D3" s="2" t="s">
        <v>1517</v>
      </c>
      <c r="E3" s="2" t="s">
        <v>1516</v>
      </c>
      <c r="F3" s="2" t="s">
        <v>1515</v>
      </c>
      <c r="G3" s="2" t="s">
        <v>1514</v>
      </c>
      <c r="K3" s="2"/>
      <c r="S3" s="2"/>
      <c r="T3" s="2"/>
      <c r="AB3" s="2"/>
    </row>
    <row r="4" spans="1:35" x14ac:dyDescent="0.2">
      <c r="A4" s="2" t="s">
        <v>907</v>
      </c>
      <c r="B4" s="2">
        <v>8.0809700000000007</v>
      </c>
      <c r="C4" s="2">
        <v>1582.271</v>
      </c>
      <c r="D4" s="2">
        <v>239.726</v>
      </c>
      <c r="E4" s="2">
        <v>15</v>
      </c>
      <c r="F4" s="2">
        <v>84</v>
      </c>
      <c r="G4" s="2">
        <f t="shared" ref="G4:G35" si="0">10^(B4-C4/($B$2+D4))</f>
        <v>199.74587943273809</v>
      </c>
      <c r="K4" s="2"/>
      <c r="S4" s="2"/>
      <c r="T4" s="2"/>
      <c r="AB4" s="2"/>
    </row>
    <row r="5" spans="1:35" x14ac:dyDescent="0.2">
      <c r="A5" s="2" t="s">
        <v>1525</v>
      </c>
      <c r="B5" s="2">
        <v>8.1121999999999996</v>
      </c>
      <c r="C5" s="2">
        <v>1592.864</v>
      </c>
      <c r="D5" s="2">
        <v>226.184</v>
      </c>
      <c r="E5" s="2">
        <v>20</v>
      </c>
      <c r="F5" s="2">
        <v>93</v>
      </c>
      <c r="G5" s="2">
        <f t="shared" si="0"/>
        <v>97.753550435654631</v>
      </c>
      <c r="L5" t="s">
        <v>1522</v>
      </c>
      <c r="M5" t="s">
        <v>1523</v>
      </c>
      <c r="N5" t="s">
        <v>1524</v>
      </c>
      <c r="S5" s="2"/>
      <c r="T5" s="2"/>
      <c r="AB5" s="2"/>
    </row>
    <row r="6" spans="1:35" x14ac:dyDescent="0.2">
      <c r="A6" s="2" t="s">
        <v>1526</v>
      </c>
      <c r="B6" s="2">
        <v>7.7441599999999999</v>
      </c>
      <c r="C6" s="2">
        <v>1437.6859999999999</v>
      </c>
      <c r="D6" s="2">
        <v>198.46299999999999</v>
      </c>
      <c r="E6" s="2">
        <v>60</v>
      </c>
      <c r="F6" s="2">
        <v>106</v>
      </c>
      <c r="G6" s="2">
        <f t="shared" si="0"/>
        <v>36.272717068931705</v>
      </c>
      <c r="K6" s="2"/>
      <c r="L6" t="str">
        <f>SELECTION!E10</f>
        <v>AMMONIA</v>
      </c>
      <c r="N6" t="e">
        <f>VLOOKUP(L6,$A$4:$G$59,7,FALSE)</f>
        <v>#N/A</v>
      </c>
      <c r="S6" s="2"/>
      <c r="T6" s="2"/>
      <c r="AB6" s="2"/>
    </row>
    <row r="7" spans="1:35" x14ac:dyDescent="0.2">
      <c r="A7" s="2" t="s">
        <v>1526</v>
      </c>
      <c r="B7" s="2">
        <v>8.3789499999999997</v>
      </c>
      <c r="C7" s="2">
        <v>1788.02</v>
      </c>
      <c r="D7" s="2">
        <v>227.43799999999999</v>
      </c>
      <c r="E7" s="2">
        <v>-15</v>
      </c>
      <c r="F7" s="2">
        <v>98</v>
      </c>
      <c r="G7" s="2">
        <f t="shared" si="0"/>
        <v>34.65579721419099</v>
      </c>
      <c r="K7" s="2"/>
      <c r="S7" s="2"/>
      <c r="T7" s="2"/>
      <c r="AB7" s="2"/>
    </row>
    <row r="8" spans="1:35" x14ac:dyDescent="0.2">
      <c r="A8" s="2" t="s">
        <v>1527</v>
      </c>
      <c r="B8" s="2">
        <v>8.8782899999999998</v>
      </c>
      <c r="C8" s="2">
        <v>2010.33</v>
      </c>
      <c r="D8" s="2">
        <v>252.636</v>
      </c>
      <c r="E8" s="2">
        <v>-26</v>
      </c>
      <c r="F8" s="2">
        <v>83</v>
      </c>
      <c r="G8" s="2">
        <f t="shared" si="0"/>
        <v>73.242076015574966</v>
      </c>
      <c r="K8" s="2"/>
      <c r="S8" s="2"/>
      <c r="T8" s="2"/>
      <c r="AB8" s="2"/>
    </row>
    <row r="9" spans="1:35" x14ac:dyDescent="0.2">
      <c r="A9" s="2" t="s">
        <v>1528</v>
      </c>
      <c r="B9" s="2">
        <v>7.8102799999999997</v>
      </c>
      <c r="C9" s="2">
        <v>1522.56</v>
      </c>
      <c r="D9" s="2">
        <v>191.95</v>
      </c>
      <c r="E9" s="2">
        <v>30</v>
      </c>
      <c r="F9" s="2">
        <v>70</v>
      </c>
      <c r="G9" s="2">
        <f t="shared" si="0"/>
        <v>11.797718649680899</v>
      </c>
      <c r="K9" s="2"/>
      <c r="S9" s="2"/>
      <c r="T9" s="2"/>
      <c r="AB9" s="2"/>
    </row>
    <row r="10" spans="1:35" x14ac:dyDescent="0.2">
      <c r="A10" s="2" t="s">
        <v>1528</v>
      </c>
      <c r="B10" s="2">
        <v>7.7532800000000002</v>
      </c>
      <c r="C10" s="2">
        <v>1506.07</v>
      </c>
      <c r="D10" s="2">
        <v>191.59299999999999</v>
      </c>
      <c r="E10" s="2">
        <v>70</v>
      </c>
      <c r="F10" s="2">
        <v>120</v>
      </c>
      <c r="G10" s="2">
        <f t="shared" si="0"/>
        <v>11.946224018885971</v>
      </c>
      <c r="K10" s="2"/>
      <c r="S10" s="2"/>
      <c r="T10" s="2"/>
      <c r="AB10" s="2"/>
    </row>
    <row r="11" spans="1:35" x14ac:dyDescent="0.2">
      <c r="A11" s="2" t="s">
        <v>1528</v>
      </c>
      <c r="B11" s="2">
        <v>7.3636600000000003</v>
      </c>
      <c r="C11" s="2">
        <v>1305.1980000000001</v>
      </c>
      <c r="D11" s="2">
        <v>173.42699999999999</v>
      </c>
      <c r="E11" s="2">
        <v>89</v>
      </c>
      <c r="F11" s="2">
        <v>126</v>
      </c>
      <c r="G11" s="2">
        <f t="shared" si="0"/>
        <v>11.785159682949462</v>
      </c>
      <c r="K11" s="2"/>
      <c r="S11" s="2"/>
      <c r="T11" s="2"/>
      <c r="AB11" s="2"/>
    </row>
    <row r="12" spans="1:35" x14ac:dyDescent="0.2">
      <c r="A12" s="2" t="s">
        <v>1529</v>
      </c>
      <c r="B12" s="2">
        <v>7.2013100000000003</v>
      </c>
      <c r="C12" s="2">
        <v>1157</v>
      </c>
      <c r="D12" s="2">
        <v>168.279</v>
      </c>
      <c r="E12" s="2">
        <v>72</v>
      </c>
      <c r="F12" s="2">
        <v>107</v>
      </c>
      <c r="G12" s="2">
        <f t="shared" si="0"/>
        <v>30.303122312154894</v>
      </c>
      <c r="K12" s="2"/>
      <c r="S12" s="2"/>
      <c r="T12" s="2"/>
      <c r="AB12" s="2"/>
    </row>
    <row r="13" spans="1:35" x14ac:dyDescent="0.2">
      <c r="A13" s="2" t="s">
        <v>1530</v>
      </c>
      <c r="B13" s="2">
        <v>8.3660456952269371</v>
      </c>
      <c r="C13" s="2">
        <v>2170.2402582840286</v>
      </c>
      <c r="D13" s="2">
        <v>205.92142962707013</v>
      </c>
      <c r="E13" s="2">
        <v>55</v>
      </c>
      <c r="F13" s="2">
        <v>150</v>
      </c>
      <c r="G13" s="2">
        <f t="shared" si="0"/>
        <v>0.20913013870665509</v>
      </c>
      <c r="K13" s="2"/>
      <c r="S13" s="2"/>
      <c r="T13" s="2"/>
      <c r="AB13" s="2"/>
    </row>
    <row r="14" spans="1:35" x14ac:dyDescent="0.2">
      <c r="A14" s="2" t="s">
        <v>1531</v>
      </c>
      <c r="B14" s="2">
        <v>7.2516208422339448</v>
      </c>
      <c r="C14" s="2">
        <v>1448.5650852679989</v>
      </c>
      <c r="D14" s="2">
        <v>134.11820173251741</v>
      </c>
      <c r="E14" s="2">
        <v>80</v>
      </c>
      <c r="F14" s="2">
        <v>200</v>
      </c>
      <c r="G14" s="2">
        <f t="shared" si="0"/>
        <v>4.3178934983279786E-2</v>
      </c>
      <c r="K14" s="2"/>
      <c r="S14" s="2"/>
      <c r="T14" s="2"/>
      <c r="AB14" s="2"/>
    </row>
    <row r="15" spans="1:35" x14ac:dyDescent="0.2">
      <c r="A15" s="2" t="s">
        <v>905</v>
      </c>
      <c r="B15" s="2">
        <v>6.6437999999999997</v>
      </c>
      <c r="C15" s="2">
        <v>395.74</v>
      </c>
      <c r="D15" s="2">
        <v>266.68099999999998</v>
      </c>
      <c r="E15" s="2">
        <v>-182</v>
      </c>
      <c r="F15" s="2">
        <v>-158</v>
      </c>
      <c r="G15" s="2">
        <f t="shared" si="0"/>
        <v>212644.57985685373</v>
      </c>
      <c r="K15" s="2"/>
      <c r="S15" s="2"/>
      <c r="T15" s="2"/>
      <c r="AB15" s="2"/>
    </row>
    <row r="16" spans="1:35" x14ac:dyDescent="0.2">
      <c r="A16" s="2" t="s">
        <v>888</v>
      </c>
      <c r="B16" s="2">
        <v>6.8291500000000003</v>
      </c>
      <c r="C16" s="2">
        <v>663.72</v>
      </c>
      <c r="D16" s="2">
        <v>256.68099999999998</v>
      </c>
      <c r="E16" s="2">
        <v>-143</v>
      </c>
      <c r="F16" s="2">
        <v>-84</v>
      </c>
      <c r="G16" s="2">
        <f t="shared" si="0"/>
        <v>35141.656418714789</v>
      </c>
      <c r="K16" s="2"/>
      <c r="L16" s="2"/>
      <c r="M16" s="2"/>
      <c r="N16" s="2"/>
      <c r="O16" s="2"/>
      <c r="P16" s="2"/>
      <c r="Q16" s="2"/>
      <c r="R16" s="2"/>
      <c r="S16" s="2"/>
      <c r="T16" s="2"/>
      <c r="AB16" s="2"/>
      <c r="AC16" s="2"/>
      <c r="AD16" s="2"/>
      <c r="AE16" s="2"/>
      <c r="AF16" s="2"/>
      <c r="AG16" s="2"/>
      <c r="AH16" s="2"/>
      <c r="AI16" s="2"/>
    </row>
    <row r="17" spans="1:35" x14ac:dyDescent="0.2">
      <c r="A17" s="2" t="s">
        <v>916</v>
      </c>
      <c r="B17" s="2">
        <v>6.8033799999999998</v>
      </c>
      <c r="C17" s="2">
        <v>804</v>
      </c>
      <c r="D17" s="2">
        <v>247.04</v>
      </c>
      <c r="E17" s="2">
        <v>-108</v>
      </c>
      <c r="F17" s="2">
        <v>-35.65</v>
      </c>
      <c r="G17" s="2">
        <f t="shared" si="0"/>
        <v>8761.4758314126775</v>
      </c>
      <c r="K17" s="2"/>
      <c r="L17" s="2"/>
      <c r="M17" s="2"/>
      <c r="N17" s="2"/>
      <c r="O17" s="2"/>
      <c r="P17" s="2"/>
      <c r="Q17" s="2"/>
      <c r="R17" s="2"/>
      <c r="S17" s="2"/>
      <c r="T17" s="2"/>
      <c r="AB17" s="2"/>
      <c r="AC17" s="2"/>
      <c r="AD17" s="2"/>
      <c r="AE17" s="2"/>
      <c r="AF17" s="2"/>
      <c r="AG17" s="2"/>
      <c r="AH17" s="2"/>
      <c r="AI17" s="2"/>
    </row>
    <row r="18" spans="1:35" x14ac:dyDescent="0.2">
      <c r="A18" s="2" t="s">
        <v>1532</v>
      </c>
      <c r="B18" s="2">
        <v>6.80776</v>
      </c>
      <c r="C18" s="2">
        <v>935.77</v>
      </c>
      <c r="D18" s="2">
        <v>238.78899999999999</v>
      </c>
      <c r="E18" s="2">
        <v>-78</v>
      </c>
      <c r="F18" s="2">
        <v>19</v>
      </c>
      <c r="G18" s="2">
        <f t="shared" si="0"/>
        <v>2384.403456543168</v>
      </c>
      <c r="K18" s="2"/>
      <c r="L18" s="2"/>
      <c r="M18" s="2"/>
      <c r="N18" s="2"/>
      <c r="O18" s="2"/>
      <c r="P18" s="2"/>
      <c r="Q18" s="2"/>
      <c r="R18" s="2"/>
      <c r="S18" s="2"/>
      <c r="T18" s="2"/>
      <c r="AB18" s="2"/>
      <c r="AC18" s="2"/>
      <c r="AD18" s="2"/>
      <c r="AE18" s="2"/>
      <c r="AF18" s="2"/>
      <c r="AG18" s="2"/>
      <c r="AH18" s="2"/>
      <c r="AI18" s="2"/>
    </row>
    <row r="19" spans="1:35" x14ac:dyDescent="0.2">
      <c r="A19" s="2" t="s">
        <v>1533</v>
      </c>
      <c r="B19" s="2">
        <v>6.8529600000000004</v>
      </c>
      <c r="C19" s="2">
        <v>1064.8399999999999</v>
      </c>
      <c r="D19" s="2">
        <v>232.012</v>
      </c>
      <c r="E19" s="2">
        <v>-50</v>
      </c>
      <c r="F19" s="2">
        <v>58</v>
      </c>
      <c r="G19" s="2">
        <f t="shared" si="0"/>
        <v>707.91756897211587</v>
      </c>
    </row>
    <row r="20" spans="1:35" x14ac:dyDescent="0.2">
      <c r="A20" s="2" t="s">
        <v>1533</v>
      </c>
      <c r="B20" s="2">
        <v>6.8763199999999998</v>
      </c>
      <c r="C20" s="2">
        <v>1075.78</v>
      </c>
      <c r="D20" s="2">
        <v>233.20500000000001</v>
      </c>
      <c r="E20" s="2">
        <v>-50</v>
      </c>
      <c r="F20" s="2">
        <v>58</v>
      </c>
      <c r="G20" s="2">
        <f t="shared" si="0"/>
        <v>708.39026324305541</v>
      </c>
    </row>
    <row r="21" spans="1:35" x14ac:dyDescent="0.2">
      <c r="A21" s="2" t="s">
        <v>1534</v>
      </c>
      <c r="B21" s="2">
        <v>6.87601</v>
      </c>
      <c r="C21" s="2">
        <v>1171.17</v>
      </c>
      <c r="D21" s="2">
        <v>224.40799999999999</v>
      </c>
      <c r="E21" s="2">
        <v>-25</v>
      </c>
      <c r="F21" s="2">
        <v>92</v>
      </c>
      <c r="G21" s="2">
        <f t="shared" si="0"/>
        <v>220.67781565545639</v>
      </c>
    </row>
    <row r="22" spans="1:35" x14ac:dyDescent="0.2">
      <c r="A22" s="2" t="s">
        <v>1535</v>
      </c>
      <c r="B22" s="2">
        <v>6.9105800000000004</v>
      </c>
      <c r="C22" s="2">
        <v>1189.6400000000001</v>
      </c>
      <c r="D22" s="2">
        <v>226.28</v>
      </c>
      <c r="E22" s="2">
        <v>-30</v>
      </c>
      <c r="F22" s="2">
        <v>170</v>
      </c>
      <c r="G22" s="2">
        <f t="shared" si="0"/>
        <v>218.75789745169277</v>
      </c>
    </row>
    <row r="23" spans="1:35" x14ac:dyDescent="0.2">
      <c r="A23" s="2" t="s">
        <v>1536</v>
      </c>
      <c r="B23" s="2">
        <v>6.8967700000000001</v>
      </c>
      <c r="C23" s="2">
        <v>1264.9000000000001</v>
      </c>
      <c r="D23" s="2">
        <v>216.54400000000001</v>
      </c>
      <c r="E23" s="2">
        <v>-2</v>
      </c>
      <c r="F23" s="2">
        <v>123</v>
      </c>
      <c r="G23" s="2">
        <f t="shared" si="0"/>
        <v>70.494589274679825</v>
      </c>
    </row>
    <row r="24" spans="1:35" x14ac:dyDescent="0.2">
      <c r="A24" s="2" t="s">
        <v>1537</v>
      </c>
      <c r="B24" s="2">
        <v>6.8938600000000001</v>
      </c>
      <c r="C24" s="2">
        <v>1264.3699999999999</v>
      </c>
      <c r="D24" s="2">
        <v>216.64</v>
      </c>
      <c r="E24" s="2">
        <v>-3</v>
      </c>
      <c r="F24" s="2">
        <v>127</v>
      </c>
      <c r="G24" s="2">
        <f t="shared" si="0"/>
        <v>70.67960092960206</v>
      </c>
    </row>
    <row r="25" spans="1:35" x14ac:dyDescent="0.2">
      <c r="A25" s="2" t="s">
        <v>1538</v>
      </c>
      <c r="B25" s="2">
        <v>6.9186800000000002</v>
      </c>
      <c r="C25" s="2">
        <v>1351.99</v>
      </c>
      <c r="D25" s="2">
        <v>209.155</v>
      </c>
      <c r="E25" s="2">
        <v>19</v>
      </c>
      <c r="F25" s="2">
        <v>152</v>
      </c>
      <c r="G25" s="2">
        <f t="shared" si="0"/>
        <v>22.828731098077281</v>
      </c>
    </row>
    <row r="26" spans="1:35" x14ac:dyDescent="0.2">
      <c r="A26" s="2" t="s">
        <v>1539</v>
      </c>
      <c r="B26" s="2">
        <v>6.93893</v>
      </c>
      <c r="C26" s="2">
        <v>1431.82</v>
      </c>
      <c r="D26" s="2">
        <v>202.11</v>
      </c>
      <c r="E26" s="2">
        <v>39</v>
      </c>
      <c r="F26" s="2">
        <v>178</v>
      </c>
      <c r="G26" s="2">
        <f t="shared" si="0"/>
        <v>7.4941544435639553</v>
      </c>
    </row>
    <row r="27" spans="1:35" x14ac:dyDescent="0.2">
      <c r="A27" s="2" t="s">
        <v>1540</v>
      </c>
      <c r="B27" s="2">
        <v>6.9436299999999997</v>
      </c>
      <c r="C27" s="2">
        <v>1495.17</v>
      </c>
      <c r="D27" s="2">
        <v>193.858</v>
      </c>
      <c r="E27" s="2">
        <v>58</v>
      </c>
      <c r="F27" s="2">
        <v>203</v>
      </c>
      <c r="G27" s="2">
        <f t="shared" si="0"/>
        <v>2.4086853762226621</v>
      </c>
    </row>
    <row r="28" spans="1:35" x14ac:dyDescent="0.2">
      <c r="A28" s="2" t="s">
        <v>1541</v>
      </c>
      <c r="B28" s="2">
        <v>7.44</v>
      </c>
      <c r="C28" s="2">
        <v>1843.12</v>
      </c>
      <c r="D28" s="2">
        <v>230.22</v>
      </c>
      <c r="E28" s="2">
        <v>17</v>
      </c>
      <c r="F28" s="2">
        <v>174</v>
      </c>
      <c r="G28" s="2">
        <f t="shared" si="0"/>
        <v>2.9127146055249624</v>
      </c>
    </row>
    <row r="29" spans="1:35" x14ac:dyDescent="0.2">
      <c r="A29" s="2" t="s">
        <v>1542</v>
      </c>
      <c r="B29" s="2">
        <v>7.2647533768323242</v>
      </c>
      <c r="C29" s="2">
        <v>1434.1483394396171</v>
      </c>
      <c r="D29" s="2">
        <v>246.72069252245686</v>
      </c>
      <c r="E29" s="2">
        <v>6.7</v>
      </c>
      <c r="F29" s="2">
        <v>80.7</v>
      </c>
      <c r="G29" s="2">
        <f t="shared" si="0"/>
        <v>143.20051971419636</v>
      </c>
    </row>
    <row r="30" spans="1:35" x14ac:dyDescent="0.2">
      <c r="A30" s="2" t="s">
        <v>1542</v>
      </c>
      <c r="B30" s="2">
        <v>6.8514600000000003</v>
      </c>
      <c r="C30" s="2">
        <v>1206.47</v>
      </c>
      <c r="D30" s="2">
        <v>223.136</v>
      </c>
      <c r="E30" s="2">
        <v>7</v>
      </c>
      <c r="F30" s="2">
        <v>81</v>
      </c>
      <c r="G30" s="2">
        <f t="shared" si="0"/>
        <v>144.38002194184932</v>
      </c>
    </row>
    <row r="31" spans="1:35" x14ac:dyDescent="0.2">
      <c r="A31" s="2" t="s">
        <v>1543</v>
      </c>
      <c r="B31" s="2">
        <v>7.1161000000000003</v>
      </c>
      <c r="C31" s="2">
        <v>1444.59</v>
      </c>
      <c r="D31" s="2">
        <v>240.184</v>
      </c>
      <c r="E31" s="2">
        <v>-3</v>
      </c>
      <c r="F31" s="2">
        <v>100</v>
      </c>
      <c r="G31" s="2">
        <f t="shared" si="0"/>
        <v>70.37393244976785</v>
      </c>
    </row>
    <row r="32" spans="1:35" x14ac:dyDescent="0.2">
      <c r="A32" s="2" t="s">
        <v>1544</v>
      </c>
      <c r="B32" s="2">
        <v>8.1121999999999996</v>
      </c>
      <c r="C32" s="2">
        <v>1592.864</v>
      </c>
      <c r="D32" s="2">
        <v>226.184</v>
      </c>
      <c r="E32" s="2">
        <v>20</v>
      </c>
      <c r="F32" s="2">
        <v>93</v>
      </c>
      <c r="G32" s="2">
        <f t="shared" si="0"/>
        <v>97.753550435654631</v>
      </c>
    </row>
    <row r="33" spans="1:7" x14ac:dyDescent="0.2">
      <c r="A33" s="2" t="s">
        <v>1545</v>
      </c>
      <c r="B33" s="2">
        <v>6.9508700000000001</v>
      </c>
      <c r="C33" s="2">
        <v>1342.31</v>
      </c>
      <c r="D33" s="2">
        <v>219.18700000000001</v>
      </c>
      <c r="E33" s="2">
        <v>-27</v>
      </c>
      <c r="F33" s="2">
        <v>111</v>
      </c>
      <c r="G33" s="2">
        <f t="shared" si="0"/>
        <v>44.587743251076461</v>
      </c>
    </row>
    <row r="34" spans="1:7" x14ac:dyDescent="0.2">
      <c r="A34" s="2" t="s">
        <v>879</v>
      </c>
      <c r="B34" s="2">
        <v>6.8798700000000004</v>
      </c>
      <c r="C34" s="2">
        <v>1196.76</v>
      </c>
      <c r="D34" s="2">
        <v>219.161</v>
      </c>
      <c r="E34" s="2">
        <v>8</v>
      </c>
      <c r="F34" s="2">
        <v>80</v>
      </c>
      <c r="G34" s="2">
        <f t="shared" si="0"/>
        <v>142.10245529411506</v>
      </c>
    </row>
    <row r="35" spans="1:7" x14ac:dyDescent="0.2">
      <c r="A35" s="2" t="s">
        <v>1546</v>
      </c>
      <c r="B35" s="2">
        <v>7.0090899999999996</v>
      </c>
      <c r="C35" s="2">
        <v>1462.2660000000001</v>
      </c>
      <c r="D35" s="2">
        <v>215.11</v>
      </c>
      <c r="E35" s="2">
        <v>29</v>
      </c>
      <c r="F35" s="2">
        <v>166</v>
      </c>
      <c r="G35" s="2">
        <f t="shared" si="0"/>
        <v>13.776184122741157</v>
      </c>
    </row>
    <row r="36" spans="1:7" x14ac:dyDescent="0.2">
      <c r="A36" s="2" t="s">
        <v>1547</v>
      </c>
      <c r="B36" s="2">
        <v>7.0015400000000003</v>
      </c>
      <c r="C36" s="2">
        <v>1476.393</v>
      </c>
      <c r="D36" s="2">
        <v>213.87200000000001</v>
      </c>
      <c r="E36" s="2">
        <v>63</v>
      </c>
      <c r="F36" s="2">
        <v>145</v>
      </c>
      <c r="G36" s="2">
        <f t="shared" ref="G36:G59" si="1">10^(B36-C36/($B$2+D36))</f>
        <v>11.098600386166781</v>
      </c>
    </row>
    <row r="37" spans="1:7" x14ac:dyDescent="0.2">
      <c r="A37" s="2" t="s">
        <v>1548</v>
      </c>
      <c r="B37" s="2">
        <v>6.9905299999999997</v>
      </c>
      <c r="C37" s="2">
        <v>1453.43</v>
      </c>
      <c r="D37" s="2">
        <v>215.31</v>
      </c>
      <c r="E37" s="2">
        <v>27</v>
      </c>
      <c r="F37" s="2">
        <v>166</v>
      </c>
      <c r="G37" s="2">
        <f t="shared" si="1"/>
        <v>14.478371755225197</v>
      </c>
    </row>
    <row r="38" spans="1:7" x14ac:dyDescent="0.2">
      <c r="A38" s="2" t="s">
        <v>1549</v>
      </c>
      <c r="B38" s="2">
        <v>7.6313000000000004</v>
      </c>
      <c r="C38" s="2">
        <v>1566.69</v>
      </c>
      <c r="D38" s="2">
        <v>273.41899999999998</v>
      </c>
      <c r="E38" s="2">
        <v>57</v>
      </c>
      <c r="F38" s="2">
        <v>205</v>
      </c>
      <c r="G38" s="2">
        <f t="shared" si="1"/>
        <v>342.79204808698785</v>
      </c>
    </row>
    <row r="39" spans="1:7" x14ac:dyDescent="0.2">
      <c r="A39" s="2" t="s">
        <v>1549</v>
      </c>
      <c r="B39" s="2">
        <v>7.11714</v>
      </c>
      <c r="C39" s="2">
        <v>1210.595</v>
      </c>
      <c r="D39" s="2">
        <v>229.66399999999999</v>
      </c>
      <c r="E39" s="2">
        <v>-13</v>
      </c>
      <c r="F39" s="2">
        <v>55</v>
      </c>
      <c r="G39" s="2">
        <f t="shared" si="1"/>
        <v>335.5129129781327</v>
      </c>
    </row>
    <row r="40" spans="1:7" x14ac:dyDescent="0.2">
      <c r="A40" s="2" t="s">
        <v>1550</v>
      </c>
      <c r="B40" s="2">
        <v>7.06691</v>
      </c>
      <c r="C40" s="2">
        <v>1204.95</v>
      </c>
      <c r="D40" s="2">
        <v>235.35</v>
      </c>
      <c r="E40" s="2">
        <v>-65</v>
      </c>
      <c r="F40" s="2">
        <v>53</v>
      </c>
      <c r="G40" s="2">
        <f t="shared" si="1"/>
        <v>392.06905960009618</v>
      </c>
    </row>
    <row r="41" spans="1:7" x14ac:dyDescent="0.2">
      <c r="A41" s="2" t="s">
        <v>1551</v>
      </c>
      <c r="B41" s="2">
        <v>7.1017900000000003</v>
      </c>
      <c r="C41" s="2">
        <v>1244.95</v>
      </c>
      <c r="D41" s="2">
        <v>217.881</v>
      </c>
      <c r="E41" s="2">
        <v>16</v>
      </c>
      <c r="F41" s="2">
        <v>76</v>
      </c>
      <c r="G41" s="2">
        <f t="shared" si="1"/>
        <v>144.27072395415971</v>
      </c>
    </row>
    <row r="42" spans="1:7" x14ac:dyDescent="0.2">
      <c r="A42" s="2" t="s">
        <v>1552</v>
      </c>
      <c r="B42" s="2">
        <v>7.4315499999999997</v>
      </c>
      <c r="C42" s="2">
        <v>1554.6790000000001</v>
      </c>
      <c r="D42" s="2">
        <v>240.33699999999999</v>
      </c>
      <c r="E42" s="2">
        <v>20</v>
      </c>
      <c r="F42" s="2">
        <v>105</v>
      </c>
      <c r="G42" s="2">
        <f t="shared" si="1"/>
        <v>58.144561250602798</v>
      </c>
    </row>
    <row r="43" spans="1:7" x14ac:dyDescent="0.2">
      <c r="A43" s="2" t="s">
        <v>1553</v>
      </c>
      <c r="B43" s="2">
        <v>7.280662108153515</v>
      </c>
      <c r="C43" s="2">
        <v>1434.2010693621778</v>
      </c>
      <c r="D43" s="2">
        <v>246.49904574755209</v>
      </c>
      <c r="E43" s="2">
        <v>-6.5</v>
      </c>
      <c r="F43" s="2">
        <v>80</v>
      </c>
      <c r="G43" s="2">
        <f t="shared" si="1"/>
        <v>147.10533511540402</v>
      </c>
    </row>
    <row r="44" spans="1:7" x14ac:dyDescent="0.2">
      <c r="A44" s="2" t="s">
        <v>1553</v>
      </c>
      <c r="B44" s="2">
        <v>7.0635599999999998</v>
      </c>
      <c r="C44" s="2">
        <v>1261.3389999999999</v>
      </c>
      <c r="D44" s="2">
        <v>221.96899999999999</v>
      </c>
      <c r="E44" s="2">
        <v>43</v>
      </c>
      <c r="F44" s="2">
        <v>88</v>
      </c>
      <c r="G44" s="2">
        <f t="shared" si="1"/>
        <v>136.72811212457896</v>
      </c>
    </row>
    <row r="45" spans="1:7" x14ac:dyDescent="0.2">
      <c r="A45" s="2" t="s">
        <v>1554</v>
      </c>
      <c r="B45" s="2">
        <v>7.2306400000000002</v>
      </c>
      <c r="C45" s="2">
        <v>1477.021</v>
      </c>
      <c r="D45" s="2">
        <v>237.517</v>
      </c>
      <c r="E45" s="2">
        <v>36</v>
      </c>
      <c r="F45" s="2">
        <v>102</v>
      </c>
      <c r="G45" s="2">
        <f t="shared" si="1"/>
        <v>61.766919337122573</v>
      </c>
    </row>
    <row r="46" spans="1:7" x14ac:dyDescent="0.2">
      <c r="A46" s="2" t="s">
        <v>923</v>
      </c>
      <c r="B46" s="2">
        <v>8.0713100000000004</v>
      </c>
      <c r="C46" s="2">
        <v>1730.63</v>
      </c>
      <c r="D46" s="2">
        <v>233.42599999999999</v>
      </c>
      <c r="E46" s="2">
        <v>1</v>
      </c>
      <c r="F46" s="2">
        <v>100</v>
      </c>
      <c r="G46" s="2">
        <f t="shared" si="1"/>
        <v>39.799252140683599</v>
      </c>
    </row>
    <row r="47" spans="1:7" x14ac:dyDescent="0.2">
      <c r="A47" s="2" t="s">
        <v>1555</v>
      </c>
      <c r="B47" s="2">
        <v>7.3398599999999998</v>
      </c>
      <c r="C47" s="2">
        <v>1482.29</v>
      </c>
      <c r="D47" s="2">
        <v>250.523</v>
      </c>
      <c r="E47" s="2">
        <v>-27</v>
      </c>
      <c r="F47" s="2">
        <v>82</v>
      </c>
      <c r="G47" s="2">
        <f t="shared" si="1"/>
        <v>134.9344992147862</v>
      </c>
    </row>
    <row r="48" spans="1:7" x14ac:dyDescent="0.2">
      <c r="A48" s="2" t="s">
        <v>1556</v>
      </c>
      <c r="B48" s="2">
        <v>5.8587899999999999</v>
      </c>
      <c r="C48" s="2">
        <v>695.66600000000005</v>
      </c>
      <c r="D48" s="2">
        <v>144.83199999999999</v>
      </c>
      <c r="E48" s="2">
        <v>50</v>
      </c>
      <c r="F48" s="2">
        <v>95</v>
      </c>
      <c r="G48" s="2">
        <f t="shared" si="1"/>
        <v>93.054368390125802</v>
      </c>
    </row>
    <row r="49" spans="1:10" x14ac:dyDescent="0.2">
      <c r="A49" s="2" t="s">
        <v>1557</v>
      </c>
      <c r="B49" s="2">
        <v>8.0210000000000008</v>
      </c>
      <c r="C49" s="2">
        <v>1936.01</v>
      </c>
      <c r="D49" s="2">
        <v>258.45100000000002</v>
      </c>
      <c r="E49" s="2">
        <v>18</v>
      </c>
      <c r="F49" s="2">
        <v>118</v>
      </c>
      <c r="G49" s="2">
        <f t="shared" si="1"/>
        <v>25.17986577208989</v>
      </c>
    </row>
    <row r="50" spans="1:10" x14ac:dyDescent="0.2">
      <c r="A50" s="2" t="s">
        <v>1557</v>
      </c>
      <c r="B50" s="2">
        <v>8.2673500000000004</v>
      </c>
      <c r="C50" s="2">
        <v>2258.2220000000002</v>
      </c>
      <c r="D50" s="2">
        <v>300.97000000000003</v>
      </c>
      <c r="E50" s="2">
        <v>118</v>
      </c>
      <c r="F50" s="2">
        <v>227</v>
      </c>
      <c r="G50" s="2">
        <f t="shared" si="1"/>
        <v>33.557151122945235</v>
      </c>
    </row>
    <row r="51" spans="1:10" x14ac:dyDescent="0.2">
      <c r="A51" s="2" t="s">
        <v>1558</v>
      </c>
      <c r="B51" s="2">
        <v>6.95465</v>
      </c>
      <c r="C51" s="2">
        <v>1170.9659999999999</v>
      </c>
      <c r="D51" s="2">
        <v>226.232</v>
      </c>
      <c r="E51" s="2">
        <v>-10</v>
      </c>
      <c r="F51" s="2">
        <v>60</v>
      </c>
      <c r="G51" s="2">
        <f t="shared" si="1"/>
        <v>285.06882952362059</v>
      </c>
    </row>
    <row r="52" spans="1:10" x14ac:dyDescent="0.2">
      <c r="A52" s="2" t="s">
        <v>1559</v>
      </c>
      <c r="B52" s="2">
        <v>7.0803000000000003</v>
      </c>
      <c r="C52" s="2">
        <v>1138.9100000000001</v>
      </c>
      <c r="D52" s="2">
        <v>231.45</v>
      </c>
      <c r="E52" s="2">
        <v>-44</v>
      </c>
      <c r="F52" s="2">
        <v>59</v>
      </c>
      <c r="G52" s="2">
        <f t="shared" si="1"/>
        <v>616.32835599211808</v>
      </c>
    </row>
    <row r="53" spans="1:10" x14ac:dyDescent="0.2">
      <c r="A53" s="2" t="s">
        <v>1560</v>
      </c>
      <c r="B53" s="2">
        <v>7.40916</v>
      </c>
      <c r="C53" s="2">
        <v>1325.9380000000001</v>
      </c>
      <c r="D53" s="2">
        <v>252.61600000000001</v>
      </c>
      <c r="E53" s="2">
        <v>-40</v>
      </c>
      <c r="F53" s="2">
        <v>40</v>
      </c>
      <c r="G53" s="2">
        <f t="shared" si="1"/>
        <v>606.70452325010729</v>
      </c>
    </row>
    <row r="54" spans="1:10" x14ac:dyDescent="0.2">
      <c r="A54" s="2" t="s">
        <v>1561</v>
      </c>
      <c r="B54" s="2">
        <v>6.8409300000000002</v>
      </c>
      <c r="C54" s="2">
        <v>1177.9100000000001</v>
      </c>
      <c r="D54" s="2">
        <v>220.57599999999999</v>
      </c>
      <c r="E54" s="2">
        <v>-20</v>
      </c>
      <c r="F54" s="2">
        <v>77</v>
      </c>
      <c r="G54" s="2">
        <f t="shared" si="1"/>
        <v>163.67474100295681</v>
      </c>
    </row>
    <row r="55" spans="1:10" x14ac:dyDescent="0.2">
      <c r="A55" s="2" t="s">
        <v>1562</v>
      </c>
      <c r="B55" s="2">
        <v>7.0252999999999997</v>
      </c>
      <c r="C55" s="2">
        <v>1271.2539999999999</v>
      </c>
      <c r="D55" s="2">
        <v>222.92699999999999</v>
      </c>
      <c r="E55" s="2">
        <v>-31</v>
      </c>
      <c r="F55" s="2">
        <v>99</v>
      </c>
      <c r="G55" s="2">
        <f t="shared" si="1"/>
        <v>119.50358702409021</v>
      </c>
    </row>
    <row r="56" spans="1:10" x14ac:dyDescent="0.2">
      <c r="A56" s="2" t="s">
        <v>1563</v>
      </c>
      <c r="B56" s="2">
        <v>7.5971560184452018</v>
      </c>
      <c r="C56" s="2">
        <v>1961.4684754423595</v>
      </c>
      <c r="D56" s="2">
        <v>236.51136680194358</v>
      </c>
      <c r="E56" s="2">
        <v>22</v>
      </c>
      <c r="F56" s="2">
        <v>180</v>
      </c>
      <c r="G56" s="2">
        <f t="shared" si="1"/>
        <v>2.2191718495079535</v>
      </c>
    </row>
    <row r="57" spans="1:10" x14ac:dyDescent="0.2">
      <c r="A57" s="2" t="s">
        <v>1564</v>
      </c>
      <c r="B57" s="2">
        <v>7.1945839759819803</v>
      </c>
      <c r="C57" s="2">
        <v>1446.5090741547851</v>
      </c>
      <c r="D57" s="2">
        <v>220.79478401488464</v>
      </c>
      <c r="E57" s="2">
        <v>1.5</v>
      </c>
      <c r="F57" s="2">
        <v>94</v>
      </c>
      <c r="G57" s="2">
        <f t="shared" si="1"/>
        <v>32.917782914863729</v>
      </c>
    </row>
    <row r="58" spans="1:10" x14ac:dyDescent="0.2">
      <c r="A58" s="2" t="s">
        <v>1565</v>
      </c>
      <c r="B58" s="2">
        <v>13.535399999999999</v>
      </c>
      <c r="C58" s="2">
        <v>4993.37</v>
      </c>
      <c r="D58" s="2">
        <v>296.072</v>
      </c>
      <c r="E58" s="2">
        <v>20</v>
      </c>
      <c r="F58" s="2">
        <v>40</v>
      </c>
      <c r="G58" s="2">
        <f t="shared" si="1"/>
        <v>2.5543266768337611E-2</v>
      </c>
    </row>
    <row r="59" spans="1:10" x14ac:dyDescent="0.2">
      <c r="A59" s="2" t="s">
        <v>1566</v>
      </c>
      <c r="B59" s="2">
        <v>8.6223299999999998</v>
      </c>
      <c r="C59" s="2">
        <v>2165.7199999999998</v>
      </c>
      <c r="D59" s="2">
        <v>198.28399999999999</v>
      </c>
      <c r="E59" s="2">
        <v>20</v>
      </c>
      <c r="F59" s="2">
        <v>40</v>
      </c>
      <c r="G59" s="2">
        <f t="shared" si="1"/>
        <v>0.19894973090427759</v>
      </c>
    </row>
    <row r="62" spans="1:10" x14ac:dyDescent="0.2">
      <c r="G62" t="s">
        <v>1847</v>
      </c>
      <c r="H62" t="s">
        <v>1848</v>
      </c>
      <c r="J62" t="e">
        <f>VLOOKUP(L6,A64:H227,8,TRUE)</f>
        <v>#N/A</v>
      </c>
    </row>
    <row r="63" spans="1:10" x14ac:dyDescent="0.2">
      <c r="A63" s="2" t="s">
        <v>1849</v>
      </c>
      <c r="B63" t="s">
        <v>1850</v>
      </c>
      <c r="C63" t="s">
        <v>1452</v>
      </c>
      <c r="D63" t="s">
        <v>1453</v>
      </c>
      <c r="E63" t="s">
        <v>1454</v>
      </c>
      <c r="F63" t="s">
        <v>1851</v>
      </c>
      <c r="G63" t="s">
        <v>2530</v>
      </c>
      <c r="H63" t="s">
        <v>2531</v>
      </c>
    </row>
    <row r="64" spans="1:10" x14ac:dyDescent="0.2">
      <c r="A64" s="2" t="s">
        <v>1683</v>
      </c>
      <c r="B64">
        <v>9.4854000000000003</v>
      </c>
      <c r="C64">
        <v>926.13199999999995</v>
      </c>
      <c r="D64">
        <v>-32.979999999999997</v>
      </c>
      <c r="E64">
        <v>193.03</v>
      </c>
      <c r="F64">
        <v>254.31</v>
      </c>
      <c r="G64">
        <f>10^(B64-C64/(D64+$C$2))</f>
        <v>1280713.5710112511</v>
      </c>
      <c r="H64">
        <f>G64/133</f>
        <v>9629.4253459492556</v>
      </c>
    </row>
    <row r="65" spans="1:8" x14ac:dyDescent="0.2">
      <c r="A65" s="2" t="s">
        <v>1684</v>
      </c>
      <c r="B65">
        <v>11.480600000000001</v>
      </c>
      <c r="C65">
        <v>3703.7</v>
      </c>
      <c r="D65">
        <v>-41.15</v>
      </c>
      <c r="E65">
        <v>494</v>
      </c>
      <c r="F65">
        <v>640.5</v>
      </c>
      <c r="G65">
        <f>10^(B65-C65/(D65+$C$2))</f>
        <v>3.6050873291480737E-3</v>
      </c>
      <c r="H65">
        <f t="shared" ref="H65:H128" si="2">G65/133</f>
        <v>2.7105919768030631E-5</v>
      </c>
    </row>
    <row r="66" spans="1:8" x14ac:dyDescent="0.2">
      <c r="A66" s="2" t="s">
        <v>1685</v>
      </c>
      <c r="B66">
        <v>9.7989099999999993</v>
      </c>
      <c r="C66">
        <v>2819.63</v>
      </c>
      <c r="D66">
        <v>-26.13</v>
      </c>
      <c r="E66">
        <v>460</v>
      </c>
      <c r="F66">
        <v>653</v>
      </c>
      <c r="G66">
        <f>10^(B66-C66/(D66+$C$2))</f>
        <v>0.58257744897975161</v>
      </c>
      <c r="H66">
        <f t="shared" si="2"/>
        <v>4.3802815712763281E-3</v>
      </c>
    </row>
    <row r="67" spans="1:8" x14ac:dyDescent="0.2">
      <c r="A67" s="2" t="s">
        <v>1686</v>
      </c>
      <c r="B67">
        <v>8.7414100000000001</v>
      </c>
      <c r="C67">
        <v>304.22699999999998</v>
      </c>
      <c r="D67">
        <v>-5.83</v>
      </c>
      <c r="E67">
        <v>82.59</v>
      </c>
      <c r="F67">
        <v>94.26</v>
      </c>
      <c r="G67">
        <f>10^(B67-C67/(D67+$C$2))</f>
        <v>53921560.121454038</v>
      </c>
      <c r="H67">
        <f t="shared" si="2"/>
        <v>405425.26407108299</v>
      </c>
    </row>
    <row r="68" spans="1:8" x14ac:dyDescent="0.2">
      <c r="A68" s="2" t="s">
        <v>1687</v>
      </c>
      <c r="B68">
        <v>8.9852299999999996</v>
      </c>
      <c r="C68">
        <v>1184.24</v>
      </c>
      <c r="D68">
        <v>-55.578000000000003</v>
      </c>
      <c r="E68">
        <v>279.64</v>
      </c>
      <c r="F68">
        <v>377.06</v>
      </c>
      <c r="G68">
        <f>10^(B68-C68/(D68+$C$2))</f>
        <v>18961.377316588198</v>
      </c>
      <c r="H68">
        <f t="shared" si="2"/>
        <v>142.56674674126464</v>
      </c>
    </row>
    <row r="69" spans="1:8" x14ac:dyDescent="0.2">
      <c r="A69" s="2" t="s">
        <v>1688</v>
      </c>
      <c r="B69">
        <v>9.4086999999999996</v>
      </c>
      <c r="C69">
        <v>1692.77</v>
      </c>
      <c r="D69">
        <v>-72.709999999999994</v>
      </c>
      <c r="E69">
        <v>349.86</v>
      </c>
      <c r="F69">
        <v>484.81</v>
      </c>
      <c r="G69">
        <f>10^(B69-C69/(D69+$C$2))</f>
        <v>154.24714959333073</v>
      </c>
      <c r="H69">
        <f t="shared" si="2"/>
        <v>1.1597530044611333</v>
      </c>
    </row>
    <row r="70" spans="1:8" x14ac:dyDescent="0.2">
      <c r="A70" s="2" t="s">
        <v>1689</v>
      </c>
      <c r="B70">
        <v>9.0027000000000008</v>
      </c>
      <c r="C70">
        <v>1119.68</v>
      </c>
      <c r="D70">
        <v>-51.77</v>
      </c>
      <c r="E70">
        <v>266</v>
      </c>
      <c r="F70">
        <v>354.25</v>
      </c>
      <c r="G70">
        <f>10^(B70-C70/(D70+$C$2))</f>
        <v>41527.10039352905</v>
      </c>
      <c r="H70">
        <f t="shared" si="2"/>
        <v>312.2338375453312</v>
      </c>
    </row>
    <row r="71" spans="1:8" x14ac:dyDescent="0.2">
      <c r="A71" s="2" t="s">
        <v>1690</v>
      </c>
      <c r="B71">
        <v>9.3985800000000008</v>
      </c>
      <c r="C71">
        <v>1219.28</v>
      </c>
      <c r="D71">
        <v>-36.75</v>
      </c>
      <c r="E71">
        <v>236.8</v>
      </c>
      <c r="F71">
        <v>334.31</v>
      </c>
      <c r="G71">
        <f>10^(B71-C71/(D71+$C$2))</f>
        <v>77519.042966090768</v>
      </c>
      <c r="H71">
        <f t="shared" si="2"/>
        <v>582.8499471134644</v>
      </c>
    </row>
    <row r="72" spans="1:8" x14ac:dyDescent="0.2">
      <c r="A72" s="2" t="s">
        <v>1691</v>
      </c>
      <c r="B72">
        <v>9.8546399999999998</v>
      </c>
      <c r="C72">
        <v>1673.95</v>
      </c>
      <c r="D72">
        <v>-53.67</v>
      </c>
      <c r="E72">
        <v>309.08999999999997</v>
      </c>
      <c r="F72">
        <v>421.28</v>
      </c>
      <c r="G72">
        <f>10^(B72-C72/(D72+$C$2))</f>
        <v>1781.4183726416259</v>
      </c>
      <c r="H72">
        <f t="shared" si="2"/>
        <v>13.394123102568615</v>
      </c>
    </row>
    <row r="73" spans="1:8" x14ac:dyDescent="0.2">
      <c r="A73" s="2" t="s">
        <v>1692</v>
      </c>
      <c r="B73">
        <v>8.9585000000000008</v>
      </c>
      <c r="C73">
        <v>933.04</v>
      </c>
      <c r="D73">
        <v>-33.15</v>
      </c>
      <c r="E73">
        <v>198</v>
      </c>
      <c r="F73">
        <v>288.26</v>
      </c>
      <c r="G73">
        <f>10^(B73-C73/(D73+$C$2))</f>
        <v>357474.05400632828</v>
      </c>
      <c r="H73">
        <f t="shared" si="2"/>
        <v>2687.774842152844</v>
      </c>
    </row>
    <row r="74" spans="1:8" x14ac:dyDescent="0.2">
      <c r="A74" s="2" t="s">
        <v>1693</v>
      </c>
      <c r="B74">
        <v>8.4002999999999997</v>
      </c>
      <c r="C74">
        <v>640.32000000000005</v>
      </c>
      <c r="D74">
        <v>-69.05</v>
      </c>
      <c r="E74">
        <v>194.5</v>
      </c>
      <c r="F74">
        <v>275.64999999999998</v>
      </c>
      <c r="G74">
        <f>10^(B74-C74/(D74+$C$2))</f>
        <v>514055.23447709932</v>
      </c>
      <c r="H74">
        <f t="shared" si="2"/>
        <v>3865.0769509556339</v>
      </c>
    </row>
    <row r="75" spans="1:8" x14ac:dyDescent="0.2">
      <c r="A75" s="2" t="s">
        <v>1694</v>
      </c>
      <c r="B75">
        <v>9.0448500000000003</v>
      </c>
      <c r="C75">
        <v>1090.8109999999999</v>
      </c>
      <c r="D75">
        <v>-41.44</v>
      </c>
      <c r="E75">
        <v>231.35</v>
      </c>
      <c r="F75">
        <v>332.8</v>
      </c>
      <c r="G75">
        <f>10^(B75-C75/(D75+$C$2))</f>
        <v>87012.390014824268</v>
      </c>
      <c r="H75">
        <f t="shared" si="2"/>
        <v>654.22849635206217</v>
      </c>
    </row>
    <row r="76" spans="1:8" x14ac:dyDescent="0.2">
      <c r="A76" s="2" t="s">
        <v>1695</v>
      </c>
      <c r="B76">
        <v>8.8963999999999999</v>
      </c>
      <c r="C76">
        <v>731.31</v>
      </c>
      <c r="D76">
        <v>-27.45</v>
      </c>
      <c r="E76">
        <v>158.1</v>
      </c>
      <c r="F76">
        <v>230.85</v>
      </c>
      <c r="G76">
        <f>10^(B76-C76/(D76+$C$2))</f>
        <v>1913274.088309445</v>
      </c>
      <c r="H76">
        <f t="shared" si="2"/>
        <v>14385.51946097327</v>
      </c>
    </row>
    <row r="77" spans="1:8" x14ac:dyDescent="0.2">
      <c r="A77" s="2" t="s">
        <v>1696</v>
      </c>
      <c r="B77">
        <v>8.9326600000000003</v>
      </c>
      <c r="C77">
        <v>935.77300000000002</v>
      </c>
      <c r="D77">
        <v>-34.360999999999997</v>
      </c>
      <c r="E77">
        <v>200.5</v>
      </c>
      <c r="F77">
        <v>292.02999999999997</v>
      </c>
      <c r="G77">
        <f>10^(B77-C77/(D77+$C$2))</f>
        <v>317884.05564636807</v>
      </c>
      <c r="H77">
        <f t="shared" si="2"/>
        <v>2390.1056815516395</v>
      </c>
    </row>
    <row r="78" spans="1:8" x14ac:dyDescent="0.2">
      <c r="A78" s="2" t="s">
        <v>1697</v>
      </c>
      <c r="B78">
        <v>9.8233999999999995</v>
      </c>
      <c r="C78">
        <v>1731.7080000000001</v>
      </c>
      <c r="D78">
        <v>-77.194999999999993</v>
      </c>
      <c r="E78">
        <v>342.7</v>
      </c>
      <c r="F78">
        <v>460.12</v>
      </c>
      <c r="G78">
        <f>10^(B78-C78/(D78+$C$2))</f>
        <v>196.22818947483182</v>
      </c>
      <c r="H78">
        <f t="shared" si="2"/>
        <v>1.4753999208633972</v>
      </c>
    </row>
    <row r="79" spans="1:8" x14ac:dyDescent="0.2">
      <c r="A79" s="2" t="s">
        <v>1698</v>
      </c>
      <c r="B79">
        <v>9.1386000000000003</v>
      </c>
      <c r="C79">
        <v>1232.6300000000001</v>
      </c>
      <c r="D79">
        <v>-54.46</v>
      </c>
      <c r="E79">
        <v>265.62</v>
      </c>
      <c r="F79">
        <v>375.66</v>
      </c>
      <c r="G79">
        <f>10^(B79-C79/(D79+$C$2))</f>
        <v>18220.807853482005</v>
      </c>
      <c r="H79">
        <f t="shared" si="2"/>
        <v>136.99855528933838</v>
      </c>
    </row>
    <row r="80" spans="1:8" x14ac:dyDescent="0.2">
      <c r="A80" s="2" t="s">
        <v>1699</v>
      </c>
      <c r="B80">
        <v>9.5</v>
      </c>
      <c r="C80">
        <v>1596.7</v>
      </c>
      <c r="D80">
        <v>-43.85</v>
      </c>
      <c r="E80">
        <v>301</v>
      </c>
      <c r="F80">
        <v>424.11</v>
      </c>
      <c r="G80">
        <f>10^(B80-C80/(D80+$C$2))</f>
        <v>2727.8134101869673</v>
      </c>
      <c r="H80">
        <f t="shared" si="2"/>
        <v>20.509875264563664</v>
      </c>
    </row>
    <row r="81" spans="1:8" x14ac:dyDescent="0.2">
      <c r="A81" s="2" t="s">
        <v>1700</v>
      </c>
      <c r="B81">
        <v>9.1034500000000005</v>
      </c>
      <c r="C81">
        <v>1575.47</v>
      </c>
      <c r="D81">
        <v>-71.95</v>
      </c>
      <c r="E81">
        <v>343.5</v>
      </c>
      <c r="F81">
        <v>486.2</v>
      </c>
      <c r="G81">
        <f>10^(B81-C81/(D81+$C$2))</f>
        <v>254.11080339145713</v>
      </c>
      <c r="H81">
        <f t="shared" si="2"/>
        <v>1.9106075442966701</v>
      </c>
    </row>
    <row r="82" spans="1:8" x14ac:dyDescent="0.2">
      <c r="A82" s="2" t="s">
        <v>1701</v>
      </c>
      <c r="B82">
        <v>8.8191199999999998</v>
      </c>
      <c r="C82">
        <v>291.74299999999999</v>
      </c>
      <c r="D82">
        <v>-5.1539999999999999</v>
      </c>
      <c r="E82">
        <v>69.73</v>
      </c>
      <c r="F82">
        <v>88.08</v>
      </c>
      <c r="G82">
        <f>10^(B82-C82/(D82+$C$2))</f>
        <v>71296921.954483256</v>
      </c>
      <c r="H82">
        <f t="shared" si="2"/>
        <v>536067.08236453577</v>
      </c>
    </row>
    <row r="83" spans="1:8" x14ac:dyDescent="0.2">
      <c r="A83" s="2" t="s">
        <v>1702</v>
      </c>
      <c r="B83">
        <v>9.0627999999999993</v>
      </c>
      <c r="C83">
        <v>861.34</v>
      </c>
      <c r="D83">
        <v>-26.82</v>
      </c>
      <c r="E83">
        <v>176.31</v>
      </c>
      <c r="F83">
        <v>255.79</v>
      </c>
      <c r="G83">
        <f>10^(B83-C83/(D83+$C$2))</f>
        <v>977703.08294049464</v>
      </c>
      <c r="H83">
        <f t="shared" si="2"/>
        <v>7351.1509995525912</v>
      </c>
    </row>
    <row r="84" spans="1:8" x14ac:dyDescent="0.2">
      <c r="A84" s="2" t="s">
        <v>1703</v>
      </c>
      <c r="B84">
        <v>8.3942300000000003</v>
      </c>
      <c r="C84">
        <v>653.05999999999995</v>
      </c>
      <c r="D84">
        <v>-66.55</v>
      </c>
      <c r="E84">
        <v>194.8</v>
      </c>
      <c r="F84">
        <v>277.68</v>
      </c>
      <c r="G84">
        <f>10^(B84-C84/(D84+$C$2))</f>
        <v>478555.6087965513</v>
      </c>
      <c r="H84">
        <f t="shared" si="2"/>
        <v>3598.1624721545209</v>
      </c>
    </row>
    <row r="85" spans="1:8" x14ac:dyDescent="0.2">
      <c r="A85" s="2" t="s">
        <v>1704</v>
      </c>
      <c r="B85">
        <v>9.0201200000000004</v>
      </c>
      <c r="C85">
        <v>1378.79</v>
      </c>
      <c r="D85">
        <v>-61.45</v>
      </c>
      <c r="E85">
        <v>302.5</v>
      </c>
      <c r="F85">
        <v>432.18</v>
      </c>
      <c r="G85">
        <f>10^(B85-C85/(D85+$C$2))</f>
        <v>2561.1740231533145</v>
      </c>
      <c r="H85">
        <f t="shared" si="2"/>
        <v>19.256947542506122</v>
      </c>
    </row>
    <row r="86" spans="1:8" x14ac:dyDescent="0.2">
      <c r="A86" s="2" t="s">
        <v>1705</v>
      </c>
      <c r="B86">
        <v>9.1325299999999991</v>
      </c>
      <c r="C86">
        <v>835.46199999999999</v>
      </c>
      <c r="D86">
        <v>-29.69</v>
      </c>
      <c r="E86">
        <v>173.13</v>
      </c>
      <c r="F86">
        <v>247.74</v>
      </c>
      <c r="G86">
        <f>10^(B86-C86/(D86+$C$2))</f>
        <v>1322580.4309767087</v>
      </c>
      <c r="H86">
        <f t="shared" si="2"/>
        <v>9944.2137667421703</v>
      </c>
    </row>
    <row r="87" spans="1:8" x14ac:dyDescent="0.2">
      <c r="A87" s="2" t="s">
        <v>1706</v>
      </c>
      <c r="B87">
        <v>9.0908800000000003</v>
      </c>
      <c r="C87">
        <v>1020.63</v>
      </c>
      <c r="D87">
        <v>-35.58</v>
      </c>
      <c r="E87">
        <v>211.86</v>
      </c>
      <c r="F87">
        <v>304.89</v>
      </c>
      <c r="G87">
        <f>10^(B87-C87/(D87+$C$2))</f>
        <v>215091.10985847388</v>
      </c>
      <c r="H87">
        <f t="shared" si="2"/>
        <v>1617.2263899133375</v>
      </c>
    </row>
    <row r="88" spans="1:8" x14ac:dyDescent="0.2">
      <c r="A88" s="2" t="s">
        <v>1707</v>
      </c>
      <c r="B88">
        <v>9.1653300000000009</v>
      </c>
      <c r="C88">
        <v>920.86</v>
      </c>
      <c r="D88">
        <v>-27.57</v>
      </c>
      <c r="E88">
        <v>184.6</v>
      </c>
      <c r="F88">
        <v>265.87</v>
      </c>
      <c r="G88">
        <f>10^(B88-C88/(D88+$C$2))</f>
        <v>744052.6987603805</v>
      </c>
      <c r="H88">
        <f t="shared" si="2"/>
        <v>5594.3811936870716</v>
      </c>
    </row>
    <row r="89" spans="1:8" x14ac:dyDescent="0.2">
      <c r="A89" s="2" t="s">
        <v>1708</v>
      </c>
      <c r="B89">
        <v>8.9035299999999999</v>
      </c>
      <c r="C89">
        <v>654.65599999999995</v>
      </c>
      <c r="D89">
        <v>-23.76</v>
      </c>
      <c r="E89">
        <v>140.61000000000001</v>
      </c>
      <c r="F89">
        <v>205.48</v>
      </c>
      <c r="G89">
        <f>10^(B89-C89/(D89+$C$2))</f>
        <v>3921402.5731600076</v>
      </c>
      <c r="H89">
        <f t="shared" si="2"/>
        <v>29484.229873383516</v>
      </c>
    </row>
    <row r="90" spans="1:8" x14ac:dyDescent="0.2">
      <c r="A90" s="2" t="s">
        <v>1709</v>
      </c>
      <c r="B90">
        <v>9.0040499999999994</v>
      </c>
      <c r="C90">
        <v>1259.8209999999999</v>
      </c>
      <c r="D90">
        <v>-49.62</v>
      </c>
      <c r="E90">
        <v>270.52</v>
      </c>
      <c r="F90">
        <v>389.83</v>
      </c>
      <c r="G90">
        <f>10^(B90-C90/(D90+$C$2))</f>
        <v>12945.272497623067</v>
      </c>
      <c r="H90">
        <f t="shared" si="2"/>
        <v>97.332875921977944</v>
      </c>
    </row>
    <row r="91" spans="1:8" x14ac:dyDescent="0.2">
      <c r="A91" s="2" t="s">
        <v>1710</v>
      </c>
      <c r="B91">
        <v>9.0095799999999997</v>
      </c>
      <c r="C91">
        <v>967.32</v>
      </c>
      <c r="D91">
        <v>-35.277000000000001</v>
      </c>
      <c r="E91">
        <v>204.73</v>
      </c>
      <c r="F91">
        <v>296.11</v>
      </c>
      <c r="G91">
        <f>10^(B91-C91/(D91+$C$2))</f>
        <v>282875.41599162313</v>
      </c>
      <c r="H91">
        <f t="shared" si="2"/>
        <v>2126.8828270046852</v>
      </c>
    </row>
    <row r="92" spans="1:8" x14ac:dyDescent="0.2">
      <c r="A92" s="2" t="s">
        <v>1711</v>
      </c>
      <c r="B92">
        <v>8.9679800000000007</v>
      </c>
      <c r="C92">
        <v>1052.44</v>
      </c>
      <c r="D92">
        <v>-44.457000000000001</v>
      </c>
      <c r="E92">
        <v>229.4</v>
      </c>
      <c r="F92">
        <v>331.46</v>
      </c>
      <c r="G92">
        <f>10^(B92-C92/(D92+$C$2))</f>
        <v>91544.104937517826</v>
      </c>
      <c r="H92">
        <f t="shared" si="2"/>
        <v>688.30154088359268</v>
      </c>
    </row>
    <row r="93" spans="1:8" x14ac:dyDescent="0.2">
      <c r="A93" s="2" t="s">
        <v>1712</v>
      </c>
      <c r="B93">
        <v>9.0001899999999999</v>
      </c>
      <c r="C93">
        <v>1594.46</v>
      </c>
      <c r="D93">
        <v>-69.757999999999996</v>
      </c>
      <c r="E93">
        <v>349.53</v>
      </c>
      <c r="F93">
        <v>500.79</v>
      </c>
      <c r="G93">
        <f>10^(B93-C93/(D93+$C$2))</f>
        <v>192.14095222065919</v>
      </c>
      <c r="H93">
        <f t="shared" si="2"/>
        <v>1.4446688136891668</v>
      </c>
    </row>
    <row r="94" spans="1:8" x14ac:dyDescent="0.2">
      <c r="A94" s="2" t="s">
        <v>1713</v>
      </c>
      <c r="B94">
        <v>9.0443599999999993</v>
      </c>
      <c r="C94">
        <v>1025.5</v>
      </c>
      <c r="D94">
        <v>-31.72</v>
      </c>
      <c r="E94">
        <v>210.2</v>
      </c>
      <c r="F94">
        <v>305.67</v>
      </c>
      <c r="G94">
        <f>10^(B94-C94/(D94+$C$2))</f>
        <v>209455.09537128758</v>
      </c>
      <c r="H94">
        <f t="shared" si="2"/>
        <v>1574.8503411375007</v>
      </c>
    </row>
    <row r="95" spans="1:8" x14ac:dyDescent="0.2">
      <c r="A95" s="2" t="s">
        <v>1714</v>
      </c>
      <c r="B95">
        <v>8.9633000000000003</v>
      </c>
      <c r="C95">
        <v>1322.2199700000001</v>
      </c>
      <c r="D95">
        <v>-57.853000000000002</v>
      </c>
      <c r="E95">
        <v>291.39999999999998</v>
      </c>
      <c r="F95">
        <v>418.89</v>
      </c>
      <c r="G95">
        <f>10^(B95-C95/(D95+$C$2))</f>
        <v>4565.684010895543</v>
      </c>
      <c r="H95">
        <f t="shared" si="2"/>
        <v>34.328451209740926</v>
      </c>
    </row>
    <row r="96" spans="1:8" x14ac:dyDescent="0.2">
      <c r="A96" s="2" t="s">
        <v>1715</v>
      </c>
      <c r="B96">
        <v>8.9300200000000007</v>
      </c>
      <c r="C96">
        <v>1182.7739999999999</v>
      </c>
      <c r="D96">
        <v>-52.531999999999996</v>
      </c>
      <c r="E96">
        <v>282.11</v>
      </c>
      <c r="F96">
        <v>378.46</v>
      </c>
      <c r="G96">
        <f>10^(B96-C96/(D96+$C$2))</f>
        <v>19263.3477286081</v>
      </c>
      <c r="H96">
        <f t="shared" si="2"/>
        <v>144.8372009669782</v>
      </c>
    </row>
    <row r="97" spans="1:8" x14ac:dyDescent="0.2">
      <c r="A97" s="2" t="s">
        <v>1716</v>
      </c>
      <c r="B97">
        <v>8.9812499999999993</v>
      </c>
      <c r="C97">
        <v>1434.67</v>
      </c>
      <c r="D97">
        <v>-63.438000000000002</v>
      </c>
      <c r="E97">
        <v>316</v>
      </c>
      <c r="F97">
        <v>453.27</v>
      </c>
      <c r="G97">
        <f>10^(B97-C97/(D97+$C$2))</f>
        <v>1243.1016152869206</v>
      </c>
      <c r="H97">
        <f t="shared" si="2"/>
        <v>9.3466286863678238</v>
      </c>
    </row>
    <row r="98" spans="1:8" x14ac:dyDescent="0.2">
      <c r="A98" s="2" t="s">
        <v>1717</v>
      </c>
      <c r="B98">
        <v>9.0678300000000007</v>
      </c>
      <c r="C98">
        <v>1152.5740000000001</v>
      </c>
      <c r="D98">
        <v>-38.64</v>
      </c>
      <c r="E98">
        <v>238.5</v>
      </c>
      <c r="F98">
        <v>344.62</v>
      </c>
      <c r="G98">
        <f>10^(B98-C98/(D98+$C$2))</f>
        <v>59614.138609270944</v>
      </c>
      <c r="H98">
        <f t="shared" si="2"/>
        <v>448.22660608474393</v>
      </c>
    </row>
    <row r="99" spans="1:8" x14ac:dyDescent="0.2">
      <c r="A99" s="2" t="s">
        <v>1718</v>
      </c>
      <c r="B99">
        <v>9.0308399999999995</v>
      </c>
      <c r="C99">
        <v>866.15</v>
      </c>
      <c r="D99">
        <v>-25.15</v>
      </c>
      <c r="E99">
        <v>176.3</v>
      </c>
      <c r="F99">
        <v>257.37</v>
      </c>
      <c r="G99">
        <f>10^(B99-C99/(D99+$C$2))</f>
        <v>910722.56930805056</v>
      </c>
      <c r="H99">
        <f t="shared" si="2"/>
        <v>6847.5381150981248</v>
      </c>
    </row>
    <row r="100" spans="1:8" x14ac:dyDescent="0.2">
      <c r="A100" s="2" t="s">
        <v>1719</v>
      </c>
      <c r="B100">
        <v>9.0685300000000009</v>
      </c>
      <c r="C100">
        <v>1495.17</v>
      </c>
      <c r="D100">
        <v>-79.292000000000002</v>
      </c>
      <c r="E100">
        <v>338.53</v>
      </c>
      <c r="F100">
        <v>476.15</v>
      </c>
      <c r="G100">
        <f>10^(B100-C100/(D100+$C$2))</f>
        <v>321.1294059611912</v>
      </c>
      <c r="H100">
        <f t="shared" si="2"/>
        <v>2.4145068117382795</v>
      </c>
    </row>
    <row r="101" spans="1:8" x14ac:dyDescent="0.2">
      <c r="A101" s="2" t="s">
        <v>1720</v>
      </c>
      <c r="B101">
        <v>8.1410199999999993</v>
      </c>
      <c r="C101">
        <v>77.134900000000002</v>
      </c>
      <c r="D101">
        <v>2.4700000000000002</v>
      </c>
      <c r="E101">
        <v>15.2</v>
      </c>
      <c r="F101">
        <v>18.97</v>
      </c>
      <c r="G101">
        <f>10^(B101-C101/(D101+$C$2))</f>
        <v>77963685.278012216</v>
      </c>
      <c r="H101">
        <f t="shared" si="2"/>
        <v>586193.12239106931</v>
      </c>
    </row>
    <row r="102" spans="1:8" x14ac:dyDescent="0.2">
      <c r="A102" s="2" t="s">
        <v>1721</v>
      </c>
      <c r="B102">
        <v>8.2872800000000009</v>
      </c>
      <c r="C102">
        <v>505.68</v>
      </c>
      <c r="D102">
        <v>-52.55</v>
      </c>
      <c r="E102">
        <v>185.2</v>
      </c>
      <c r="F102">
        <v>221.89</v>
      </c>
      <c r="G102">
        <f>10^(B102-C102/(D102+$C$2))</f>
        <v>2000348.2416655337</v>
      </c>
      <c r="H102">
        <f t="shared" si="2"/>
        <v>15040.212343349878</v>
      </c>
    </row>
    <row r="103" spans="1:8" x14ac:dyDescent="0.2">
      <c r="A103" s="2" t="s">
        <v>1722</v>
      </c>
      <c r="B103">
        <v>9.0608599999999999</v>
      </c>
      <c r="C103">
        <v>668.2</v>
      </c>
      <c r="D103">
        <v>-23.651</v>
      </c>
      <c r="E103">
        <v>160.44</v>
      </c>
      <c r="F103">
        <v>201.37</v>
      </c>
      <c r="G103">
        <f>10^(B103-C103/(D103+$C$2))</f>
        <v>5056909.6679168744</v>
      </c>
      <c r="H103">
        <f t="shared" si="2"/>
        <v>38021.877202382515</v>
      </c>
    </row>
    <row r="104" spans="1:8" x14ac:dyDescent="0.2">
      <c r="A104" s="2" t="s">
        <v>1723</v>
      </c>
      <c r="B104">
        <v>8.1410199999999993</v>
      </c>
      <c r="C104">
        <v>77.134900000000002</v>
      </c>
      <c r="D104">
        <v>2.4700000000000002</v>
      </c>
      <c r="E104">
        <v>15.73</v>
      </c>
      <c r="F104">
        <v>24.69</v>
      </c>
      <c r="G104">
        <f>10^(B104-C104/(D104+$C$2))</f>
        <v>77963685.278012216</v>
      </c>
      <c r="H104">
        <f t="shared" si="2"/>
        <v>586193.12239106931</v>
      </c>
    </row>
    <row r="105" spans="1:8" x14ac:dyDescent="0.2">
      <c r="A105" s="2" t="s">
        <v>1724</v>
      </c>
      <c r="B105">
        <v>7.7296399999999998</v>
      </c>
      <c r="C105">
        <v>414.68</v>
      </c>
      <c r="D105">
        <v>-85.28</v>
      </c>
      <c r="E105">
        <v>217.8</v>
      </c>
      <c r="F105">
        <v>256.02999999999997</v>
      </c>
      <c r="G105">
        <f>10^(B105-C105/(D105+$C$2))</f>
        <v>725466.89548643271</v>
      </c>
      <c r="H105">
        <f t="shared" si="2"/>
        <v>5454.6383119280654</v>
      </c>
    </row>
    <row r="106" spans="1:8" x14ac:dyDescent="0.2">
      <c r="A106" s="2" t="s">
        <v>1725</v>
      </c>
      <c r="B106">
        <v>10.04327</v>
      </c>
      <c r="C106">
        <v>1616.76</v>
      </c>
      <c r="D106">
        <v>-53.61</v>
      </c>
      <c r="E106">
        <v>335.17</v>
      </c>
      <c r="F106">
        <v>394.54</v>
      </c>
      <c r="G106">
        <f>10^(B106-C106/(D106+$C$2))</f>
        <v>4640.0719327467659</v>
      </c>
      <c r="H106">
        <f t="shared" si="2"/>
        <v>34.887758892832828</v>
      </c>
    </row>
    <row r="107" spans="1:8" x14ac:dyDescent="0.2">
      <c r="A107" s="2" t="s">
        <v>1726</v>
      </c>
      <c r="B107">
        <v>8.2531499999999998</v>
      </c>
      <c r="C107">
        <v>83.525099999999995</v>
      </c>
      <c r="D107">
        <v>2.0699999999999998</v>
      </c>
      <c r="E107">
        <v>17.57</v>
      </c>
      <c r="F107">
        <v>26.23</v>
      </c>
      <c r="G107">
        <f>10^(B107-C107/(D107+$C$2))</f>
        <v>96168877.788698718</v>
      </c>
      <c r="H107">
        <f t="shared" si="2"/>
        <v>723074.26908796025</v>
      </c>
    </row>
    <row r="108" spans="1:8" x14ac:dyDescent="0.2">
      <c r="A108" s="2" t="s">
        <v>1727</v>
      </c>
      <c r="B108">
        <v>9.1877999999999993</v>
      </c>
      <c r="C108">
        <v>1127.43</v>
      </c>
      <c r="D108">
        <v>-26.35</v>
      </c>
      <c r="E108">
        <v>217.8</v>
      </c>
      <c r="F108">
        <v>316.42</v>
      </c>
      <c r="G108">
        <f>10^(B108-C108/(D108+$C$2))</f>
        <v>148845.5644830245</v>
      </c>
      <c r="H108">
        <f t="shared" si="2"/>
        <v>1119.1395825791317</v>
      </c>
    </row>
    <row r="109" spans="1:8" x14ac:dyDescent="0.2">
      <c r="A109" s="2" t="s">
        <v>1728</v>
      </c>
      <c r="B109">
        <v>9.0117100000000008</v>
      </c>
      <c r="C109">
        <v>868.07600000000002</v>
      </c>
      <c r="D109">
        <v>-26.76</v>
      </c>
      <c r="E109">
        <v>178.77</v>
      </c>
      <c r="F109">
        <v>260.7</v>
      </c>
      <c r="G109">
        <f>10^(B109-C109/(D109+$C$2))</f>
        <v>823665.35734051012</v>
      </c>
      <c r="H109">
        <f t="shared" si="2"/>
        <v>6192.9726115827825</v>
      </c>
    </row>
    <row r="110" spans="1:8" x14ac:dyDescent="0.2">
      <c r="A110" s="2" t="s">
        <v>1729</v>
      </c>
      <c r="B110">
        <v>9.0247299999999999</v>
      </c>
      <c r="C110">
        <v>959.93399999999997</v>
      </c>
      <c r="D110">
        <v>-43.12</v>
      </c>
      <c r="E110">
        <v>210.83</v>
      </c>
      <c r="F110">
        <v>300.91000000000003</v>
      </c>
      <c r="G110">
        <f>10^(B110-C110/(D110+$C$2))</f>
        <v>244922.96676009713</v>
      </c>
      <c r="H110">
        <f t="shared" si="2"/>
        <v>1841.526065865392</v>
      </c>
    </row>
    <row r="111" spans="1:8" x14ac:dyDescent="0.2">
      <c r="A111" s="2" t="s">
        <v>1730</v>
      </c>
      <c r="B111">
        <v>9.0762199999999993</v>
      </c>
      <c r="C111">
        <v>1070.07</v>
      </c>
      <c r="D111">
        <v>-49.91</v>
      </c>
      <c r="E111">
        <v>235.2</v>
      </c>
      <c r="F111">
        <v>333.36</v>
      </c>
      <c r="G111">
        <f>10^(B111-C111/(D111+$C$2))</f>
        <v>82491.300633489242</v>
      </c>
      <c r="H111">
        <f t="shared" si="2"/>
        <v>620.23534310894172</v>
      </c>
    </row>
    <row r="112" spans="1:8" x14ac:dyDescent="0.2">
      <c r="A112" s="2" t="s">
        <v>1731</v>
      </c>
      <c r="B112">
        <v>9.1096199999999996</v>
      </c>
      <c r="C112">
        <v>1090.6400000000001</v>
      </c>
      <c r="D112">
        <v>-41.95</v>
      </c>
      <c r="E112">
        <v>229.71</v>
      </c>
      <c r="F112">
        <v>328.31</v>
      </c>
      <c r="G112">
        <f>10^(B112-C112/(D112+$C$2))</f>
        <v>99334.737007204501</v>
      </c>
      <c r="H112">
        <f t="shared" si="2"/>
        <v>746.8777218586805</v>
      </c>
    </row>
    <row r="113" spans="1:8" x14ac:dyDescent="0.2">
      <c r="A113" s="2" t="s">
        <v>1732</v>
      </c>
      <c r="B113">
        <v>9.2971199999999996</v>
      </c>
      <c r="C113">
        <v>833.13699999999994</v>
      </c>
      <c r="D113">
        <v>-27.29</v>
      </c>
      <c r="E113">
        <v>166.23</v>
      </c>
      <c r="F113">
        <v>235.78</v>
      </c>
      <c r="G113">
        <f>10^(B113-C113/(D113+$C$2))</f>
        <v>2089980.4583062988</v>
      </c>
      <c r="H113">
        <f t="shared" si="2"/>
        <v>15714.138784257886</v>
      </c>
    </row>
    <row r="114" spans="1:8" x14ac:dyDescent="0.2">
      <c r="A114" s="2" t="s">
        <v>1733</v>
      </c>
      <c r="B114">
        <v>9.0549999999999997</v>
      </c>
      <c r="C114">
        <v>1199</v>
      </c>
      <c r="D114">
        <v>-48.15</v>
      </c>
      <c r="E114">
        <v>256</v>
      </c>
      <c r="F114">
        <v>367.55</v>
      </c>
      <c r="G114">
        <f>10^(B114-C114/(D114+$C$2))</f>
        <v>26647.493850402559</v>
      </c>
      <c r="H114">
        <f t="shared" si="2"/>
        <v>200.35709661956813</v>
      </c>
    </row>
    <row r="115" spans="1:8" x14ac:dyDescent="0.2">
      <c r="A115" s="2" t="s">
        <v>1734</v>
      </c>
      <c r="B115">
        <v>9.4450000000000003</v>
      </c>
      <c r="C115">
        <v>2104</v>
      </c>
      <c r="D115">
        <v>-84.15</v>
      </c>
      <c r="E115">
        <v>426</v>
      </c>
      <c r="F115">
        <v>591.88</v>
      </c>
      <c r="G115">
        <f>10^(B115-C115/(D115+$C$2))</f>
        <v>1.0233458236711941</v>
      </c>
      <c r="H115">
        <f t="shared" si="2"/>
        <v>7.6943295012871738E-3</v>
      </c>
    </row>
    <row r="116" spans="1:8" x14ac:dyDescent="0.2">
      <c r="A116" s="2" t="s">
        <v>1735</v>
      </c>
      <c r="B116">
        <v>9.07</v>
      </c>
      <c r="C116">
        <v>1772</v>
      </c>
      <c r="D116">
        <v>-77.150000000000006</v>
      </c>
      <c r="E116">
        <v>384</v>
      </c>
      <c r="F116">
        <v>547.29999999999995</v>
      </c>
      <c r="G116">
        <f>10^(B116-C116/(D116+$C$2))</f>
        <v>23.208772631502352</v>
      </c>
      <c r="H116">
        <f t="shared" si="2"/>
        <v>0.17450204986091994</v>
      </c>
    </row>
    <row r="117" spans="1:8" x14ac:dyDescent="0.2">
      <c r="A117" s="2" t="s">
        <v>1736</v>
      </c>
      <c r="B117">
        <v>8.9320000000000004</v>
      </c>
      <c r="C117">
        <v>1488</v>
      </c>
      <c r="D117">
        <v>-64.150000000000006</v>
      </c>
      <c r="E117">
        <v>328</v>
      </c>
      <c r="F117">
        <v>473.96</v>
      </c>
      <c r="G117">
        <f>10^(B117-C117/(D117+$C$2))</f>
        <v>643.49208567768665</v>
      </c>
      <c r="H117">
        <f t="shared" si="2"/>
        <v>4.8382863584788467</v>
      </c>
    </row>
    <row r="118" spans="1:8" x14ac:dyDescent="0.2">
      <c r="A118" s="2" t="s">
        <v>1737</v>
      </c>
      <c r="B118">
        <v>9.4413599999999995</v>
      </c>
      <c r="C118">
        <v>1025.56</v>
      </c>
      <c r="D118">
        <v>-17.100000000000001</v>
      </c>
      <c r="E118">
        <v>184.1</v>
      </c>
      <c r="F118">
        <v>264.8</v>
      </c>
      <c r="G118">
        <f>10^(B118-C118/(D118+$C$2))</f>
        <v>804555.16700803686</v>
      </c>
      <c r="H118">
        <f t="shared" si="2"/>
        <v>6049.2869699852399</v>
      </c>
    </row>
    <row r="119" spans="1:8" x14ac:dyDescent="0.2">
      <c r="A119" s="2" t="s">
        <v>1738</v>
      </c>
      <c r="B119">
        <v>9.1288400000000003</v>
      </c>
      <c r="C119">
        <v>654.26</v>
      </c>
      <c r="D119">
        <v>-25.99</v>
      </c>
      <c r="E119">
        <v>180.82</v>
      </c>
      <c r="F119">
        <v>196.91</v>
      </c>
      <c r="G119">
        <f>10^(B119-C119/(D119+$C$2))</f>
        <v>6336326.9937673174</v>
      </c>
      <c r="H119">
        <f t="shared" si="2"/>
        <v>47641.556344115168</v>
      </c>
    </row>
    <row r="120" spans="1:8" x14ac:dyDescent="0.2">
      <c r="A120" s="2" t="s">
        <v>1739</v>
      </c>
      <c r="B120">
        <v>9.5098900000000004</v>
      </c>
      <c r="C120">
        <v>1185.722</v>
      </c>
      <c r="D120">
        <v>-38.97</v>
      </c>
      <c r="E120">
        <v>254.17</v>
      </c>
      <c r="F120">
        <v>320.69</v>
      </c>
      <c r="G120">
        <f>10^(B120-C120/(D120+$C$2))</f>
        <v>122609.39612415557</v>
      </c>
      <c r="H120">
        <f t="shared" si="2"/>
        <v>921.87515882823732</v>
      </c>
    </row>
    <row r="121" spans="1:8" x14ac:dyDescent="0.2">
      <c r="A121" s="2" t="s">
        <v>1740</v>
      </c>
      <c r="B121">
        <v>9.1806000000000001</v>
      </c>
      <c r="C121">
        <v>1862.64</v>
      </c>
      <c r="D121">
        <v>-91.5</v>
      </c>
      <c r="E121">
        <v>408.2</v>
      </c>
      <c r="F121">
        <v>571.70000000000005</v>
      </c>
      <c r="G121">
        <f>10^(B121-C121/(D121+$C$2))</f>
        <v>3.4935824292894448</v>
      </c>
      <c r="H121">
        <f t="shared" si="2"/>
        <v>2.6267537062326651E-2</v>
      </c>
    </row>
    <row r="122" spans="1:8" x14ac:dyDescent="0.2">
      <c r="A122" s="2" t="s">
        <v>1741</v>
      </c>
      <c r="B122">
        <v>9.1228499999999997</v>
      </c>
      <c r="C122">
        <v>1639.27</v>
      </c>
      <c r="D122">
        <v>-91.31</v>
      </c>
      <c r="E122">
        <v>372.89</v>
      </c>
      <c r="F122">
        <v>520.24</v>
      </c>
      <c r="G122">
        <f>10^(B122-C122/(D122+$C$2))</f>
        <v>33.729603077745594</v>
      </c>
      <c r="H122">
        <f t="shared" si="2"/>
        <v>0.25360603817853827</v>
      </c>
    </row>
    <row r="123" spans="1:8" x14ac:dyDescent="0.2">
      <c r="A123" s="2" t="s">
        <v>1742</v>
      </c>
      <c r="B123">
        <v>9.2771000000000008</v>
      </c>
      <c r="C123">
        <v>2032.7</v>
      </c>
      <c r="D123">
        <v>-141.05000000000001</v>
      </c>
      <c r="E123">
        <v>481.1</v>
      </c>
      <c r="F123">
        <v>652</v>
      </c>
      <c r="G123">
        <f>10^(B123-C123/(D123+$C$2))</f>
        <v>1.0946907564715364E-3</v>
      </c>
      <c r="H123">
        <f t="shared" si="2"/>
        <v>8.2307575674551607E-6</v>
      </c>
    </row>
    <row r="124" spans="1:8" x14ac:dyDescent="0.2">
      <c r="A124" s="2" t="s">
        <v>1743</v>
      </c>
      <c r="B124">
        <v>9.4339999999999993</v>
      </c>
      <c r="C124">
        <v>1102.8800000000001</v>
      </c>
      <c r="D124">
        <v>-40.700000000000003</v>
      </c>
      <c r="E124">
        <v>220.53</v>
      </c>
      <c r="F124">
        <v>307.55</v>
      </c>
      <c r="G124">
        <f>10^(B124-C124/(D124+$C$2))</f>
        <v>197168.22648452997</v>
      </c>
      <c r="H124">
        <f t="shared" si="2"/>
        <v>1482.4678683047366</v>
      </c>
    </row>
    <row r="125" spans="1:8" x14ac:dyDescent="0.2">
      <c r="A125" s="2" t="s">
        <v>1744</v>
      </c>
      <c r="B125">
        <v>8.9540500000000005</v>
      </c>
      <c r="C125">
        <v>663.72</v>
      </c>
      <c r="D125">
        <v>-16.469000000000001</v>
      </c>
      <c r="E125">
        <v>133.80000000000001</v>
      </c>
      <c r="F125">
        <v>198.16</v>
      </c>
      <c r="G125">
        <f>10^(B125-C125/(D125+$C$2))</f>
        <v>4685136.2829011315</v>
      </c>
      <c r="H125">
        <f t="shared" si="2"/>
        <v>35226.588593241591</v>
      </c>
    </row>
    <row r="126" spans="1:8" x14ac:dyDescent="0.2">
      <c r="A126" s="2" t="s">
        <v>1745</v>
      </c>
      <c r="B126">
        <v>9.0769599999999997</v>
      </c>
      <c r="C126">
        <v>1084.5309999999999</v>
      </c>
      <c r="D126">
        <v>-41.765000000000001</v>
      </c>
      <c r="E126">
        <v>229.5</v>
      </c>
      <c r="F126">
        <v>328.99</v>
      </c>
      <c r="G126">
        <f>10^(B126-C126/(D126+$C$2))</f>
        <v>97797.414177378989</v>
      </c>
      <c r="H126">
        <f t="shared" si="2"/>
        <v>735.31890358931571</v>
      </c>
    </row>
    <row r="127" spans="1:8" x14ac:dyDescent="0.2">
      <c r="A127" s="2" t="s">
        <v>1746</v>
      </c>
      <c r="B127">
        <v>9.5445600000000006</v>
      </c>
      <c r="C127">
        <v>1555.12</v>
      </c>
      <c r="D127">
        <v>-48.5</v>
      </c>
      <c r="E127">
        <v>297.58</v>
      </c>
      <c r="F127">
        <v>414.97</v>
      </c>
      <c r="G127">
        <f>10^(B127-C127/(D127+$C$2))</f>
        <v>3404.9500419620358</v>
      </c>
      <c r="H127">
        <f t="shared" si="2"/>
        <v>25.6011281350529</v>
      </c>
    </row>
    <row r="128" spans="1:8" x14ac:dyDescent="0.2">
      <c r="A128" s="2" t="s">
        <v>1747</v>
      </c>
      <c r="B128">
        <v>10.33675</v>
      </c>
      <c r="C128">
        <v>1648.22</v>
      </c>
      <c r="D128">
        <v>-42.231999999999999</v>
      </c>
      <c r="E128">
        <v>276.5</v>
      </c>
      <c r="F128">
        <v>369.54</v>
      </c>
      <c r="G128">
        <f>10^(B128-C128/(D128+$C$2))</f>
        <v>13035.470323152036</v>
      </c>
      <c r="H128">
        <f t="shared" si="2"/>
        <v>98.011055061293504</v>
      </c>
    </row>
    <row r="129" spans="1:8" x14ac:dyDescent="0.2">
      <c r="A129" s="2" t="s">
        <v>1748</v>
      </c>
      <c r="B129">
        <v>8.9138199999999994</v>
      </c>
      <c r="C129">
        <v>596.52599999999995</v>
      </c>
      <c r="D129">
        <v>-16.78</v>
      </c>
      <c r="E129">
        <v>123.06</v>
      </c>
      <c r="F129">
        <v>181.9</v>
      </c>
      <c r="G129">
        <f>10^(B129-C129/(D129+$C$2))</f>
        <v>7235272.2861596216</v>
      </c>
      <c r="H129">
        <f t="shared" ref="H129:H192" si="3">G129/133</f>
        <v>54400.543504959562</v>
      </c>
    </row>
    <row r="130" spans="1:8" x14ac:dyDescent="0.2">
      <c r="A130" s="2" t="s">
        <v>1749</v>
      </c>
      <c r="B130">
        <v>8.2745599999999992</v>
      </c>
      <c r="C130">
        <v>921.56</v>
      </c>
      <c r="D130">
        <v>-112.77</v>
      </c>
      <c r="E130">
        <v>298</v>
      </c>
      <c r="F130">
        <v>422.69</v>
      </c>
      <c r="G130">
        <f>10^(B130-C130/(D130+$C$2))</f>
        <v>3416.1525889199138</v>
      </c>
      <c r="H130">
        <f t="shared" si="3"/>
        <v>25.685357811427924</v>
      </c>
    </row>
    <row r="131" spans="1:8" x14ac:dyDescent="0.2">
      <c r="A131" s="2" t="s">
        <v>1750</v>
      </c>
      <c r="B131">
        <v>9.1336099999999991</v>
      </c>
      <c r="C131">
        <v>1195.1300000000001</v>
      </c>
      <c r="D131">
        <v>-60.68</v>
      </c>
      <c r="E131">
        <v>265.5</v>
      </c>
      <c r="F131">
        <v>372.51</v>
      </c>
      <c r="G131">
        <f>10^(B131-C131/(D131+$C$2))</f>
        <v>19258.49271297994</v>
      </c>
      <c r="H131">
        <f t="shared" si="3"/>
        <v>144.80069709007475</v>
      </c>
    </row>
    <row r="132" spans="1:8" x14ac:dyDescent="0.2">
      <c r="A132" s="2" t="s">
        <v>1751</v>
      </c>
      <c r="B132">
        <v>9.0789899999999992</v>
      </c>
      <c r="C132">
        <v>1101</v>
      </c>
      <c r="D132">
        <v>-57.17</v>
      </c>
      <c r="E132">
        <v>247.8</v>
      </c>
      <c r="F132">
        <v>348.6</v>
      </c>
      <c r="G132">
        <f>10^(B132-C132/(D132+$C$2))</f>
        <v>47275.665574503226</v>
      </c>
      <c r="H132">
        <f t="shared" si="3"/>
        <v>355.45613213912202</v>
      </c>
    </row>
    <row r="133" spans="1:8" x14ac:dyDescent="0.2">
      <c r="A133" s="2" t="s">
        <v>1752</v>
      </c>
      <c r="B133">
        <v>9.1440000000000001</v>
      </c>
      <c r="C133">
        <v>1274.7</v>
      </c>
      <c r="D133">
        <v>-64.150000000000006</v>
      </c>
      <c r="E133">
        <v>282.39999999999998</v>
      </c>
      <c r="F133">
        <v>395.85</v>
      </c>
      <c r="G133">
        <f>10^(B133-C133/(D133+$C$2))</f>
        <v>7912.632356867055</v>
      </c>
      <c r="H133">
        <f t="shared" si="3"/>
        <v>59.493476367421465</v>
      </c>
    </row>
    <row r="134" spans="1:8" x14ac:dyDescent="0.2">
      <c r="A134" s="2" t="s">
        <v>1753</v>
      </c>
      <c r="B134">
        <v>8.8364799999999999</v>
      </c>
      <c r="C134">
        <v>1052.47</v>
      </c>
      <c r="D134">
        <v>-62.27</v>
      </c>
      <c r="E134">
        <v>252.4</v>
      </c>
      <c r="F134">
        <v>359.96</v>
      </c>
      <c r="G134">
        <f>10^(B134-C134/(D134+$C$2))</f>
        <v>34560.418058285468</v>
      </c>
      <c r="H134">
        <f t="shared" si="3"/>
        <v>259.85276735552981</v>
      </c>
    </row>
    <row r="135" spans="1:8" x14ac:dyDescent="0.2">
      <c r="A135" s="2" t="s">
        <v>1754</v>
      </c>
      <c r="B135">
        <v>9.0686099999999996</v>
      </c>
      <c r="C135">
        <v>1415.77</v>
      </c>
      <c r="D135">
        <v>-60.85</v>
      </c>
      <c r="E135">
        <v>306.32</v>
      </c>
      <c r="F135">
        <v>436.63</v>
      </c>
      <c r="G135">
        <f>10^(B135-C135/(D135+$C$2))</f>
        <v>2091.497455904087</v>
      </c>
      <c r="H135">
        <f t="shared" si="3"/>
        <v>15.725544781233737</v>
      </c>
    </row>
    <row r="136" spans="1:8" x14ac:dyDescent="0.2">
      <c r="A136" s="2" t="s">
        <v>1755</v>
      </c>
      <c r="B136">
        <v>9.0040800000000001</v>
      </c>
      <c r="C136">
        <v>1293.712</v>
      </c>
      <c r="D136">
        <v>-53.03</v>
      </c>
      <c r="E136">
        <v>279.88</v>
      </c>
      <c r="F136">
        <v>402.39</v>
      </c>
      <c r="G136">
        <f>10^(B136-C136/(D136+$C$2))</f>
        <v>8187.1140835985416</v>
      </c>
      <c r="H136">
        <f t="shared" si="3"/>
        <v>61.557248748861213</v>
      </c>
    </row>
    <row r="137" spans="1:8" x14ac:dyDescent="0.2">
      <c r="A137" s="2" t="s">
        <v>1756</v>
      </c>
      <c r="B137">
        <v>8.6737400000000004</v>
      </c>
      <c r="C137">
        <v>528.66999999999996</v>
      </c>
      <c r="D137">
        <v>-44.36</v>
      </c>
      <c r="E137">
        <v>191.44</v>
      </c>
      <c r="F137">
        <v>201.11</v>
      </c>
      <c r="G137">
        <f>10^(B137-C137/(D137+$C$2))</f>
        <v>4591785.1765596066</v>
      </c>
      <c r="H137">
        <f t="shared" si="3"/>
        <v>34524.70057563614</v>
      </c>
    </row>
    <row r="138" spans="1:8" x14ac:dyDescent="0.2">
      <c r="A138" s="2" t="s">
        <v>1757</v>
      </c>
      <c r="B138">
        <v>8.8907799999999995</v>
      </c>
      <c r="C138">
        <v>304.35000000000002</v>
      </c>
      <c r="D138">
        <v>-6.61</v>
      </c>
      <c r="E138">
        <v>61</v>
      </c>
      <c r="F138">
        <v>91.39</v>
      </c>
      <c r="G138">
        <f>10^(B138-C138/(D138+$C$2))</f>
        <v>75527101.640472338</v>
      </c>
      <c r="H138">
        <f t="shared" si="3"/>
        <v>567872.94466520555</v>
      </c>
    </row>
    <row r="139" spans="1:8" x14ac:dyDescent="0.2">
      <c r="A139" s="2" t="s">
        <v>1758</v>
      </c>
      <c r="B139">
        <v>9.2199799999999996</v>
      </c>
      <c r="C139">
        <v>897.36800000000005</v>
      </c>
      <c r="D139">
        <v>-22.49</v>
      </c>
      <c r="E139">
        <v>174.1</v>
      </c>
      <c r="F139">
        <v>251.47</v>
      </c>
      <c r="G139">
        <f>10^(B139-C139/(D139+$C$2))</f>
        <v>1168313.9669058844</v>
      </c>
      <c r="H139">
        <f t="shared" si="3"/>
        <v>8784.3155406457481</v>
      </c>
    </row>
    <row r="140" spans="1:8" x14ac:dyDescent="0.2">
      <c r="A140" s="2" t="s">
        <v>1759</v>
      </c>
      <c r="B140">
        <v>9.19421</v>
      </c>
      <c r="C140">
        <v>734.22199999999998</v>
      </c>
      <c r="D140">
        <v>-19.579999999999998</v>
      </c>
      <c r="E140">
        <v>144.16999999999999</v>
      </c>
      <c r="F140">
        <v>208.17</v>
      </c>
      <c r="G140">
        <f>10^(B140-C140/(D140+$C$2))</f>
        <v>4375382.1939040255</v>
      </c>
      <c r="H140">
        <f t="shared" si="3"/>
        <v>32897.610480481395</v>
      </c>
    </row>
    <row r="141" spans="1:8" x14ac:dyDescent="0.2">
      <c r="A141" s="2" t="s">
        <v>1760</v>
      </c>
      <c r="B141">
        <v>6.6836000000000002</v>
      </c>
      <c r="C141">
        <v>8.1547999999999998</v>
      </c>
      <c r="D141">
        <v>0.56000000000000005</v>
      </c>
      <c r="E141">
        <v>1.85</v>
      </c>
      <c r="F141">
        <v>5.34</v>
      </c>
      <c r="G141">
        <f>10^(B141-C141/(D141+$C$2))</f>
        <v>4540445.0476489244</v>
      </c>
      <c r="H141">
        <f t="shared" si="3"/>
        <v>34138.684568788907</v>
      </c>
    </row>
    <row r="142" spans="1:8" x14ac:dyDescent="0.2">
      <c r="A142" s="2" t="s">
        <v>1761</v>
      </c>
      <c r="B142">
        <v>6.3975</v>
      </c>
      <c r="C142">
        <v>5.5940000000000003</v>
      </c>
      <c r="D142">
        <v>0.69</v>
      </c>
      <c r="E142">
        <v>1.1200000000000001</v>
      </c>
      <c r="F142">
        <v>4.41</v>
      </c>
      <c r="G142">
        <f>10^(B142-C142/(D142+$C$2))</f>
        <v>2395125.2126990715</v>
      </c>
      <c r="H142">
        <f t="shared" si="3"/>
        <v>18008.460245857681</v>
      </c>
    </row>
    <row r="143" spans="1:8" x14ac:dyDescent="0.2">
      <c r="A143" s="2" t="s">
        <v>1762</v>
      </c>
      <c r="B143">
        <v>9.1392000000000007</v>
      </c>
      <c r="C143">
        <v>1865.1</v>
      </c>
      <c r="D143">
        <v>-123.95</v>
      </c>
      <c r="E143">
        <v>443.5</v>
      </c>
      <c r="F143">
        <v>610</v>
      </c>
      <c r="G143">
        <f>10^(B143-C143/(D143+$C$2))</f>
        <v>9.0891473499616737E-2</v>
      </c>
      <c r="H143">
        <f t="shared" si="3"/>
        <v>6.8339453759110329E-4</v>
      </c>
    </row>
    <row r="144" spans="1:8" x14ac:dyDescent="0.2">
      <c r="A144" s="2" t="s">
        <v>1763</v>
      </c>
      <c r="B144">
        <v>9.0202299999999997</v>
      </c>
      <c r="C144">
        <v>1263.9090000000001</v>
      </c>
      <c r="D144">
        <v>-56.718000000000004</v>
      </c>
      <c r="E144">
        <v>277.70999999999998</v>
      </c>
      <c r="F144">
        <v>396.53</v>
      </c>
      <c r="G144">
        <f>10^(B144-C144/(D144+$C$2))</f>
        <v>9404.053019805644</v>
      </c>
      <c r="H144">
        <f t="shared" si="3"/>
        <v>70.707165562448452</v>
      </c>
    </row>
    <row r="145" spans="1:8" x14ac:dyDescent="0.2">
      <c r="A145" s="2" t="s">
        <v>1764</v>
      </c>
      <c r="B145">
        <v>9.1535700000000002</v>
      </c>
      <c r="C145">
        <v>1830.51</v>
      </c>
      <c r="D145">
        <v>-118.7</v>
      </c>
      <c r="E145">
        <v>431.47</v>
      </c>
      <c r="F145">
        <v>593.79999999999995</v>
      </c>
      <c r="G145">
        <f>10^(B145-C145/(D145+$C$2))</f>
        <v>0.27546415347703879</v>
      </c>
      <c r="H145">
        <f t="shared" si="3"/>
        <v>2.0711590486995396E-3</v>
      </c>
    </row>
    <row r="146" spans="1:8" x14ac:dyDescent="0.2">
      <c r="A146" s="2" t="s">
        <v>1765</v>
      </c>
      <c r="B146">
        <v>8.6838800000000003</v>
      </c>
      <c r="C146">
        <v>572.73299999999995</v>
      </c>
      <c r="D146">
        <v>-39.5</v>
      </c>
      <c r="E146">
        <v>175.65</v>
      </c>
      <c r="F146">
        <v>208.8</v>
      </c>
      <c r="G146">
        <f>10^(B146-C146/(D146+$C$2))</f>
        <v>3499628.7563737631</v>
      </c>
      <c r="H146">
        <f t="shared" si="3"/>
        <v>26312.998168223781</v>
      </c>
    </row>
    <row r="147" spans="1:8" x14ac:dyDescent="0.2">
      <c r="A147" s="2" t="s">
        <v>1766</v>
      </c>
      <c r="B147">
        <v>9.0013900000000007</v>
      </c>
      <c r="C147">
        <v>1170.875</v>
      </c>
      <c r="D147">
        <v>-48.832999999999998</v>
      </c>
      <c r="E147">
        <v>254.24</v>
      </c>
      <c r="F147">
        <v>365.25</v>
      </c>
      <c r="G147">
        <f>10^(B147-C147/(D147+$C$2))</f>
        <v>29422.804165639736</v>
      </c>
      <c r="H147">
        <f t="shared" si="3"/>
        <v>221.22409147097545</v>
      </c>
    </row>
    <row r="148" spans="1:8" x14ac:dyDescent="0.2">
      <c r="A148" s="2" t="s">
        <v>1767</v>
      </c>
      <c r="B148">
        <v>9.9268000000000001</v>
      </c>
      <c r="C148">
        <v>1679.07</v>
      </c>
      <c r="D148">
        <v>-45.45</v>
      </c>
      <c r="E148">
        <v>298.89999999999998</v>
      </c>
      <c r="F148">
        <v>408.43</v>
      </c>
      <c r="G148">
        <f>10^(B148-C148/(D148+$C$2))</f>
        <v>3241.8230117287826</v>
      </c>
      <c r="H148">
        <f t="shared" si="3"/>
        <v>24.374609110742725</v>
      </c>
    </row>
    <row r="149" spans="1:8" x14ac:dyDescent="0.2">
      <c r="A149" s="2" t="s">
        <v>1768</v>
      </c>
      <c r="B149">
        <v>7.93954</v>
      </c>
      <c r="C149">
        <v>66.795400000000001</v>
      </c>
      <c r="D149">
        <v>2.5</v>
      </c>
      <c r="E149">
        <v>10.25</v>
      </c>
      <c r="F149">
        <v>22.82</v>
      </c>
      <c r="G149">
        <f>10^(B149-C149/(D149+$C$2))</f>
        <v>52945300.95379445</v>
      </c>
      <c r="H149">
        <f t="shared" si="3"/>
        <v>398084.96957740188</v>
      </c>
    </row>
    <row r="150" spans="1:8" x14ac:dyDescent="0.2">
      <c r="A150" s="2" t="s">
        <v>1769</v>
      </c>
      <c r="B150">
        <v>8.4124300000000005</v>
      </c>
      <c r="C150">
        <v>540.82000000000005</v>
      </c>
      <c r="D150">
        <v>-47.71</v>
      </c>
      <c r="E150">
        <v>185.1</v>
      </c>
      <c r="F150">
        <v>221.53</v>
      </c>
      <c r="G150">
        <f>10^(B150-C150/(D150+$C$2))</f>
        <v>2127469.0012789853</v>
      </c>
      <c r="H150">
        <f t="shared" si="3"/>
        <v>15996.007528413424</v>
      </c>
    </row>
    <row r="151" spans="1:8" x14ac:dyDescent="0.2">
      <c r="A151" s="2" t="s">
        <v>1770</v>
      </c>
      <c r="B151">
        <v>9.2949000000000002</v>
      </c>
      <c r="C151">
        <v>745.78</v>
      </c>
      <c r="D151">
        <v>-14.27</v>
      </c>
      <c r="E151">
        <v>159.97</v>
      </c>
      <c r="F151">
        <v>201</v>
      </c>
      <c r="G151">
        <f>10^(B151-C151/(D151+$C$2))</f>
        <v>5604448.5575329391</v>
      </c>
      <c r="H151">
        <f t="shared" si="3"/>
        <v>42138.710958894277</v>
      </c>
    </row>
    <row r="152" spans="1:8" x14ac:dyDescent="0.2">
      <c r="A152" s="2" t="s">
        <v>1771</v>
      </c>
      <c r="B152">
        <v>9.8058800000000002</v>
      </c>
      <c r="C152">
        <v>1475.6</v>
      </c>
      <c r="D152">
        <v>14.73</v>
      </c>
      <c r="E152">
        <v>212.1</v>
      </c>
      <c r="F152">
        <v>312.83</v>
      </c>
      <c r="G152">
        <f>10^(B152-C152/(D152+$C$2))</f>
        <v>166556.9897946635</v>
      </c>
      <c r="H152">
        <f t="shared" si="3"/>
        <v>1252.3081939448384</v>
      </c>
    </row>
    <row r="153" spans="1:8" x14ac:dyDescent="0.2">
      <c r="A153" s="2" t="s">
        <v>1772</v>
      </c>
      <c r="B153">
        <v>7.6980300000000002</v>
      </c>
      <c r="C153">
        <v>405.33</v>
      </c>
      <c r="D153">
        <v>-87.02</v>
      </c>
      <c r="E153">
        <v>217.9</v>
      </c>
      <c r="F153">
        <v>256.12</v>
      </c>
      <c r="G153">
        <f>10^(B153-C153/(D153+$C$2))</f>
        <v>718967.00886364933</v>
      </c>
      <c r="H153">
        <f t="shared" si="3"/>
        <v>5405.7669839372129</v>
      </c>
    </row>
    <row r="154" spans="1:8" x14ac:dyDescent="0.2">
      <c r="A154" s="2" t="s">
        <v>1773</v>
      </c>
      <c r="B154">
        <v>9.7603000000000009</v>
      </c>
      <c r="C154">
        <v>927.6</v>
      </c>
      <c r="D154">
        <v>-33.15</v>
      </c>
      <c r="E154">
        <v>177</v>
      </c>
      <c r="F154">
        <v>213</v>
      </c>
      <c r="G154">
        <f>10^(B154-C154/(D154+$C$2))</f>
        <v>2370819.7701690113</v>
      </c>
      <c r="H154">
        <f t="shared" si="3"/>
        <v>17825.71255766174</v>
      </c>
    </row>
    <row r="155" spans="1:8" x14ac:dyDescent="0.2">
      <c r="A155" s="2" t="s">
        <v>1774</v>
      </c>
      <c r="B155">
        <v>9.2288200000000007</v>
      </c>
      <c r="C155">
        <v>806.93299999999999</v>
      </c>
      <c r="D155">
        <v>-21.76</v>
      </c>
      <c r="E155">
        <v>185.51</v>
      </c>
      <c r="F155">
        <v>227.2</v>
      </c>
      <c r="G155">
        <f>10^(B155-C155/(D155+$C$2))</f>
        <v>2519679.5791379837</v>
      </c>
      <c r="H155">
        <f t="shared" si="3"/>
        <v>18944.959241638975</v>
      </c>
    </row>
    <row r="156" spans="1:8" x14ac:dyDescent="0.2">
      <c r="A156" s="2" t="s">
        <v>1775</v>
      </c>
      <c r="B156">
        <v>7.9492799999999999</v>
      </c>
      <c r="C156">
        <v>67.507800000000003</v>
      </c>
      <c r="D156">
        <v>2.5499999999999998</v>
      </c>
      <c r="E156">
        <v>13.33</v>
      </c>
      <c r="F156">
        <v>22.94</v>
      </c>
      <c r="G156">
        <f>10^(B156-C156/(D156+$C$2))</f>
        <v>53864416.144114241</v>
      </c>
      <c r="H156">
        <f t="shared" si="3"/>
        <v>404995.6101061221</v>
      </c>
    </row>
    <row r="157" spans="1:8" x14ac:dyDescent="0.2">
      <c r="A157" s="2" t="s">
        <v>1776</v>
      </c>
      <c r="B157">
        <v>9.1431000000000004</v>
      </c>
      <c r="C157">
        <v>1611.9</v>
      </c>
      <c r="D157">
        <v>-67.97</v>
      </c>
      <c r="E157">
        <v>392.49</v>
      </c>
      <c r="F157">
        <v>487.51</v>
      </c>
      <c r="G157">
        <f>10^(B157-C157/(D157+$C$2))</f>
        <v>253.41022868008875</v>
      </c>
      <c r="H157">
        <f t="shared" si="3"/>
        <v>1.9053400652638253</v>
      </c>
    </row>
    <row r="158" spans="1:8" x14ac:dyDescent="0.2">
      <c r="A158" s="2" t="s">
        <v>1777</v>
      </c>
      <c r="B158">
        <v>8.7555999999999994</v>
      </c>
      <c r="C158">
        <v>416.38</v>
      </c>
      <c r="D158">
        <v>-8.6999999999999993</v>
      </c>
      <c r="E158">
        <v>111.34</v>
      </c>
      <c r="F158">
        <v>129.22999999999999</v>
      </c>
      <c r="G158">
        <f>10^(B158-C158/(D158+$C$2))</f>
        <v>22932871.37742009</v>
      </c>
      <c r="H158">
        <f t="shared" si="3"/>
        <v>172427.60434150443</v>
      </c>
    </row>
    <row r="159" spans="1:8" x14ac:dyDescent="0.2">
      <c r="A159" s="2" t="s">
        <v>1778</v>
      </c>
      <c r="B159">
        <v>9.5442</v>
      </c>
      <c r="C159">
        <v>1050.6600000000001</v>
      </c>
      <c r="D159">
        <v>-35.32</v>
      </c>
      <c r="E159">
        <v>203.61</v>
      </c>
      <c r="F159">
        <v>282.93</v>
      </c>
      <c r="G159">
        <f>10^(B159-C159/(D159+$C$2))</f>
        <v>477599.32197898591</v>
      </c>
      <c r="H159">
        <f t="shared" si="3"/>
        <v>3590.9723457066611</v>
      </c>
    </row>
    <row r="160" spans="1:8" x14ac:dyDescent="0.2">
      <c r="A160" s="2" t="s">
        <v>1779</v>
      </c>
      <c r="B160">
        <v>8.7687000000000008</v>
      </c>
      <c r="C160">
        <v>395.74400000000003</v>
      </c>
      <c r="D160">
        <v>-6.4690000000000003</v>
      </c>
      <c r="E160">
        <v>92.64</v>
      </c>
      <c r="F160">
        <v>120.59</v>
      </c>
      <c r="G160">
        <f>10^(B160-C160/(D160+$C$2))</f>
        <v>28349213.472963374</v>
      </c>
      <c r="H160">
        <f t="shared" si="3"/>
        <v>213151.98099972462</v>
      </c>
    </row>
    <row r="161" spans="1:8" x14ac:dyDescent="0.2">
      <c r="A161" s="2" t="s">
        <v>1780</v>
      </c>
      <c r="B161">
        <v>9.1565300000000001</v>
      </c>
      <c r="C161">
        <v>1015.547</v>
      </c>
      <c r="D161">
        <v>-34.444000000000003</v>
      </c>
      <c r="E161">
        <v>207.8</v>
      </c>
      <c r="F161">
        <v>297.85000000000002</v>
      </c>
      <c r="G161">
        <f>10^(B161-C161/(D161+$C$2))</f>
        <v>270749.20966713561</v>
      </c>
      <c r="H161">
        <f t="shared" si="3"/>
        <v>2035.7083433619218</v>
      </c>
    </row>
    <row r="162" spans="1:8" x14ac:dyDescent="0.2">
      <c r="A162" s="2" t="s">
        <v>1781</v>
      </c>
      <c r="B162">
        <v>10.202769999999999</v>
      </c>
      <c r="C162">
        <v>1580.08</v>
      </c>
      <c r="D162">
        <v>-33.65</v>
      </c>
      <c r="E162">
        <v>262.58999999999997</v>
      </c>
      <c r="F162">
        <v>356</v>
      </c>
      <c r="G162">
        <f>10^(B162-C162/(D162+$C$2))</f>
        <v>26638.651139229678</v>
      </c>
      <c r="H162">
        <f t="shared" si="3"/>
        <v>200.29061006939608</v>
      </c>
    </row>
    <row r="163" spans="1:8" x14ac:dyDescent="0.2">
      <c r="A163" s="2" t="s">
        <v>1782</v>
      </c>
      <c r="B163">
        <v>9.1064100000000003</v>
      </c>
      <c r="C163">
        <v>1271.06</v>
      </c>
      <c r="D163">
        <v>-65.94</v>
      </c>
      <c r="E163">
        <v>284.89999999999998</v>
      </c>
      <c r="F163">
        <v>399.96</v>
      </c>
      <c r="G163">
        <f>10^(B163-C163/(D163+$C$2))</f>
        <v>6869.0046565380908</v>
      </c>
      <c r="H163">
        <f t="shared" si="3"/>
        <v>51.646651552917973</v>
      </c>
    </row>
    <row r="164" spans="1:8" x14ac:dyDescent="0.2">
      <c r="A164" s="2" t="s">
        <v>1783</v>
      </c>
      <c r="B164">
        <v>9.1862100000000009</v>
      </c>
      <c r="C164">
        <v>1156.43</v>
      </c>
      <c r="D164">
        <v>-53.46</v>
      </c>
      <c r="E164">
        <v>249.9</v>
      </c>
      <c r="F164">
        <v>351.11</v>
      </c>
      <c r="G164">
        <f>10^(B164-C164/(D164+$C$2))</f>
        <v>42439.722639840365</v>
      </c>
      <c r="H164">
        <f t="shared" si="3"/>
        <v>319.09565894616816</v>
      </c>
    </row>
    <row r="165" spans="1:8" x14ac:dyDescent="0.2">
      <c r="A165" s="2" t="s">
        <v>1784</v>
      </c>
      <c r="B165">
        <v>8.0068300000000008</v>
      </c>
      <c r="C165">
        <v>504.49</v>
      </c>
      <c r="D165">
        <v>-112.4</v>
      </c>
      <c r="E165">
        <v>232</v>
      </c>
      <c r="F165">
        <v>298.85000000000002</v>
      </c>
      <c r="G165">
        <f>10^(B165-C165/(D165+$C$2))</f>
        <v>260843.91267782985</v>
      </c>
      <c r="H165">
        <f t="shared" si="3"/>
        <v>1961.2324261490967</v>
      </c>
    </row>
    <row r="166" spans="1:8" x14ac:dyDescent="0.2">
      <c r="A166" s="2" t="s">
        <v>1785</v>
      </c>
      <c r="B166">
        <v>9.2952899999999996</v>
      </c>
      <c r="C166">
        <v>1125.2</v>
      </c>
      <c r="D166">
        <v>-42.59</v>
      </c>
      <c r="E166">
        <v>230.3</v>
      </c>
      <c r="F166">
        <v>324.29000000000002</v>
      </c>
      <c r="G166">
        <f>10^(B166-C166/(D166+$C$2))</f>
        <v>110202.26331217305</v>
      </c>
      <c r="H166">
        <f t="shared" si="3"/>
        <v>828.58844595618837</v>
      </c>
    </row>
    <row r="167" spans="1:8" x14ac:dyDescent="0.2">
      <c r="A167" s="2" t="s">
        <v>1786</v>
      </c>
      <c r="B167">
        <v>8.9874500000000008</v>
      </c>
      <c r="C167">
        <v>1129.57</v>
      </c>
      <c r="D167">
        <v>-68.91</v>
      </c>
      <c r="E167">
        <v>267.5</v>
      </c>
      <c r="F167">
        <v>375.32</v>
      </c>
      <c r="G167">
        <f>10^(B167-C167/(D167+$C$2))</f>
        <v>17625.389260655265</v>
      </c>
      <c r="H167">
        <f t="shared" si="3"/>
        <v>132.52172376432532</v>
      </c>
    </row>
    <row r="168" spans="1:8" x14ac:dyDescent="0.2">
      <c r="A168" s="2" t="s">
        <v>1787</v>
      </c>
      <c r="B168">
        <v>8.9823199999999996</v>
      </c>
      <c r="C168">
        <v>1290.9680000000001</v>
      </c>
      <c r="D168">
        <v>-49.448999999999998</v>
      </c>
      <c r="E168">
        <v>276.68</v>
      </c>
      <c r="F168">
        <v>400.13</v>
      </c>
      <c r="G168">
        <f>10^(B168-C168/(D168+$C$2))</f>
        <v>9392.0935981145685</v>
      </c>
      <c r="H168">
        <f t="shared" si="3"/>
        <v>70.617245098605778</v>
      </c>
    </row>
    <row r="169" spans="1:8" x14ac:dyDescent="0.2">
      <c r="A169" s="2" t="s">
        <v>1788</v>
      </c>
      <c r="B169">
        <v>9.1819900000000008</v>
      </c>
      <c r="C169">
        <v>1295.5429999999999</v>
      </c>
      <c r="D169">
        <v>-34.76</v>
      </c>
      <c r="E169">
        <v>255.06</v>
      </c>
      <c r="F169">
        <v>368.58</v>
      </c>
      <c r="G169">
        <f>10^(B169-C169/(D169+$C$2))</f>
        <v>26655.315359091011</v>
      </c>
      <c r="H169">
        <f t="shared" si="3"/>
        <v>200.41590495557151</v>
      </c>
    </row>
    <row r="170" spans="1:8" x14ac:dyDescent="0.2">
      <c r="A170" s="2" t="s">
        <v>1789</v>
      </c>
      <c r="B170">
        <v>9.1355500000000003</v>
      </c>
      <c r="C170">
        <v>1733.71</v>
      </c>
      <c r="D170">
        <v>-71.290999999999997</v>
      </c>
      <c r="E170">
        <v>368.44</v>
      </c>
      <c r="F170">
        <v>523.4</v>
      </c>
      <c r="G170">
        <f>10^(B170-C170/(D170+$C$2))</f>
        <v>60.943796080686262</v>
      </c>
      <c r="H170">
        <f t="shared" si="3"/>
        <v>0.45822403068185158</v>
      </c>
    </row>
    <row r="171" spans="1:8" x14ac:dyDescent="0.2">
      <c r="A171" s="2" t="s">
        <v>1790</v>
      </c>
      <c r="B171">
        <v>8.2093399999999992</v>
      </c>
      <c r="C171">
        <v>78.38</v>
      </c>
      <c r="D171">
        <v>-2.6</v>
      </c>
      <c r="E171">
        <v>24.33</v>
      </c>
      <c r="F171">
        <v>29.55</v>
      </c>
      <c r="G171">
        <f>10^(B171-C171/(D171+$C$2))</f>
        <v>89531668.302768901</v>
      </c>
      <c r="H171">
        <f t="shared" si="3"/>
        <v>673170.43836668343</v>
      </c>
    </row>
    <row r="172" spans="1:8" x14ac:dyDescent="0.2">
      <c r="A172" s="2" t="s">
        <v>1791</v>
      </c>
      <c r="B172">
        <v>8.6194699999999997</v>
      </c>
      <c r="C172">
        <v>255.68</v>
      </c>
      <c r="D172">
        <v>-6.6</v>
      </c>
      <c r="E172">
        <v>60.81</v>
      </c>
      <c r="F172">
        <v>83.65</v>
      </c>
      <c r="G172">
        <f>10^(B172-C172/(D172+$C$2))</f>
        <v>58716878.945267871</v>
      </c>
      <c r="H172">
        <f t="shared" si="3"/>
        <v>441480.29282156297</v>
      </c>
    </row>
    <row r="173" spans="1:8" x14ac:dyDescent="0.2">
      <c r="A173" s="2" t="s">
        <v>1792</v>
      </c>
      <c r="B173">
        <v>8.9582999999999995</v>
      </c>
      <c r="C173">
        <v>654.54999999999995</v>
      </c>
      <c r="D173">
        <v>-35.15</v>
      </c>
      <c r="E173">
        <v>151</v>
      </c>
      <c r="F173">
        <v>214.12</v>
      </c>
      <c r="G173">
        <f>10^(B173-C173/(D173+$C$2))</f>
        <v>3563413.1347204032</v>
      </c>
      <c r="H173">
        <f t="shared" si="3"/>
        <v>26792.579960303785</v>
      </c>
    </row>
    <row r="174" spans="1:8" x14ac:dyDescent="0.2">
      <c r="A174" s="2" t="s">
        <v>1793</v>
      </c>
      <c r="B174">
        <v>10.867900000000001</v>
      </c>
      <c r="C174">
        <v>682.93859999999995</v>
      </c>
      <c r="D174">
        <v>-4.88</v>
      </c>
      <c r="E174">
        <v>106.94</v>
      </c>
      <c r="F174">
        <v>127.56</v>
      </c>
      <c r="G174">
        <f>10^(B174-C174/(D174+$C$2))</f>
        <v>406007326.29839569</v>
      </c>
      <c r="H174">
        <f t="shared" si="3"/>
        <v>3052686.6638977118</v>
      </c>
    </row>
    <row r="175" spans="1:8" x14ac:dyDescent="0.2">
      <c r="A175" s="2" t="s">
        <v>1794</v>
      </c>
      <c r="B175">
        <v>9.48644</v>
      </c>
      <c r="C175">
        <v>1094.73</v>
      </c>
      <c r="D175">
        <v>-23.45</v>
      </c>
      <c r="E175">
        <v>209.4</v>
      </c>
      <c r="F175">
        <v>285.01</v>
      </c>
      <c r="G175">
        <f>10^(B175-C175/(D175+$C$2))</f>
        <v>424307.53801062593</v>
      </c>
      <c r="H175">
        <f t="shared" si="3"/>
        <v>3190.282240681398</v>
      </c>
    </row>
    <row r="176" spans="1:8" x14ac:dyDescent="0.2">
      <c r="A176" s="2" t="s">
        <v>1795</v>
      </c>
      <c r="B176">
        <v>8.90456</v>
      </c>
      <c r="C176">
        <v>501.91300000000001</v>
      </c>
      <c r="D176">
        <v>-57.15</v>
      </c>
      <c r="E176">
        <v>146.72</v>
      </c>
      <c r="F176">
        <v>196.43</v>
      </c>
      <c r="G176">
        <f>10^(B176-C176/(D176+$C$2))</f>
        <v>7886930.249031092</v>
      </c>
      <c r="H176">
        <f t="shared" si="3"/>
        <v>59300.227436323999</v>
      </c>
    </row>
    <row r="177" spans="1:8" x14ac:dyDescent="0.2">
      <c r="A177" s="2" t="s">
        <v>1796</v>
      </c>
      <c r="B177">
        <v>9.1402000000000001</v>
      </c>
      <c r="C177">
        <v>1932.8</v>
      </c>
      <c r="D177">
        <v>-135.55000000000001</v>
      </c>
      <c r="E177">
        <v>466.5</v>
      </c>
      <c r="F177">
        <v>639</v>
      </c>
      <c r="G177">
        <f>10^(B177-C177/(D177+$C$2))</f>
        <v>7.5300305226281951E-3</v>
      </c>
      <c r="H177">
        <f t="shared" si="3"/>
        <v>5.6616770846828536E-5</v>
      </c>
    </row>
    <row r="178" spans="1:8" x14ac:dyDescent="0.2">
      <c r="A178" s="2" t="s">
        <v>1797</v>
      </c>
      <c r="B178">
        <v>9.0735600000000005</v>
      </c>
      <c r="C178">
        <v>1438.03</v>
      </c>
      <c r="D178">
        <v>-70.456000000000003</v>
      </c>
      <c r="E178">
        <v>319.57</v>
      </c>
      <c r="F178">
        <v>451.64</v>
      </c>
      <c r="G178">
        <f>10^(B178-C178/(D178+$C$2))</f>
        <v>995.58553195104844</v>
      </c>
      <c r="H178">
        <f t="shared" si="3"/>
        <v>7.4856055033913416</v>
      </c>
    </row>
    <row r="179" spans="1:8" x14ac:dyDescent="0.2">
      <c r="A179" s="2" t="s">
        <v>1798</v>
      </c>
      <c r="B179">
        <v>9.1271000000000004</v>
      </c>
      <c r="C179">
        <v>1894.3</v>
      </c>
      <c r="D179">
        <v>-129.85</v>
      </c>
      <c r="E179">
        <v>455</v>
      </c>
      <c r="F179">
        <v>625</v>
      </c>
      <c r="G179">
        <f>10^(B179-C179/(D179+$C$2))</f>
        <v>2.7729934501391489E-2</v>
      </c>
      <c r="H179">
        <f t="shared" si="3"/>
        <v>2.0849574813076307E-4</v>
      </c>
    </row>
    <row r="180" spans="1:8" x14ac:dyDescent="0.2">
      <c r="A180" s="2" t="s">
        <v>1799</v>
      </c>
      <c r="B180">
        <v>9.0507500000000007</v>
      </c>
      <c r="C180">
        <v>1356.36</v>
      </c>
      <c r="D180">
        <v>-63.515000000000001</v>
      </c>
      <c r="E180">
        <v>299.42</v>
      </c>
      <c r="F180">
        <v>425.23</v>
      </c>
      <c r="G180">
        <f>10^(B180-C180/(D180+$C$2))</f>
        <v>3044.8758290926103</v>
      </c>
      <c r="H180">
        <f t="shared" si="3"/>
        <v>22.893803226260228</v>
      </c>
    </row>
    <row r="181" spans="1:8" x14ac:dyDescent="0.2">
      <c r="A181" s="2" t="s">
        <v>1800</v>
      </c>
      <c r="B181">
        <v>8.8163400000000003</v>
      </c>
      <c r="C181">
        <v>319.01299999999998</v>
      </c>
      <c r="D181">
        <v>-6.45</v>
      </c>
      <c r="E181">
        <v>64.290000000000006</v>
      </c>
      <c r="F181">
        <v>97.2</v>
      </c>
      <c r="G181">
        <f>10^(B181-C181/(D181+$C$2))</f>
        <v>56942793.576330982</v>
      </c>
      <c r="H181">
        <f t="shared" si="3"/>
        <v>428141.30508519534</v>
      </c>
    </row>
    <row r="182" spans="1:8" x14ac:dyDescent="0.2">
      <c r="A182" s="2" t="s">
        <v>1801</v>
      </c>
      <c r="B182">
        <v>9.3610900000000008</v>
      </c>
      <c r="C182">
        <v>545.04999999999995</v>
      </c>
      <c r="D182">
        <v>-3.24</v>
      </c>
      <c r="E182">
        <v>93.1</v>
      </c>
      <c r="F182">
        <v>137.4</v>
      </c>
      <c r="G182">
        <f>10^(B182-C182/(D182+$C$2))</f>
        <v>36951443.636597618</v>
      </c>
      <c r="H182">
        <f t="shared" si="3"/>
        <v>277830.40328268887</v>
      </c>
    </row>
    <row r="183" spans="1:8" x14ac:dyDescent="0.2">
      <c r="A183" s="2" t="s">
        <v>1802</v>
      </c>
      <c r="B183">
        <v>8.9619999999999997</v>
      </c>
      <c r="C183">
        <v>552.5</v>
      </c>
      <c r="D183">
        <v>-22.15</v>
      </c>
      <c r="E183">
        <v>120</v>
      </c>
      <c r="F183">
        <v>173.07</v>
      </c>
      <c r="G183">
        <f>10^(B183-C183/(D183+$C$2))</f>
        <v>10553669.965037728</v>
      </c>
      <c r="H183">
        <f t="shared" si="3"/>
        <v>79350.901992764877</v>
      </c>
    </row>
    <row r="184" spans="1:8" x14ac:dyDescent="0.2">
      <c r="A184" s="2" t="s">
        <v>1803</v>
      </c>
      <c r="B184">
        <v>9.1484900000000007</v>
      </c>
      <c r="C184">
        <v>1789.95</v>
      </c>
      <c r="D184">
        <v>-111.77</v>
      </c>
      <c r="E184">
        <v>417.8</v>
      </c>
      <c r="F184">
        <v>576.9</v>
      </c>
      <c r="G184">
        <f>10^(B184-C184/(D184+$C$2))</f>
        <v>0.97076066874162081</v>
      </c>
      <c r="H184">
        <f t="shared" si="3"/>
        <v>7.29895239655354E-3</v>
      </c>
    </row>
    <row r="185" spans="1:8" x14ac:dyDescent="0.2">
      <c r="A185" s="2" t="s">
        <v>1804</v>
      </c>
      <c r="B185">
        <v>9.1339199999999998</v>
      </c>
      <c r="C185">
        <v>800.86900000000003</v>
      </c>
      <c r="D185">
        <v>-31.06</v>
      </c>
      <c r="E185">
        <v>168.36</v>
      </c>
      <c r="F185">
        <v>240.01</v>
      </c>
      <c r="G185">
        <f>10^(B185-C185/(D185+$C$2))</f>
        <v>1710671.5095994929</v>
      </c>
      <c r="H185">
        <f t="shared" si="3"/>
        <v>12862.191801499946</v>
      </c>
    </row>
    <row r="186" spans="1:8" x14ac:dyDescent="0.2">
      <c r="A186" s="2" t="s">
        <v>1805</v>
      </c>
      <c r="B186">
        <v>8.9778599999999997</v>
      </c>
      <c r="C186">
        <v>1064.8399999999999</v>
      </c>
      <c r="D186">
        <v>-41.136000000000003</v>
      </c>
      <c r="E186">
        <v>228.71</v>
      </c>
      <c r="F186">
        <v>330.75</v>
      </c>
      <c r="G186">
        <f>10^(B186-C186/(D186+$C$2))</f>
        <v>94387.131273940962</v>
      </c>
      <c r="H186">
        <f t="shared" si="3"/>
        <v>709.67767875143579</v>
      </c>
    </row>
    <row r="187" spans="1:8" x14ac:dyDescent="0.2">
      <c r="A187" s="2" t="s">
        <v>1806</v>
      </c>
      <c r="B187">
        <v>9.1692</v>
      </c>
      <c r="C187">
        <v>1405.8</v>
      </c>
      <c r="D187">
        <v>-121.35</v>
      </c>
      <c r="E187">
        <v>361</v>
      </c>
      <c r="F187">
        <v>484.78</v>
      </c>
      <c r="G187">
        <f>10^(B187-C187/(D187+$C$2))</f>
        <v>40.086651891266364</v>
      </c>
      <c r="H187">
        <f t="shared" si="3"/>
        <v>0.30140339767869445</v>
      </c>
    </row>
    <row r="188" spans="1:8" x14ac:dyDescent="0.2">
      <c r="A188" s="2" t="s">
        <v>1807</v>
      </c>
      <c r="B188">
        <v>9.0200899999999997</v>
      </c>
      <c r="C188">
        <v>791.72699999999998</v>
      </c>
      <c r="D188">
        <v>-29.27</v>
      </c>
      <c r="E188">
        <v>167.8</v>
      </c>
      <c r="F188">
        <v>242.15</v>
      </c>
      <c r="G188">
        <f>10^(B188-C188/(D188+$C$2))</f>
        <v>1482249.4370818981</v>
      </c>
      <c r="H188">
        <f t="shared" si="3"/>
        <v>11144.732609638331</v>
      </c>
    </row>
    <row r="189" spans="1:8" x14ac:dyDescent="0.2">
      <c r="A189" s="2" t="s">
        <v>1808</v>
      </c>
      <c r="B189">
        <v>9.3708100000000005</v>
      </c>
      <c r="C189">
        <v>2329.54</v>
      </c>
      <c r="D189">
        <v>-77.87</v>
      </c>
      <c r="E189">
        <v>461.6</v>
      </c>
      <c r="F189">
        <v>650</v>
      </c>
      <c r="G189">
        <f>10^(B189-C189/(D189+$C$2))</f>
        <v>0.16239372594621529</v>
      </c>
      <c r="H189">
        <f t="shared" si="3"/>
        <v>1.2210054582422203E-3</v>
      </c>
    </row>
    <row r="190" spans="1:8" x14ac:dyDescent="0.2">
      <c r="A190" s="2" t="s">
        <v>1809</v>
      </c>
      <c r="B190">
        <v>9.2696000000000005</v>
      </c>
      <c r="C190">
        <v>1523.42</v>
      </c>
      <c r="D190">
        <v>-97.75</v>
      </c>
      <c r="E190">
        <v>353</v>
      </c>
      <c r="F190">
        <v>481.62</v>
      </c>
      <c r="G190">
        <f>10^(B190-C190/(D190+$C$2))</f>
        <v>98.72629878727551</v>
      </c>
      <c r="H190">
        <f t="shared" si="3"/>
        <v>0.74230299840056779</v>
      </c>
    </row>
    <row r="191" spans="1:8" x14ac:dyDescent="0.2">
      <c r="A191" s="2" t="s">
        <v>1810</v>
      </c>
      <c r="B191">
        <v>8.8404900000000008</v>
      </c>
      <c r="C191">
        <v>645.51199999999994</v>
      </c>
      <c r="D191">
        <v>-17.079999999999998</v>
      </c>
      <c r="E191">
        <v>137.44</v>
      </c>
      <c r="F191">
        <v>199.46</v>
      </c>
      <c r="G191">
        <f>10^(B191-C191/(D191+$C$2))</f>
        <v>4122149.2210111418</v>
      </c>
      <c r="H191">
        <f t="shared" si="3"/>
        <v>30993.603165497305</v>
      </c>
    </row>
    <row r="192" spans="1:8" x14ac:dyDescent="0.2">
      <c r="A192" s="2" t="s">
        <v>1811</v>
      </c>
      <c r="B192">
        <v>8.9282800000000009</v>
      </c>
      <c r="C192">
        <v>803.99699999999996</v>
      </c>
      <c r="D192">
        <v>-26.11</v>
      </c>
      <c r="E192">
        <v>168.9</v>
      </c>
      <c r="F192">
        <v>247.76</v>
      </c>
      <c r="G192">
        <f>10^(B192-C192/(D192+$C$2))</f>
        <v>1168121.2968359943</v>
      </c>
      <c r="H192">
        <f t="shared" si="3"/>
        <v>8782.8668935037167</v>
      </c>
    </row>
    <row r="193" spans="1:8" x14ac:dyDescent="0.2">
      <c r="A193" s="2" t="s">
        <v>1812</v>
      </c>
      <c r="B193">
        <v>9.7546599999999994</v>
      </c>
      <c r="C193">
        <v>1662.5820000000001</v>
      </c>
      <c r="D193">
        <v>-64.103999999999999</v>
      </c>
      <c r="E193">
        <v>321.72000000000003</v>
      </c>
      <c r="F193">
        <v>437.41</v>
      </c>
      <c r="G193">
        <f>10^(B193-C193/(D193+$C$2))</f>
        <v>820.45297669457432</v>
      </c>
      <c r="H193">
        <f t="shared" ref="H193:H227" si="4">G193/133</f>
        <v>6.1688193736434158</v>
      </c>
    </row>
    <row r="194" spans="1:8" x14ac:dyDescent="0.2">
      <c r="A194" s="2" t="s">
        <v>1813</v>
      </c>
      <c r="B194">
        <v>9.2184000000000008</v>
      </c>
      <c r="C194">
        <v>1197.01</v>
      </c>
      <c r="D194">
        <v>-45.09</v>
      </c>
      <c r="E194">
        <v>247.38</v>
      </c>
      <c r="F194">
        <v>350.65</v>
      </c>
      <c r="G194">
        <f>10^(B194-C194/(D194+$C$2))</f>
        <v>44740.988889209708</v>
      </c>
      <c r="H194">
        <f t="shared" si="4"/>
        <v>336.39841270082485</v>
      </c>
    </row>
    <row r="195" spans="1:8" x14ac:dyDescent="0.2">
      <c r="A195" s="2" t="s">
        <v>1814</v>
      </c>
      <c r="B195">
        <v>8.9560600000000008</v>
      </c>
      <c r="C195">
        <v>789.62400000000002</v>
      </c>
      <c r="D195">
        <v>-25.57</v>
      </c>
      <c r="E195">
        <v>165.2</v>
      </c>
      <c r="F195">
        <v>241.61</v>
      </c>
      <c r="G195">
        <f>10^(B195-C195/(D195+$C$2))</f>
        <v>1418398.7298440104</v>
      </c>
      <c r="H195">
        <f t="shared" si="4"/>
        <v>10664.652104090304</v>
      </c>
    </row>
    <row r="196" spans="1:8" x14ac:dyDescent="0.2">
      <c r="A196" s="2" t="s">
        <v>1815</v>
      </c>
      <c r="B196">
        <v>8.4045500000000004</v>
      </c>
      <c r="C196">
        <v>1019.49</v>
      </c>
      <c r="D196">
        <v>-116.55</v>
      </c>
      <c r="E196">
        <v>316</v>
      </c>
      <c r="F196">
        <v>445.04</v>
      </c>
      <c r="G196">
        <f>10^(B196-C196/(D196+$C$2))</f>
        <v>1136.8528365788536</v>
      </c>
      <c r="H196">
        <f t="shared" si="4"/>
        <v>8.5477656885628086</v>
      </c>
    </row>
    <row r="197" spans="1:8" x14ac:dyDescent="0.2">
      <c r="A197" s="2" t="s">
        <v>1816</v>
      </c>
      <c r="B197">
        <v>9.0554799999999993</v>
      </c>
      <c r="C197">
        <v>1233.46</v>
      </c>
      <c r="D197">
        <v>-70.069999999999993</v>
      </c>
      <c r="E197">
        <v>284.39999999999998</v>
      </c>
      <c r="F197">
        <v>398.6</v>
      </c>
      <c r="G197">
        <f>10^(B197-C197/(D197+$C$2))</f>
        <v>7124.6513608343648</v>
      </c>
      <c r="H197">
        <f t="shared" si="4"/>
        <v>53.568807224318533</v>
      </c>
    </row>
    <row r="198" spans="1:8" x14ac:dyDescent="0.2">
      <c r="A198" s="2" t="s">
        <v>1817</v>
      </c>
      <c r="B198">
        <v>8.9700799999999994</v>
      </c>
      <c r="C198">
        <v>1132.3</v>
      </c>
      <c r="D198">
        <v>-69.069999999999993</v>
      </c>
      <c r="E198">
        <v>268.89999999999998</v>
      </c>
      <c r="F198">
        <v>377.68</v>
      </c>
      <c r="G198">
        <f>10^(B198-C198/(D198+$C$2))</f>
        <v>16372.523342481692</v>
      </c>
      <c r="H198">
        <f t="shared" si="4"/>
        <v>123.10167926677964</v>
      </c>
    </row>
    <row r="199" spans="1:8" x14ac:dyDescent="0.2">
      <c r="A199" s="2" t="s">
        <v>1818</v>
      </c>
      <c r="B199">
        <v>9.4489000000000001</v>
      </c>
      <c r="C199">
        <v>1545.3</v>
      </c>
      <c r="D199">
        <v>-47.85</v>
      </c>
      <c r="E199">
        <v>299.2</v>
      </c>
      <c r="F199">
        <v>420.4</v>
      </c>
      <c r="G199">
        <f>10^(B199-C199/(D199+$C$2))</f>
        <v>3085.9837632492427</v>
      </c>
      <c r="H199">
        <f t="shared" si="4"/>
        <v>23.20288543796423</v>
      </c>
    </row>
    <row r="200" spans="1:8" x14ac:dyDescent="0.2">
      <c r="A200" s="2" t="s">
        <v>1819</v>
      </c>
      <c r="B200">
        <v>9.0766399999999994</v>
      </c>
      <c r="C200">
        <v>1491.8</v>
      </c>
      <c r="D200">
        <v>-65.900000000000006</v>
      </c>
      <c r="E200">
        <v>324.19</v>
      </c>
      <c r="F200">
        <v>461.01</v>
      </c>
      <c r="G200">
        <f>10^(B200-C200/(D200+$C$2))</f>
        <v>781.65130445774412</v>
      </c>
      <c r="H200">
        <f t="shared" si="4"/>
        <v>5.877077477125896</v>
      </c>
    </row>
    <row r="201" spans="1:8" x14ac:dyDescent="0.2">
      <c r="A201" s="2" t="s">
        <v>1820</v>
      </c>
      <c r="B201">
        <v>9.1674900000000008</v>
      </c>
      <c r="C201">
        <v>1373.0260000000001</v>
      </c>
      <c r="D201">
        <v>-58.46</v>
      </c>
      <c r="E201">
        <v>292.51</v>
      </c>
      <c r="F201">
        <v>413.57</v>
      </c>
      <c r="G201">
        <f>10^(B201-C201/(D201+$C$2))</f>
        <v>4430.5310109205029</v>
      </c>
      <c r="H201">
        <f t="shared" si="4"/>
        <v>33.31226324000378</v>
      </c>
    </row>
    <row r="202" spans="1:8" x14ac:dyDescent="0.2">
      <c r="A202" s="2" t="s">
        <v>1821</v>
      </c>
      <c r="B202">
        <v>9.1949000000000005</v>
      </c>
      <c r="C202">
        <v>1812.25</v>
      </c>
      <c r="D202">
        <v>-77.7</v>
      </c>
      <c r="E202">
        <v>385.18</v>
      </c>
      <c r="F202">
        <v>543.11</v>
      </c>
      <c r="G202">
        <f>10^(B202-C202/(D202+$C$2))</f>
        <v>19.799995448728943</v>
      </c>
      <c r="H202">
        <f t="shared" si="4"/>
        <v>0.14887214623104469</v>
      </c>
    </row>
    <row r="203" spans="1:8" x14ac:dyDescent="0.2">
      <c r="A203" s="2" t="s">
        <v>1822</v>
      </c>
      <c r="B203">
        <v>9.6204000000000001</v>
      </c>
      <c r="C203">
        <v>884.41</v>
      </c>
      <c r="D203">
        <v>-18.149999999999999</v>
      </c>
      <c r="E203">
        <v>158</v>
      </c>
      <c r="F203">
        <v>222.9</v>
      </c>
      <c r="G203">
        <f>10^(B203-C203/(D203+$C$2))</f>
        <v>3632099.9024472446</v>
      </c>
      <c r="H203">
        <f t="shared" si="4"/>
        <v>27309.021822911614</v>
      </c>
    </row>
    <row r="204" spans="1:8" x14ac:dyDescent="0.2">
      <c r="A204" s="2" t="s">
        <v>1823</v>
      </c>
      <c r="B204">
        <v>9.7565000000000008</v>
      </c>
      <c r="C204">
        <v>4213</v>
      </c>
      <c r="D204">
        <v>-71.150000000000006</v>
      </c>
      <c r="E204">
        <v>724</v>
      </c>
      <c r="F204">
        <v>1017</v>
      </c>
      <c r="G204">
        <f>10^(B204-C204/(D204+$C$2))</f>
        <v>8.0316557337816292E-9</v>
      </c>
      <c r="H204">
        <f t="shared" si="4"/>
        <v>6.0388388975801728E-11</v>
      </c>
    </row>
    <row r="205" spans="1:8" x14ac:dyDescent="0.2">
      <c r="A205" s="2" t="s">
        <v>1824</v>
      </c>
      <c r="B205">
        <v>8.9685299999999994</v>
      </c>
      <c r="C205">
        <v>2500.12</v>
      </c>
      <c r="D205">
        <v>-86.85</v>
      </c>
      <c r="E205">
        <v>527.98</v>
      </c>
      <c r="F205">
        <v>768.55</v>
      </c>
      <c r="G205">
        <f>10^(B205-C205/(D205+$C$2))</f>
        <v>4.1670018226890419E-3</v>
      </c>
      <c r="H205">
        <f t="shared" si="4"/>
        <v>3.1330840772098061E-5</v>
      </c>
    </row>
    <row r="206" spans="1:8" x14ac:dyDescent="0.2">
      <c r="A206" s="2" t="s">
        <v>1825</v>
      </c>
      <c r="B206">
        <v>9.4071999999999996</v>
      </c>
      <c r="C206">
        <v>999.9</v>
      </c>
      <c r="D206">
        <v>-35.96</v>
      </c>
      <c r="E206">
        <v>199.71</v>
      </c>
      <c r="F206">
        <v>279.47000000000003</v>
      </c>
      <c r="G206">
        <f>10^(B206-C206/(D206+$C$2))</f>
        <v>524949.03651923174</v>
      </c>
      <c r="H206">
        <f t="shared" si="4"/>
        <v>3946.9852369867049</v>
      </c>
    </row>
    <row r="207" spans="1:8" x14ac:dyDescent="0.2">
      <c r="A207" s="2" t="s">
        <v>1826</v>
      </c>
      <c r="B207">
        <v>10.540900000000001</v>
      </c>
      <c r="C207">
        <v>1096.5</v>
      </c>
      <c r="D207">
        <v>-11.15</v>
      </c>
      <c r="E207">
        <v>162</v>
      </c>
      <c r="F207">
        <v>220.4</v>
      </c>
      <c r="G207">
        <f>10^(B207-C207/(D207+$C$2))</f>
        <v>6862906.9107063906</v>
      </c>
      <c r="H207">
        <f t="shared" si="4"/>
        <v>51600.803839897671</v>
      </c>
    </row>
    <row r="208" spans="1:8" x14ac:dyDescent="0.2">
      <c r="A208" s="2" t="s">
        <v>1827</v>
      </c>
      <c r="B208">
        <v>8.9643999999999995</v>
      </c>
      <c r="C208">
        <v>823.4</v>
      </c>
      <c r="D208">
        <v>-25.15</v>
      </c>
      <c r="E208">
        <v>170</v>
      </c>
      <c r="F208">
        <v>249.92</v>
      </c>
      <c r="G208">
        <f>10^(B208-C208/(D208+$C$2))</f>
        <v>1108005.3157739972</v>
      </c>
      <c r="H208">
        <f t="shared" si="4"/>
        <v>8330.8670358947165</v>
      </c>
    </row>
    <row r="209" spans="1:8" x14ac:dyDescent="0.2">
      <c r="A209" s="2" t="s">
        <v>1828</v>
      </c>
      <c r="B209">
        <v>11.175750000000001</v>
      </c>
      <c r="C209">
        <v>1735.31</v>
      </c>
      <c r="D209">
        <v>-36.65</v>
      </c>
      <c r="E209">
        <v>284.5</v>
      </c>
      <c r="F209">
        <v>332.04</v>
      </c>
      <c r="G209">
        <f>10^(B209-C209/(D209+$C$2))</f>
        <v>57617.699598609543</v>
      </c>
      <c r="H209">
        <f t="shared" si="4"/>
        <v>433.21578645571083</v>
      </c>
    </row>
    <row r="210" spans="1:8" x14ac:dyDescent="0.2">
      <c r="A210" s="2" t="s">
        <v>1829</v>
      </c>
      <c r="B210">
        <v>9.0242500000000003</v>
      </c>
      <c r="C210">
        <v>1457.08</v>
      </c>
      <c r="D210">
        <v>-67.16</v>
      </c>
      <c r="E210">
        <v>321.75</v>
      </c>
      <c r="F210">
        <v>458.51</v>
      </c>
      <c r="G210">
        <f>10^(B210-C210/(D210+$C$2))</f>
        <v>897.07831268021869</v>
      </c>
      <c r="H210">
        <f t="shared" si="4"/>
        <v>6.7449497194001404</v>
      </c>
    </row>
    <row r="211" spans="1:8" x14ac:dyDescent="0.2">
      <c r="A211" s="2" t="s">
        <v>1830</v>
      </c>
      <c r="B211">
        <v>9.1044499999999999</v>
      </c>
      <c r="C211">
        <v>1265.6320000000001</v>
      </c>
      <c r="D211">
        <v>-41.002000000000002</v>
      </c>
      <c r="E211">
        <v>259</v>
      </c>
      <c r="F211">
        <v>373.76</v>
      </c>
      <c r="G211">
        <f>10^(B211-C211/(D211+$C$2))</f>
        <v>22339.878506833284</v>
      </c>
      <c r="H211">
        <f t="shared" si="4"/>
        <v>167.96901132957356</v>
      </c>
    </row>
    <row r="212" spans="1:8" x14ac:dyDescent="0.2">
      <c r="A212" s="2" t="s">
        <v>1831</v>
      </c>
      <c r="B212">
        <v>9.1379000000000001</v>
      </c>
      <c r="C212">
        <v>1740.88</v>
      </c>
      <c r="D212">
        <v>-105.43</v>
      </c>
      <c r="E212">
        <v>403.69</v>
      </c>
      <c r="F212">
        <v>559.15</v>
      </c>
      <c r="G212">
        <f>10^(B212-C212/(D212+$C$2))</f>
        <v>3.2189894391352922</v>
      </c>
      <c r="H212">
        <f t="shared" si="4"/>
        <v>2.4202928113799191E-2</v>
      </c>
    </row>
    <row r="213" spans="1:8" x14ac:dyDescent="0.2">
      <c r="A213" s="2" t="s">
        <v>1832</v>
      </c>
      <c r="B213">
        <v>8.9589400000000001</v>
      </c>
      <c r="C213">
        <v>510.59500000000003</v>
      </c>
      <c r="D213">
        <v>-15.95</v>
      </c>
      <c r="E213">
        <v>106.2</v>
      </c>
      <c r="F213">
        <v>155.54</v>
      </c>
      <c r="G213">
        <f>10^(B213-C213/(D213+$C$2))</f>
        <v>16051776.510146597</v>
      </c>
      <c r="H213">
        <f t="shared" si="4"/>
        <v>120690.04894847066</v>
      </c>
    </row>
    <row r="214" spans="1:8" x14ac:dyDescent="0.2">
      <c r="A214" s="2" t="s">
        <v>1833</v>
      </c>
      <c r="B214">
        <v>9.1214200000000005</v>
      </c>
      <c r="C214">
        <v>1203.1099999999999</v>
      </c>
      <c r="D214">
        <v>-46.795000000000002</v>
      </c>
      <c r="E214">
        <v>253.5</v>
      </c>
      <c r="F214">
        <v>361.71</v>
      </c>
      <c r="G214">
        <f>10^(B214-C214/(D214+$C$2))</f>
        <v>31650.701386308097</v>
      </c>
      <c r="H214">
        <f t="shared" si="4"/>
        <v>237.97519839329397</v>
      </c>
    </row>
    <row r="215" spans="1:8" x14ac:dyDescent="0.2">
      <c r="A215" s="2" t="s">
        <v>1834</v>
      </c>
      <c r="B215">
        <v>9.0841600000000007</v>
      </c>
      <c r="C215">
        <v>1246.02</v>
      </c>
      <c r="D215">
        <v>-51.8</v>
      </c>
      <c r="E215">
        <v>267.2</v>
      </c>
      <c r="F215">
        <v>381.16</v>
      </c>
      <c r="G215">
        <f>10^(B215-C215/(D215+$C$2))</f>
        <v>16014.177025712499</v>
      </c>
      <c r="H215">
        <f t="shared" si="4"/>
        <v>120.40734605798872</v>
      </c>
    </row>
    <row r="216" spans="1:8" x14ac:dyDescent="0.2">
      <c r="A216" s="2" t="s">
        <v>1835</v>
      </c>
      <c r="B216">
        <v>9.0504300000000004</v>
      </c>
      <c r="C216">
        <v>1327.62</v>
      </c>
      <c r="D216">
        <v>-255.52500000000001</v>
      </c>
      <c r="E216">
        <v>286.44</v>
      </c>
      <c r="F216">
        <v>409.61</v>
      </c>
      <c r="G216">
        <f>10^(B216-C216/(D216+$C$2))</f>
        <v>2.1568494424863856E-17</v>
      </c>
      <c r="H216">
        <f t="shared" si="4"/>
        <v>1.6216913101401395E-19</v>
      </c>
    </row>
    <row r="217" spans="1:8" x14ac:dyDescent="0.2">
      <c r="A217" s="2" t="s">
        <v>1836</v>
      </c>
      <c r="B217">
        <v>8.9527900000000002</v>
      </c>
      <c r="C217">
        <v>1232.1610000000001</v>
      </c>
      <c r="D217">
        <v>-51.73</v>
      </c>
      <c r="E217">
        <v>269.74</v>
      </c>
      <c r="F217">
        <v>389.15</v>
      </c>
      <c r="G217">
        <f>10^(B217-C217/(D217+$C$2))</f>
        <v>13450.288085995613</v>
      </c>
      <c r="H217">
        <f t="shared" si="4"/>
        <v>101.12998560898957</v>
      </c>
    </row>
    <row r="218" spans="1:8" x14ac:dyDescent="0.2">
      <c r="A218" s="2" t="s">
        <v>1837</v>
      </c>
      <c r="B218">
        <v>9.0082699999999996</v>
      </c>
      <c r="C218">
        <v>967.5</v>
      </c>
      <c r="D218">
        <v>-32.31</v>
      </c>
      <c r="E218">
        <v>201.83</v>
      </c>
      <c r="F218">
        <v>293.29000000000002</v>
      </c>
      <c r="G218">
        <f>10^(B218-C218/(D218+$C$2))</f>
        <v>307638.04869872931</v>
      </c>
      <c r="H218">
        <f t="shared" si="4"/>
        <v>2313.0680353287917</v>
      </c>
    </row>
    <row r="219" spans="1:8" x14ac:dyDescent="0.2">
      <c r="A219" s="2" t="s">
        <v>1838</v>
      </c>
      <c r="B219">
        <v>8.9817099999999996</v>
      </c>
      <c r="C219">
        <v>1564.683</v>
      </c>
      <c r="D219">
        <v>-66.891000000000005</v>
      </c>
      <c r="E219">
        <v>342.33</v>
      </c>
      <c r="F219">
        <v>492</v>
      </c>
      <c r="G219">
        <f>10^(B219-C219/(D219+$C$2))</f>
        <v>294.59512522167807</v>
      </c>
      <c r="H219">
        <f t="shared" si="4"/>
        <v>2.2150009415163767</v>
      </c>
    </row>
    <row r="220" spans="1:8" x14ac:dyDescent="0.2">
      <c r="A220" s="2" t="s">
        <v>1839</v>
      </c>
      <c r="B220">
        <v>9.0090500000000002</v>
      </c>
      <c r="C220">
        <v>1043.3130000000001</v>
      </c>
      <c r="D220">
        <v>-36.200000000000003</v>
      </c>
      <c r="E220">
        <v>218.98</v>
      </c>
      <c r="F220">
        <v>317.57</v>
      </c>
      <c r="G220">
        <f>10^(B220-C220/(D220+$C$2))</f>
        <v>144037.67195920565</v>
      </c>
      <c r="H220">
        <f t="shared" si="4"/>
        <v>1082.9900147308695</v>
      </c>
    </row>
    <row r="221" spans="1:8" x14ac:dyDescent="0.2">
      <c r="A221" s="2" t="s">
        <v>1840</v>
      </c>
      <c r="B221">
        <v>8.9628800000000002</v>
      </c>
      <c r="C221">
        <v>1106.904</v>
      </c>
      <c r="D221">
        <v>-54.597999999999999</v>
      </c>
      <c r="E221">
        <v>250.1</v>
      </c>
      <c r="F221">
        <v>356.89</v>
      </c>
      <c r="G221">
        <f>10^(B221-C221/(D221+$C$2))</f>
        <v>38019.324308985568</v>
      </c>
      <c r="H221">
        <f t="shared" si="4"/>
        <v>285.85958127056819</v>
      </c>
    </row>
    <row r="222" spans="1:8" x14ac:dyDescent="0.2">
      <c r="A222" s="2" t="s">
        <v>1841</v>
      </c>
      <c r="B222">
        <v>9.13246</v>
      </c>
      <c r="C222">
        <v>1690.67</v>
      </c>
      <c r="D222">
        <v>-98.93</v>
      </c>
      <c r="E222">
        <v>388.85</v>
      </c>
      <c r="F222">
        <v>540.19000000000005</v>
      </c>
      <c r="G222">
        <f>10^(B222-C222/(D222+$C$2))</f>
        <v>10.299755600670748</v>
      </c>
      <c r="H222">
        <f t="shared" si="4"/>
        <v>7.7441771433614651E-2</v>
      </c>
    </row>
    <row r="223" spans="1:8" x14ac:dyDescent="0.2">
      <c r="A223" s="2" t="s">
        <v>1842</v>
      </c>
      <c r="B223">
        <v>9.6123399999999997</v>
      </c>
      <c r="C223">
        <v>966.226</v>
      </c>
      <c r="D223">
        <v>-32.35</v>
      </c>
      <c r="E223">
        <v>195.75</v>
      </c>
      <c r="F223">
        <v>256.45999999999998</v>
      </c>
      <c r="G223">
        <f>10^(B223-C223/(D223+$C$2))</f>
        <v>1248055.0471217008</v>
      </c>
      <c r="H223">
        <f t="shared" si="4"/>
        <v>9383.8725347496311</v>
      </c>
    </row>
    <row r="224" spans="1:8" x14ac:dyDescent="0.2">
      <c r="A224" s="2" t="s">
        <v>1843</v>
      </c>
      <c r="B224">
        <v>9.2213999999999992</v>
      </c>
      <c r="C224">
        <v>707.39599999999996</v>
      </c>
      <c r="D224">
        <v>-23.31</v>
      </c>
      <c r="E224">
        <v>142.79</v>
      </c>
      <c r="F224">
        <v>203.75</v>
      </c>
      <c r="G224">
        <f>10^(B224-C224/(D224+$C$2))</f>
        <v>5360001.8303033095</v>
      </c>
      <c r="H224">
        <f t="shared" si="4"/>
        <v>40300.765641378268</v>
      </c>
    </row>
    <row r="225" spans="1:8" x14ac:dyDescent="0.2">
      <c r="A225" s="2" t="s">
        <v>1844</v>
      </c>
      <c r="B225">
        <v>9.0970999999999993</v>
      </c>
      <c r="C225">
        <v>1569.57</v>
      </c>
      <c r="D225">
        <v>-85.45</v>
      </c>
      <c r="E225">
        <v>356.25</v>
      </c>
      <c r="F225">
        <v>499</v>
      </c>
      <c r="G225">
        <f>10^(B225-C225/(D225+$C$2))</f>
        <v>104.08728955233622</v>
      </c>
      <c r="H225">
        <f t="shared" si="4"/>
        <v>0.78261119964162573</v>
      </c>
    </row>
    <row r="226" spans="1:8" x14ac:dyDescent="0.2">
      <c r="A226" s="2" t="s">
        <v>1845</v>
      </c>
      <c r="B226">
        <v>10.115640000000001</v>
      </c>
      <c r="C226">
        <v>1687.537</v>
      </c>
      <c r="D226">
        <v>-42.98</v>
      </c>
      <c r="E226">
        <v>273.2</v>
      </c>
      <c r="F226">
        <v>473.2</v>
      </c>
      <c r="G226">
        <f>10^(B226-C226/(D226+$C$2))</f>
        <v>5340.3279166836555</v>
      </c>
      <c r="H226">
        <f t="shared" si="4"/>
        <v>40.152841478824477</v>
      </c>
    </row>
    <row r="227" spans="1:8" x14ac:dyDescent="0.2">
      <c r="A227" s="2" t="s">
        <v>1846</v>
      </c>
      <c r="B227">
        <v>8.7677899999999998</v>
      </c>
      <c r="C227">
        <v>566.28200000000004</v>
      </c>
      <c r="D227">
        <v>-14.49</v>
      </c>
      <c r="E227">
        <v>156.43</v>
      </c>
      <c r="F227">
        <v>177.84</v>
      </c>
      <c r="G227">
        <f>10^(B227-C227/(D227+$C$2))</f>
        <v>6805211.0059059523</v>
      </c>
      <c r="H227">
        <f t="shared" si="4"/>
        <v>51167.000044405657</v>
      </c>
    </row>
  </sheetData>
  <mergeCells count="1">
    <mergeCell ref="A1:E1"/>
  </mergeCells>
  <phoneticPr fontId="5" type="noConversion"/>
  <pageMargins left="0.75" right="0.75" top="1" bottom="1" header="0.5" footer="0.5"/>
  <pageSetup scale="87" orientation="portrait" r:id="rId1"/>
  <headerFooter alignWithMargins="0"/>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72"/>
  <sheetViews>
    <sheetView workbookViewId="0">
      <selection activeCell="H1" sqref="H1"/>
    </sheetView>
  </sheetViews>
  <sheetFormatPr defaultRowHeight="12.75" x14ac:dyDescent="0.2"/>
  <sheetData>
    <row r="1" spans="1:7" ht="13.5" thickBot="1" x14ac:dyDescent="0.25">
      <c r="A1" s="497" t="s">
        <v>1852</v>
      </c>
      <c r="B1" s="497" t="s">
        <v>925</v>
      </c>
      <c r="C1" s="497" t="s">
        <v>1519</v>
      </c>
      <c r="D1" s="497" t="s">
        <v>1518</v>
      </c>
      <c r="E1" s="497" t="s">
        <v>1517</v>
      </c>
      <c r="F1" s="497" t="s">
        <v>1610</v>
      </c>
      <c r="G1" s="497" t="s">
        <v>1853</v>
      </c>
    </row>
    <row r="2" spans="1:7" ht="13.5" thickBot="1" x14ac:dyDescent="0.25">
      <c r="A2" s="498" t="s">
        <v>1854</v>
      </c>
      <c r="B2" s="498" t="s">
        <v>1855</v>
      </c>
      <c r="C2" s="498">
        <v>0.55313999999999997</v>
      </c>
      <c r="D2" s="498">
        <v>-37.828539999999997</v>
      </c>
      <c r="E2" s="498">
        <v>164.8</v>
      </c>
      <c r="F2" s="498">
        <v>-1106.9359999999999</v>
      </c>
      <c r="G2" s="501">
        <v>5.0739000000000003E-4</v>
      </c>
    </row>
    <row r="3" spans="1:7" ht="13.5" thickBot="1" x14ac:dyDescent="0.25">
      <c r="A3" s="499" t="s">
        <v>1856</v>
      </c>
      <c r="B3" s="499" t="s">
        <v>1857</v>
      </c>
      <c r="C3" s="499">
        <v>1.20479</v>
      </c>
      <c r="D3" s="499">
        <v>0.60580000000000001</v>
      </c>
      <c r="E3" s="499">
        <v>216.32499999999999</v>
      </c>
      <c r="F3" s="499">
        <v>2.278</v>
      </c>
      <c r="G3" s="499">
        <v>8.7559999999999995E-5</v>
      </c>
    </row>
    <row r="4" spans="1:7" ht="13.5" thickBot="1" x14ac:dyDescent="0.25">
      <c r="A4" s="498" t="s">
        <v>1627</v>
      </c>
      <c r="B4" s="498" t="s">
        <v>878</v>
      </c>
      <c r="C4" s="498">
        <v>2.9201000000000001</v>
      </c>
      <c r="D4" s="498">
        <v>3.5182099999999998</v>
      </c>
      <c r="E4" s="498">
        <v>151.048</v>
      </c>
      <c r="F4" s="498">
        <v>-164.49299999999999</v>
      </c>
      <c r="G4" s="498">
        <v>2.3110000000000001E-5</v>
      </c>
    </row>
    <row r="5" spans="1:7" ht="15.75" thickBot="1" x14ac:dyDescent="0.25">
      <c r="A5" s="499" t="s">
        <v>1858</v>
      </c>
      <c r="B5" s="500"/>
      <c r="C5" s="499">
        <v>2.2275499999999999</v>
      </c>
      <c r="D5" s="499">
        <v>0.49596000000000001</v>
      </c>
      <c r="E5" s="499">
        <v>132.89699999999999</v>
      </c>
      <c r="F5" s="499">
        <v>4</v>
      </c>
      <c r="G5" s="499">
        <v>1.6379999999999999E-5</v>
      </c>
    </row>
    <row r="6" spans="1:7" ht="13.5" thickBot="1" x14ac:dyDescent="0.25">
      <c r="A6" s="498" t="s">
        <v>1664</v>
      </c>
      <c r="B6" s="498" t="s">
        <v>911</v>
      </c>
      <c r="C6" s="498">
        <v>2.2339199999999999</v>
      </c>
      <c r="D6" s="498">
        <v>1.273E-2</v>
      </c>
      <c r="E6" s="498">
        <v>127.145</v>
      </c>
      <c r="F6" s="498">
        <v>36.807000000000002</v>
      </c>
      <c r="G6" s="498">
        <v>1.343E-5</v>
      </c>
    </row>
    <row r="7" spans="1:7" ht="13.5" thickBot="1" x14ac:dyDescent="0.25">
      <c r="A7" s="499" t="s">
        <v>1634</v>
      </c>
      <c r="B7" s="499" t="s">
        <v>913</v>
      </c>
      <c r="C7" s="499">
        <v>2.14927</v>
      </c>
      <c r="D7" s="499">
        <v>1.16E-3</v>
      </c>
      <c r="E7" s="499">
        <v>157.423</v>
      </c>
      <c r="F7" s="499">
        <v>36.005000000000003</v>
      </c>
      <c r="G7" s="499">
        <v>1.8389999999999998E-5</v>
      </c>
    </row>
    <row r="8" spans="1:7" ht="13.5" thickBot="1" x14ac:dyDescent="0.25">
      <c r="A8" s="498" t="s">
        <v>1859</v>
      </c>
      <c r="B8" s="498" t="s">
        <v>893</v>
      </c>
      <c r="C8" s="498">
        <v>3.7939099999999999</v>
      </c>
      <c r="D8" s="498">
        <v>2.1884199999999998</v>
      </c>
      <c r="E8" s="498">
        <v>331.029</v>
      </c>
      <c r="F8" s="498">
        <v>-177.69200000000001</v>
      </c>
      <c r="G8" s="498">
        <v>7.9999999999999996E-7</v>
      </c>
    </row>
    <row r="9" spans="1:7" ht="13.5" thickBot="1" x14ac:dyDescent="0.25">
      <c r="A9" s="499" t="s">
        <v>1860</v>
      </c>
      <c r="B9" s="499" t="s">
        <v>1861</v>
      </c>
      <c r="C9" s="499">
        <v>0.48281000000000002</v>
      </c>
      <c r="D9" s="499">
        <v>1.3535299999999999</v>
      </c>
      <c r="E9" s="499">
        <v>439.327</v>
      </c>
      <c r="F9" s="499">
        <v>-110.083</v>
      </c>
      <c r="G9" s="499">
        <v>1.7186999999999999E-4</v>
      </c>
    </row>
    <row r="10" spans="1:7" ht="13.5" thickBot="1" x14ac:dyDescent="0.25">
      <c r="A10" s="498" t="s">
        <v>1862</v>
      </c>
      <c r="B10" s="498" t="s">
        <v>1863</v>
      </c>
      <c r="C10" s="498">
        <v>3.1907399999999999</v>
      </c>
      <c r="D10" s="498">
        <v>1.6166</v>
      </c>
      <c r="E10" s="498">
        <v>499.48099999999999</v>
      </c>
      <c r="F10" s="498">
        <v>-209.81700000000001</v>
      </c>
      <c r="G10" s="498">
        <v>5.8390000000000002E-5</v>
      </c>
    </row>
    <row r="11" spans="1:7" ht="13.5" thickBot="1" x14ac:dyDescent="0.25">
      <c r="A11" s="499" t="s">
        <v>1864</v>
      </c>
      <c r="B11" s="499" t="s">
        <v>1865</v>
      </c>
      <c r="C11" s="499">
        <v>3.2662900000000001</v>
      </c>
      <c r="D11" s="499">
        <v>2.0914299999999999</v>
      </c>
      <c r="E11" s="499">
        <v>793.01900000000001</v>
      </c>
      <c r="F11" s="499">
        <v>-407.779</v>
      </c>
      <c r="G11" s="499">
        <v>7.2269999999999998E-5</v>
      </c>
    </row>
    <row r="12" spans="1:7" ht="13.5" thickBot="1" x14ac:dyDescent="0.25">
      <c r="A12" s="498" t="s">
        <v>1866</v>
      </c>
      <c r="B12" s="498" t="s">
        <v>1867</v>
      </c>
      <c r="C12" s="498">
        <v>0.52900999999999998</v>
      </c>
      <c r="D12" s="498">
        <v>0.61638000000000004</v>
      </c>
      <c r="E12" s="498">
        <v>475.84800000000001</v>
      </c>
      <c r="F12" s="498">
        <v>81.998999999999995</v>
      </c>
      <c r="G12" s="498">
        <v>7.7210000000000001E-5</v>
      </c>
    </row>
    <row r="13" spans="1:7" ht="13.5" thickBot="1" x14ac:dyDescent="0.25">
      <c r="A13" s="499" t="s">
        <v>1868</v>
      </c>
      <c r="B13" s="499" t="s">
        <v>900</v>
      </c>
      <c r="C13" s="499">
        <v>6.6305199999999997</v>
      </c>
      <c r="D13" s="499">
        <v>-0.88397000000000003</v>
      </c>
      <c r="E13" s="499">
        <v>445.76299999999998</v>
      </c>
      <c r="F13" s="499">
        <v>72.787000000000006</v>
      </c>
      <c r="G13" s="499">
        <v>4.0999999999999999E-7</v>
      </c>
    </row>
    <row r="14" spans="1:7" ht="13.5" thickBot="1" x14ac:dyDescent="0.25">
      <c r="A14" s="498" t="s">
        <v>1869</v>
      </c>
      <c r="B14" s="498" t="s">
        <v>1870</v>
      </c>
      <c r="C14" s="498">
        <v>4.1661799999999998</v>
      </c>
      <c r="D14" s="498">
        <v>4.0699999999999998E-3</v>
      </c>
      <c r="E14" s="498">
        <v>382.714</v>
      </c>
      <c r="F14" s="498">
        <v>11.651</v>
      </c>
      <c r="G14" s="498">
        <v>1.234E-5</v>
      </c>
    </row>
    <row r="15" spans="1:7" ht="13.5" thickBot="1" x14ac:dyDescent="0.25">
      <c r="A15" s="499" t="s">
        <v>1871</v>
      </c>
      <c r="B15" s="499" t="s">
        <v>1872</v>
      </c>
      <c r="C15" s="499">
        <v>5.1795200000000001</v>
      </c>
      <c r="D15" s="499">
        <v>-3.5000000000000001E-3</v>
      </c>
      <c r="E15" s="499">
        <v>446.14699999999999</v>
      </c>
      <c r="F15" s="499">
        <v>-81.736999999999995</v>
      </c>
      <c r="G15" s="499">
        <v>1.3730000000000001E-5</v>
      </c>
    </row>
    <row r="16" spans="1:7" ht="13.5" thickBot="1" x14ac:dyDescent="0.25">
      <c r="A16" s="498" t="s">
        <v>1873</v>
      </c>
      <c r="B16" s="498" t="s">
        <v>1874</v>
      </c>
      <c r="C16" s="498">
        <v>0.59248999999999996</v>
      </c>
      <c r="D16" s="498">
        <v>1.7486200000000001</v>
      </c>
      <c r="E16" s="498">
        <v>394.90300000000002</v>
      </c>
      <c r="F16" s="498">
        <v>-1.2490000000000001</v>
      </c>
      <c r="G16" s="498">
        <v>8.2830000000000005E-5</v>
      </c>
    </row>
    <row r="17" spans="1:7" ht="13.5" thickBot="1" x14ac:dyDescent="0.25">
      <c r="A17" s="499" t="s">
        <v>1630</v>
      </c>
      <c r="B17" s="499" t="s">
        <v>1875</v>
      </c>
      <c r="C17" s="499">
        <v>0.45046999999999998</v>
      </c>
      <c r="D17" s="499">
        <v>1.3975299999999999</v>
      </c>
      <c r="E17" s="499">
        <v>613.18100000000004</v>
      </c>
      <c r="F17" s="499">
        <v>63.697000000000003</v>
      </c>
      <c r="G17" s="499">
        <v>6.8960000000000004E-5</v>
      </c>
    </row>
    <row r="18" spans="1:7" ht="13.5" thickBot="1" x14ac:dyDescent="0.25">
      <c r="A18" s="498" t="s">
        <v>1876</v>
      </c>
      <c r="B18" s="498" t="s">
        <v>951</v>
      </c>
      <c r="C18" s="498">
        <v>5.7409499999999998</v>
      </c>
      <c r="D18" s="498">
        <v>-0.46553</v>
      </c>
      <c r="E18" s="498">
        <v>425.49299999999999</v>
      </c>
      <c r="F18" s="498">
        <v>98.234999999999999</v>
      </c>
      <c r="G18" s="498">
        <v>1.0499999999999999E-6</v>
      </c>
    </row>
    <row r="19" spans="1:7" ht="13.5" thickBot="1" x14ac:dyDescent="0.25">
      <c r="A19" s="499" t="s">
        <v>1877</v>
      </c>
      <c r="B19" s="499" t="s">
        <v>1878</v>
      </c>
      <c r="C19" s="499">
        <v>0.76099000000000006</v>
      </c>
      <c r="D19" s="499">
        <v>6.5380200000000004</v>
      </c>
      <c r="E19" s="499">
        <v>373.726</v>
      </c>
      <c r="F19" s="499">
        <v>-304.733</v>
      </c>
      <c r="G19" s="499">
        <v>5.8629999999999999E-5</v>
      </c>
    </row>
    <row r="20" spans="1:7" ht="13.5" thickBot="1" x14ac:dyDescent="0.25">
      <c r="A20" s="498" t="s">
        <v>1879</v>
      </c>
      <c r="B20" s="498" t="s">
        <v>1880</v>
      </c>
      <c r="C20" s="498">
        <v>7.2256900000000002</v>
      </c>
      <c r="D20" s="498">
        <v>-0.17859</v>
      </c>
      <c r="E20" s="498">
        <v>202.5</v>
      </c>
      <c r="F20" s="498">
        <v>-106.123</v>
      </c>
      <c r="G20" s="498">
        <v>1.72E-6</v>
      </c>
    </row>
    <row r="21" spans="1:7" ht="13.5" thickBot="1" x14ac:dyDescent="0.25">
      <c r="A21" s="499" t="s">
        <v>1881</v>
      </c>
      <c r="B21" s="499" t="s">
        <v>1882</v>
      </c>
      <c r="C21" s="499">
        <v>6.86768</v>
      </c>
      <c r="D21" s="499">
        <v>-0.14884</v>
      </c>
      <c r="E21" s="499">
        <v>423.46300000000002</v>
      </c>
      <c r="F21" s="499">
        <v>-446.70600000000002</v>
      </c>
      <c r="G21" s="499">
        <v>9.1900000000000001E-6</v>
      </c>
    </row>
    <row r="22" spans="1:7" ht="13.5" thickBot="1" x14ac:dyDescent="0.25">
      <c r="A22" s="498" t="s">
        <v>1883</v>
      </c>
      <c r="B22" s="498" t="s">
        <v>962</v>
      </c>
      <c r="C22" s="498">
        <v>3.47166</v>
      </c>
      <c r="D22" s="498">
        <v>2.5031099999999999</v>
      </c>
      <c r="E22" s="498">
        <v>379.73</v>
      </c>
      <c r="F22" s="498">
        <v>-222.126</v>
      </c>
      <c r="G22" s="498">
        <v>7.9200000000000004E-6</v>
      </c>
    </row>
    <row r="23" spans="1:7" ht="13.5" thickBot="1" x14ac:dyDescent="0.25">
      <c r="A23" s="499" t="s">
        <v>1884</v>
      </c>
      <c r="B23" s="499" t="s">
        <v>1885</v>
      </c>
      <c r="C23" s="499">
        <v>-3.739E-2</v>
      </c>
      <c r="D23" s="499">
        <v>0.96650999999999998</v>
      </c>
      <c r="E23" s="499">
        <v>615.98699999999997</v>
      </c>
      <c r="F23" s="499">
        <v>11.286</v>
      </c>
      <c r="G23" s="499">
        <v>1.3891000000000001E-4</v>
      </c>
    </row>
    <row r="24" spans="1:7" ht="13.5" thickBot="1" x14ac:dyDescent="0.25">
      <c r="A24" s="498" t="s">
        <v>1886</v>
      </c>
      <c r="B24" s="498" t="s">
        <v>1887</v>
      </c>
      <c r="C24" s="498">
        <v>1.47085</v>
      </c>
      <c r="D24" s="498">
        <v>5.1195700000000004</v>
      </c>
      <c r="E24" s="498">
        <v>729.56600000000003</v>
      </c>
      <c r="F24" s="498">
        <v>-34.527999999999999</v>
      </c>
      <c r="G24" s="498">
        <v>9.9999999999999995E-8</v>
      </c>
    </row>
    <row r="25" spans="1:7" ht="13.5" thickBot="1" x14ac:dyDescent="0.25">
      <c r="A25" s="499" t="s">
        <v>1888</v>
      </c>
      <c r="B25" s="499" t="s">
        <v>1889</v>
      </c>
      <c r="C25" s="499">
        <v>0.41897000000000001</v>
      </c>
      <c r="D25" s="499">
        <v>0.69272999999999996</v>
      </c>
      <c r="E25" s="499">
        <v>676.02300000000002</v>
      </c>
      <c r="F25" s="499">
        <v>-10.272</v>
      </c>
      <c r="G25" s="499">
        <v>1.3569999999999999E-4</v>
      </c>
    </row>
    <row r="26" spans="1:7" ht="13.5" thickBot="1" x14ac:dyDescent="0.25">
      <c r="A26" s="498" t="s">
        <v>1890</v>
      </c>
      <c r="B26" s="498" t="s">
        <v>1891</v>
      </c>
      <c r="C26" s="498">
        <v>0.85260000000000002</v>
      </c>
      <c r="D26" s="498">
        <v>1.2697400000000001</v>
      </c>
      <c r="E26" s="498">
        <v>632.12300000000005</v>
      </c>
      <c r="F26" s="498">
        <v>-38.107999999999997</v>
      </c>
      <c r="G26" s="498">
        <v>6.9120000000000002E-5</v>
      </c>
    </row>
    <row r="27" spans="1:7" ht="13.5" thickBot="1" x14ac:dyDescent="0.25">
      <c r="A27" s="499" t="s">
        <v>1892</v>
      </c>
      <c r="B27" s="499" t="s">
        <v>1893</v>
      </c>
      <c r="C27" s="499">
        <v>0.61446000000000001</v>
      </c>
      <c r="D27" s="499">
        <v>0.39805000000000001</v>
      </c>
      <c r="E27" s="499">
        <v>505.03</v>
      </c>
      <c r="F27" s="499">
        <v>-16.672999999999998</v>
      </c>
      <c r="G27" s="499">
        <v>2.3419999999999999E-5</v>
      </c>
    </row>
    <row r="28" spans="1:7" ht="13.5" thickBot="1" x14ac:dyDescent="0.25">
      <c r="A28" s="498" t="s">
        <v>1894</v>
      </c>
      <c r="B28" s="498" t="s">
        <v>1895</v>
      </c>
      <c r="C28" s="498">
        <v>2.6493699999999998</v>
      </c>
      <c r="D28" s="498">
        <v>4.4360400000000002</v>
      </c>
      <c r="E28" s="498">
        <v>883.20899999999995</v>
      </c>
      <c r="F28" s="498">
        <v>-795.2</v>
      </c>
      <c r="G28" s="498">
        <v>7.6299999999999998E-6</v>
      </c>
    </row>
    <row r="29" spans="1:7" ht="13.5" thickBot="1" x14ac:dyDescent="0.25">
      <c r="A29" s="499" t="s">
        <v>1896</v>
      </c>
      <c r="B29" s="499" t="s">
        <v>1632</v>
      </c>
      <c r="C29" s="499">
        <v>1.1264400000000001</v>
      </c>
      <c r="D29" s="499">
        <v>1.2049700000000001</v>
      </c>
      <c r="E29" s="499">
        <v>177.745</v>
      </c>
      <c r="F29" s="499">
        <v>-40.076999999999998</v>
      </c>
      <c r="G29" s="499">
        <v>2.5449999999999999E-5</v>
      </c>
    </row>
    <row r="30" spans="1:7" ht="13.5" thickBot="1" x14ac:dyDescent="0.25">
      <c r="A30" s="498" t="s">
        <v>1897</v>
      </c>
      <c r="B30" s="498" t="s">
        <v>1898</v>
      </c>
      <c r="C30" s="498">
        <v>2.6880099999999998</v>
      </c>
      <c r="D30" s="498">
        <v>4.1960699999999997</v>
      </c>
      <c r="E30" s="498">
        <v>305.19799999999998</v>
      </c>
      <c r="F30" s="498">
        <v>-186.83600000000001</v>
      </c>
      <c r="G30" s="498">
        <v>2.9139999999999999E-5</v>
      </c>
    </row>
    <row r="31" spans="1:7" ht="13.5" thickBot="1" x14ac:dyDescent="0.25">
      <c r="A31" s="499" t="s">
        <v>1899</v>
      </c>
      <c r="B31" s="499" t="s">
        <v>1900</v>
      </c>
      <c r="C31" s="499">
        <v>1.3645099999999999</v>
      </c>
      <c r="D31" s="499">
        <v>1.23603</v>
      </c>
      <c r="E31" s="499">
        <v>651.92899999999997</v>
      </c>
      <c r="F31" s="499">
        <v>-33.959000000000003</v>
      </c>
      <c r="G31" s="499">
        <v>3.4430000000000001E-5</v>
      </c>
    </row>
    <row r="32" spans="1:7" ht="13.5" thickBot="1" x14ac:dyDescent="0.25">
      <c r="A32" s="498" t="s">
        <v>1901</v>
      </c>
      <c r="B32" s="498" t="s">
        <v>1902</v>
      </c>
      <c r="C32" s="498">
        <v>1.0968899999999999</v>
      </c>
      <c r="D32" s="498">
        <v>1.29173</v>
      </c>
      <c r="E32" s="498">
        <v>344.67700000000002</v>
      </c>
      <c r="F32" s="498">
        <v>-34</v>
      </c>
      <c r="G32" s="498">
        <v>8.6619999999999994E-5</v>
      </c>
    </row>
    <row r="33" spans="1:7" ht="13.5" thickBot="1" x14ac:dyDescent="0.25">
      <c r="A33" s="499" t="s">
        <v>1903</v>
      </c>
      <c r="B33" s="499" t="s">
        <v>1904</v>
      </c>
      <c r="C33" s="499">
        <v>2.0544500000000001</v>
      </c>
      <c r="D33" s="499">
        <v>0.57499</v>
      </c>
      <c r="E33" s="499">
        <v>405.66</v>
      </c>
      <c r="F33" s="499">
        <v>-78.105000000000004</v>
      </c>
      <c r="G33" s="499">
        <v>1.143E-4</v>
      </c>
    </row>
    <row r="34" spans="1:7" ht="13.5" thickBot="1" x14ac:dyDescent="0.25">
      <c r="A34" s="498" t="s">
        <v>1905</v>
      </c>
      <c r="B34" s="498" t="s">
        <v>1906</v>
      </c>
      <c r="C34" s="498">
        <v>-1.2169700000000001</v>
      </c>
      <c r="D34" s="498">
        <v>2.0702199999999999</v>
      </c>
      <c r="E34" s="498">
        <v>423.01499999999999</v>
      </c>
      <c r="F34" s="498">
        <v>16.675999999999998</v>
      </c>
      <c r="G34" s="498">
        <v>4.4103000000000002E-4</v>
      </c>
    </row>
    <row r="35" spans="1:7" ht="13.5" thickBot="1" x14ac:dyDescent="0.25">
      <c r="A35" s="499" t="s">
        <v>1907</v>
      </c>
      <c r="B35" s="499" t="s">
        <v>952</v>
      </c>
      <c r="C35" s="499">
        <v>11.305910000000001</v>
      </c>
      <c r="D35" s="499">
        <v>4.7677100000000001</v>
      </c>
      <c r="E35" s="499">
        <v>588.18700000000001</v>
      </c>
      <c r="F35" s="499">
        <v>-978.88</v>
      </c>
      <c r="G35" s="499">
        <v>1.4000000000000001E-7</v>
      </c>
    </row>
    <row r="36" spans="1:7" ht="13.5" thickBot="1" x14ac:dyDescent="0.25">
      <c r="A36" s="498" t="s">
        <v>1908</v>
      </c>
      <c r="B36" s="498" t="s">
        <v>1909</v>
      </c>
      <c r="C36" s="498">
        <v>1.05142</v>
      </c>
      <c r="D36" s="498">
        <v>1.92462</v>
      </c>
      <c r="E36" s="498">
        <v>680.96</v>
      </c>
      <c r="F36" s="498">
        <v>61.41</v>
      </c>
      <c r="G36" s="498">
        <v>1.3730000000000001E-5</v>
      </c>
    </row>
    <row r="37" spans="1:7" ht="13.5" thickBot="1" x14ac:dyDescent="0.25">
      <c r="A37" s="499" t="s">
        <v>1910</v>
      </c>
      <c r="B37" s="499" t="s">
        <v>1911</v>
      </c>
      <c r="C37" s="499">
        <v>0.89331000000000005</v>
      </c>
      <c r="D37" s="499">
        <v>0.87316000000000005</v>
      </c>
      <c r="E37" s="499">
        <v>742.20100000000002</v>
      </c>
      <c r="F37" s="499">
        <v>-42.953000000000003</v>
      </c>
      <c r="G37" s="499">
        <v>7.5320000000000004E-5</v>
      </c>
    </row>
    <row r="38" spans="1:7" ht="13.5" thickBot="1" x14ac:dyDescent="0.25">
      <c r="A38" s="498" t="s">
        <v>1912</v>
      </c>
      <c r="B38" s="498" t="s">
        <v>1913</v>
      </c>
      <c r="C38" s="498">
        <v>1.6141399999999999</v>
      </c>
      <c r="D38" s="498">
        <v>2.05898</v>
      </c>
      <c r="E38" s="498">
        <v>451.97800000000001</v>
      </c>
      <c r="F38" s="498">
        <v>-219.14699999999999</v>
      </c>
      <c r="G38" s="498">
        <v>6.2710000000000001E-5</v>
      </c>
    </row>
    <row r="39" spans="1:7" ht="13.5" thickBot="1" x14ac:dyDescent="0.25">
      <c r="A39" s="499" t="s">
        <v>1914</v>
      </c>
      <c r="B39" s="499" t="s">
        <v>1915</v>
      </c>
      <c r="C39" s="499">
        <v>0.95209999999999995</v>
      </c>
      <c r="D39" s="499">
        <v>0.76505999999999996</v>
      </c>
      <c r="E39" s="499">
        <v>550.52200000000005</v>
      </c>
      <c r="F39" s="499">
        <v>-25.991</v>
      </c>
      <c r="G39" s="499">
        <v>5.8789999999999998E-5</v>
      </c>
    </row>
    <row r="40" spans="1:7" ht="13.5" thickBot="1" x14ac:dyDescent="0.25">
      <c r="A40" s="498" t="s">
        <v>1916</v>
      </c>
      <c r="B40" s="498" t="s">
        <v>1917</v>
      </c>
      <c r="C40" s="498">
        <v>-1.119E-2</v>
      </c>
      <c r="D40" s="498">
        <v>1.8805799999999999</v>
      </c>
      <c r="E40" s="498">
        <v>472.36900000000003</v>
      </c>
      <c r="F40" s="498">
        <v>-65.472999999999999</v>
      </c>
      <c r="G40" s="498">
        <v>1.4524000000000001E-4</v>
      </c>
    </row>
    <row r="41" spans="1:7" ht="13.5" thickBot="1" x14ac:dyDescent="0.25">
      <c r="A41" s="499" t="s">
        <v>1918</v>
      </c>
      <c r="B41" s="499" t="s">
        <v>1917</v>
      </c>
      <c r="C41" s="499">
        <v>0.72487999999999997</v>
      </c>
      <c r="D41" s="499">
        <v>0.86931000000000003</v>
      </c>
      <c r="E41" s="499">
        <v>589.86900000000003</v>
      </c>
      <c r="F41" s="499">
        <v>-12.292999999999999</v>
      </c>
      <c r="G41" s="499">
        <v>6.1849999999999999E-5</v>
      </c>
    </row>
    <row r="42" spans="1:7" ht="13.5" thickBot="1" x14ac:dyDescent="0.25">
      <c r="A42" s="498" t="s">
        <v>1919</v>
      </c>
      <c r="B42" s="498" t="s">
        <v>1920</v>
      </c>
      <c r="C42" s="498">
        <v>1.5368299999999999</v>
      </c>
      <c r="D42" s="498">
        <v>1.2143900000000001</v>
      </c>
      <c r="E42" s="498">
        <v>583.673</v>
      </c>
      <c r="F42" s="498">
        <v>-63.53</v>
      </c>
      <c r="G42" s="498">
        <v>4.2079999999999997E-5</v>
      </c>
    </row>
    <row r="43" spans="1:7" ht="13.5" thickBot="1" x14ac:dyDescent="0.25">
      <c r="A43" s="499" t="s">
        <v>1921</v>
      </c>
      <c r="B43" s="499" t="s">
        <v>1922</v>
      </c>
      <c r="C43" s="499">
        <v>0.41152</v>
      </c>
      <c r="D43" s="499">
        <v>1.3156300000000001</v>
      </c>
      <c r="E43" s="499">
        <v>668.14599999999996</v>
      </c>
      <c r="F43" s="499">
        <v>-36.622</v>
      </c>
      <c r="G43" s="499">
        <v>9.0229999999999995E-5</v>
      </c>
    </row>
    <row r="44" spans="1:7" ht="13.5" thickBot="1" x14ac:dyDescent="0.25">
      <c r="A44" s="498" t="s">
        <v>1923</v>
      </c>
      <c r="B44" s="498" t="s">
        <v>1924</v>
      </c>
      <c r="C44" s="498">
        <v>-1.76244</v>
      </c>
      <c r="D44" s="498">
        <v>6.5475500000000002</v>
      </c>
      <c r="E44" s="498">
        <v>277.16399999999999</v>
      </c>
      <c r="F44" s="498">
        <v>-206.90100000000001</v>
      </c>
      <c r="G44" s="498">
        <v>3.3288000000000002E-4</v>
      </c>
    </row>
    <row r="45" spans="1:7" ht="13.5" thickBot="1" x14ac:dyDescent="0.25">
      <c r="A45" s="499" t="s">
        <v>1925</v>
      </c>
      <c r="B45" s="499" t="s">
        <v>1926</v>
      </c>
      <c r="C45" s="499">
        <v>2.0299100000000001</v>
      </c>
      <c r="D45" s="499">
        <v>0.63260000000000005</v>
      </c>
      <c r="E45" s="499">
        <v>324.13499999999999</v>
      </c>
      <c r="F45" s="499">
        <v>42.295000000000002</v>
      </c>
      <c r="G45" s="499">
        <v>5.219E-5</v>
      </c>
    </row>
    <row r="46" spans="1:7" ht="13.5" thickBot="1" x14ac:dyDescent="0.25">
      <c r="A46" s="498" t="s">
        <v>1927</v>
      </c>
      <c r="B46" s="498" t="s">
        <v>1928</v>
      </c>
      <c r="C46" s="498">
        <v>0.72087999999999997</v>
      </c>
      <c r="D46" s="498">
        <v>2.0027599999999999</v>
      </c>
      <c r="E46" s="498">
        <v>267.67500000000001</v>
      </c>
      <c r="F46" s="498">
        <v>-32.094999999999999</v>
      </c>
      <c r="G46" s="498">
        <v>1.1482E-4</v>
      </c>
    </row>
    <row r="47" spans="1:7" ht="13.5" thickBot="1" x14ac:dyDescent="0.25">
      <c r="A47" s="499" t="s">
        <v>1929</v>
      </c>
      <c r="B47" s="499" t="s">
        <v>1930</v>
      </c>
      <c r="C47" s="499">
        <v>1.28783</v>
      </c>
      <c r="D47" s="499">
        <v>0.76244000000000001</v>
      </c>
      <c r="E47" s="499">
        <v>405.67599999999999</v>
      </c>
      <c r="F47" s="499">
        <v>-14.981</v>
      </c>
      <c r="G47" s="499">
        <v>2.8719999999999999E-5</v>
      </c>
    </row>
    <row r="48" spans="1:7" ht="13.5" thickBot="1" x14ac:dyDescent="0.25">
      <c r="A48" s="498" t="s">
        <v>1931</v>
      </c>
      <c r="B48" s="498" t="s">
        <v>1932</v>
      </c>
      <c r="C48" s="498">
        <v>0.67544000000000004</v>
      </c>
      <c r="D48" s="498">
        <v>2.3848600000000002</v>
      </c>
      <c r="E48" s="498">
        <v>379.43799999999999</v>
      </c>
      <c r="F48" s="498">
        <v>-35.279000000000003</v>
      </c>
      <c r="G48" s="498">
        <v>7.7410000000000006E-5</v>
      </c>
    </row>
    <row r="49" spans="1:7" ht="13.5" thickBot="1" x14ac:dyDescent="0.25">
      <c r="A49" s="499" t="s">
        <v>1933</v>
      </c>
      <c r="B49" s="499" t="s">
        <v>1934</v>
      </c>
      <c r="C49" s="499">
        <v>0.85504999999999998</v>
      </c>
      <c r="D49" s="499">
        <v>0.90417000000000003</v>
      </c>
      <c r="E49" s="499">
        <v>608.75199999999995</v>
      </c>
      <c r="F49" s="499">
        <v>-18.795000000000002</v>
      </c>
      <c r="G49" s="499">
        <v>7.3189999999999996E-5</v>
      </c>
    </row>
    <row r="50" spans="1:7" ht="13.5" thickBot="1" x14ac:dyDescent="0.25">
      <c r="A50" s="498" t="s">
        <v>1935</v>
      </c>
      <c r="B50" s="498" t="s">
        <v>1936</v>
      </c>
      <c r="C50" s="498">
        <v>0.61821999999999999</v>
      </c>
      <c r="D50" s="498">
        <v>0.98765000000000003</v>
      </c>
      <c r="E50" s="498">
        <v>660.25699999999995</v>
      </c>
      <c r="F50" s="498">
        <v>-29.324000000000002</v>
      </c>
      <c r="G50" s="498">
        <v>9.1879999999999994E-5</v>
      </c>
    </row>
    <row r="51" spans="1:7" ht="13.5" thickBot="1" x14ac:dyDescent="0.25">
      <c r="A51" s="499" t="s">
        <v>1937</v>
      </c>
      <c r="B51" s="499" t="s">
        <v>1938</v>
      </c>
      <c r="C51" s="499">
        <v>0.83033000000000001</v>
      </c>
      <c r="D51" s="499">
        <v>2.2907799999999998</v>
      </c>
      <c r="E51" s="499">
        <v>562.11900000000003</v>
      </c>
      <c r="F51" s="499">
        <v>-73.328000000000003</v>
      </c>
      <c r="G51" s="499">
        <v>9.9290000000000007E-5</v>
      </c>
    </row>
    <row r="52" spans="1:7" ht="13.5" thickBot="1" x14ac:dyDescent="0.25">
      <c r="A52" s="498" t="s">
        <v>1939</v>
      </c>
      <c r="B52" s="498" t="s">
        <v>1940</v>
      </c>
      <c r="C52" s="498">
        <v>0.58164000000000005</v>
      </c>
      <c r="D52" s="498">
        <v>1.1434599999999999</v>
      </c>
      <c r="E52" s="498">
        <v>527.197</v>
      </c>
      <c r="F52" s="498">
        <v>-56.84</v>
      </c>
      <c r="G52" s="498">
        <v>1.0019E-4</v>
      </c>
    </row>
    <row r="53" spans="1:7" ht="13.5" thickBot="1" x14ac:dyDescent="0.25">
      <c r="A53" s="499" t="s">
        <v>1941</v>
      </c>
      <c r="B53" s="499" t="s">
        <v>1942</v>
      </c>
      <c r="C53" s="499">
        <v>2.5587499999999999</v>
      </c>
      <c r="D53" s="499">
        <v>-1.0000000000000001E-5</v>
      </c>
      <c r="E53" s="499">
        <v>884.15800000000002</v>
      </c>
      <c r="F53" s="499">
        <v>142.14099999999999</v>
      </c>
      <c r="G53" s="499">
        <v>1.8490000000000001E-5</v>
      </c>
    </row>
    <row r="54" spans="1:7" ht="13.5" thickBot="1" x14ac:dyDescent="0.25">
      <c r="A54" s="498" t="s">
        <v>1943</v>
      </c>
      <c r="B54" s="498" t="s">
        <v>1944</v>
      </c>
      <c r="C54" s="498">
        <v>1.1879999999999999</v>
      </c>
      <c r="D54" s="498">
        <v>0.70521</v>
      </c>
      <c r="E54" s="498">
        <v>870.90300000000002</v>
      </c>
      <c r="F54" s="498">
        <v>-15.622</v>
      </c>
      <c r="G54" s="498">
        <v>9.0530000000000002E-5</v>
      </c>
    </row>
    <row r="55" spans="1:7" ht="13.5" thickBot="1" x14ac:dyDescent="0.25">
      <c r="A55" s="499" t="s">
        <v>1945</v>
      </c>
      <c r="B55" s="499" t="s">
        <v>1946</v>
      </c>
      <c r="C55" s="499">
        <v>0.71297999999999995</v>
      </c>
      <c r="D55" s="499">
        <v>1.97356</v>
      </c>
      <c r="E55" s="499">
        <v>549.83600000000001</v>
      </c>
      <c r="F55" s="499">
        <v>121.42100000000001</v>
      </c>
      <c r="G55" s="499">
        <v>3.9419999999999999E-5</v>
      </c>
    </row>
    <row r="56" spans="1:7" ht="13.5" thickBot="1" x14ac:dyDescent="0.25">
      <c r="A56" s="498" t="s">
        <v>1947</v>
      </c>
      <c r="B56" s="498" t="s">
        <v>1948</v>
      </c>
      <c r="C56" s="498">
        <v>2.50542</v>
      </c>
      <c r="D56" s="498">
        <v>7.9000000000000001E-4</v>
      </c>
      <c r="E56" s="498">
        <v>369.19900000000001</v>
      </c>
      <c r="F56" s="498">
        <v>56.279000000000003</v>
      </c>
      <c r="G56" s="498">
        <v>2.9479999999999999E-5</v>
      </c>
    </row>
    <row r="57" spans="1:7" ht="13.5" thickBot="1" x14ac:dyDescent="0.25">
      <c r="A57" s="499" t="s">
        <v>1949</v>
      </c>
      <c r="B57" s="499" t="s">
        <v>1950</v>
      </c>
      <c r="C57" s="499">
        <v>1.10954</v>
      </c>
      <c r="D57" s="499">
        <v>1.0424500000000001</v>
      </c>
      <c r="E57" s="499">
        <v>429.18799999999999</v>
      </c>
      <c r="F57" s="499">
        <v>-2.9780000000000002</v>
      </c>
      <c r="G57" s="499">
        <v>9.7720000000000006E-5</v>
      </c>
    </row>
    <row r="58" spans="1:7" ht="13.5" thickBot="1" x14ac:dyDescent="0.25">
      <c r="A58" s="498" t="s">
        <v>1951</v>
      </c>
      <c r="B58" s="498" t="s">
        <v>1952</v>
      </c>
      <c r="C58" s="498">
        <v>0.76359999999999995</v>
      </c>
      <c r="D58" s="498">
        <v>1.6387799999999999</v>
      </c>
      <c r="E58" s="498">
        <v>278.21699999999998</v>
      </c>
      <c r="F58" s="498">
        <v>-10.329000000000001</v>
      </c>
      <c r="G58" s="498">
        <v>1.0624E-4</v>
      </c>
    </row>
    <row r="59" spans="1:7" ht="13.5" thickBot="1" x14ac:dyDescent="0.25">
      <c r="A59" s="499" t="s">
        <v>1953</v>
      </c>
      <c r="B59" s="499" t="s">
        <v>1954</v>
      </c>
      <c r="C59" s="499">
        <v>2.2343500000000001</v>
      </c>
      <c r="D59" s="499">
        <v>96.518079999999998</v>
      </c>
      <c r="E59" s="499">
        <v>363.17099999999999</v>
      </c>
      <c r="F59" s="499">
        <v>-3940.3440000000001</v>
      </c>
      <c r="G59" s="499">
        <v>7.3109999999999996E-5</v>
      </c>
    </row>
    <row r="60" spans="1:7" ht="13.5" thickBot="1" x14ac:dyDescent="0.25">
      <c r="A60" s="498" t="s">
        <v>1955</v>
      </c>
      <c r="B60" s="498" t="s">
        <v>1956</v>
      </c>
      <c r="C60" s="498">
        <v>1.85826</v>
      </c>
      <c r="D60" s="498">
        <v>74.837440000000001</v>
      </c>
      <c r="E60" s="498">
        <v>443.154</v>
      </c>
      <c r="F60" s="498">
        <v>-3365.6750000000002</v>
      </c>
      <c r="G60" s="498">
        <v>7.7529999999999998E-5</v>
      </c>
    </row>
    <row r="61" spans="1:7" ht="13.5" thickBot="1" x14ac:dyDescent="0.25">
      <c r="A61" s="499" t="s">
        <v>1957</v>
      </c>
      <c r="B61" s="499" t="s">
        <v>1958</v>
      </c>
      <c r="C61" s="499">
        <v>-2.8465500000000001</v>
      </c>
      <c r="D61" s="499">
        <v>2.0694300000000001</v>
      </c>
      <c r="E61" s="499">
        <v>550.11</v>
      </c>
      <c r="F61" s="499">
        <v>-106.565</v>
      </c>
      <c r="G61" s="499">
        <v>5.2565000000000001E-4</v>
      </c>
    </row>
    <row r="62" spans="1:7" ht="13.5" thickBot="1" x14ac:dyDescent="0.25">
      <c r="A62" s="498" t="s">
        <v>1959</v>
      </c>
      <c r="B62" s="498" t="s">
        <v>1960</v>
      </c>
      <c r="C62" s="498">
        <v>2.32681</v>
      </c>
      <c r="D62" s="498">
        <v>0.36985000000000001</v>
      </c>
      <c r="E62" s="498">
        <v>448.22899999999998</v>
      </c>
      <c r="F62" s="498">
        <v>35.146000000000001</v>
      </c>
      <c r="G62" s="498">
        <v>3.0409999999999999E-5</v>
      </c>
    </row>
    <row r="63" spans="1:7" ht="13.5" thickBot="1" x14ac:dyDescent="0.25">
      <c r="A63" s="499" t="s">
        <v>1961</v>
      </c>
      <c r="B63" s="499" t="s">
        <v>1962</v>
      </c>
      <c r="C63" s="499">
        <v>0.83477999999999997</v>
      </c>
      <c r="D63" s="499">
        <v>2.9944600000000001</v>
      </c>
      <c r="E63" s="499">
        <v>335.85</v>
      </c>
      <c r="F63" s="499">
        <v>-59.764000000000003</v>
      </c>
      <c r="G63" s="499">
        <v>2.1715999999999999E-4</v>
      </c>
    </row>
    <row r="64" spans="1:7" ht="13.5" thickBot="1" x14ac:dyDescent="0.25">
      <c r="A64" s="498" t="s">
        <v>1963</v>
      </c>
      <c r="B64" s="498" t="s">
        <v>1964</v>
      </c>
      <c r="C64" s="498">
        <v>1.3729499999999999</v>
      </c>
      <c r="D64" s="498">
        <v>1.2317899999999999</v>
      </c>
      <c r="E64" s="498">
        <v>556.46</v>
      </c>
      <c r="F64" s="498">
        <v>-39.335000000000001</v>
      </c>
      <c r="G64" s="498">
        <v>5.6079999999999998E-5</v>
      </c>
    </row>
    <row r="65" spans="1:7" ht="13.5" thickBot="1" x14ac:dyDescent="0.25">
      <c r="A65" s="499" t="s">
        <v>1965</v>
      </c>
      <c r="B65" s="499" t="s">
        <v>1964</v>
      </c>
      <c r="C65" s="499">
        <v>-0.45273000000000002</v>
      </c>
      <c r="D65" s="499">
        <v>17.428619999999999</v>
      </c>
      <c r="E65" s="499">
        <v>610.98199999999997</v>
      </c>
      <c r="F65" s="499">
        <v>-1044.345</v>
      </c>
      <c r="G65" s="499">
        <v>8.4989999999999998E-5</v>
      </c>
    </row>
    <row r="66" spans="1:7" ht="13.5" thickBot="1" x14ac:dyDescent="0.25">
      <c r="A66" s="498" t="s">
        <v>1966</v>
      </c>
      <c r="B66" s="498" t="s">
        <v>1967</v>
      </c>
      <c r="C66" s="498">
        <v>1.3099000000000001</v>
      </c>
      <c r="D66" s="498">
        <v>0.80947000000000002</v>
      </c>
      <c r="E66" s="498">
        <v>895.72</v>
      </c>
      <c r="F66" s="498">
        <v>-17.882000000000001</v>
      </c>
      <c r="G66" s="498">
        <v>4.7750000000000002E-5</v>
      </c>
    </row>
    <row r="67" spans="1:7" ht="13.5" thickBot="1" x14ac:dyDescent="0.25">
      <c r="A67" s="499" t="s">
        <v>1968</v>
      </c>
      <c r="B67" s="499" t="s">
        <v>1969</v>
      </c>
      <c r="C67" s="499">
        <v>4.6150599999999997</v>
      </c>
      <c r="D67" s="499">
        <v>1.7647699999999999</v>
      </c>
      <c r="E67" s="499">
        <v>546.01499999999999</v>
      </c>
      <c r="F67" s="499">
        <v>-252.89599999999999</v>
      </c>
      <c r="G67" s="499">
        <v>1.8700000000000001E-6</v>
      </c>
    </row>
    <row r="68" spans="1:7" ht="13.5" thickBot="1" x14ac:dyDescent="0.25">
      <c r="A68" s="498" t="s">
        <v>1970</v>
      </c>
      <c r="B68" s="498" t="s">
        <v>1971</v>
      </c>
      <c r="C68" s="498">
        <v>0.61255999999999999</v>
      </c>
      <c r="D68" s="498">
        <v>2.5708000000000002</v>
      </c>
      <c r="E68" s="498">
        <v>431.47699999999998</v>
      </c>
      <c r="F68" s="498">
        <v>-5.9880000000000004</v>
      </c>
      <c r="G68" s="498">
        <v>2.0394E-4</v>
      </c>
    </row>
    <row r="69" spans="1:7" ht="13.5" thickBot="1" x14ac:dyDescent="0.25">
      <c r="A69" s="499" t="s">
        <v>1972</v>
      </c>
      <c r="B69" s="499" t="s">
        <v>1973</v>
      </c>
      <c r="C69" s="499">
        <v>-1.87216</v>
      </c>
      <c r="D69" s="499">
        <v>3.09287</v>
      </c>
      <c r="E69" s="499">
        <v>643.53200000000004</v>
      </c>
      <c r="F69" s="499">
        <v>-79.591999999999999</v>
      </c>
      <c r="G69" s="499">
        <v>6.4249999999999995E-4</v>
      </c>
    </row>
    <row r="70" spans="1:7" ht="13.5" thickBot="1" x14ac:dyDescent="0.25">
      <c r="A70" s="498" t="s">
        <v>1974</v>
      </c>
      <c r="B70" s="498" t="s">
        <v>1975</v>
      </c>
      <c r="C70" s="498">
        <v>1.1916100000000001</v>
      </c>
      <c r="D70" s="498">
        <v>3.5308000000000002</v>
      </c>
      <c r="E70" s="498">
        <v>457.262</v>
      </c>
      <c r="F70" s="498">
        <v>-59.526000000000003</v>
      </c>
      <c r="G70" s="498">
        <v>2.6155999999999998E-4</v>
      </c>
    </row>
    <row r="71" spans="1:7" ht="13.5" thickBot="1" x14ac:dyDescent="0.25">
      <c r="A71" s="499" t="s">
        <v>1976</v>
      </c>
      <c r="B71" s="499" t="s">
        <v>1977</v>
      </c>
      <c r="C71" s="499">
        <v>0.93762999999999996</v>
      </c>
      <c r="D71" s="499">
        <v>1.5440199999999999</v>
      </c>
      <c r="E71" s="499">
        <v>933.96699999999998</v>
      </c>
      <c r="F71" s="499">
        <v>-95.372</v>
      </c>
      <c r="G71" s="499">
        <v>4.9480000000000001E-5</v>
      </c>
    </row>
    <row r="72" spans="1:7" ht="13.5" thickBot="1" x14ac:dyDescent="0.25">
      <c r="A72" s="498" t="s">
        <v>1978</v>
      </c>
      <c r="B72" s="498" t="s">
        <v>1979</v>
      </c>
      <c r="C72" s="498">
        <v>2.43919</v>
      </c>
      <c r="D72" s="498">
        <v>1.98108</v>
      </c>
      <c r="E72" s="498">
        <v>589.54700000000003</v>
      </c>
      <c r="F72" s="498">
        <v>-55.107999999999997</v>
      </c>
      <c r="G72" s="498">
        <v>2.9280000000000001E-5</v>
      </c>
    </row>
    <row r="73" spans="1:7" ht="13.5" thickBot="1" x14ac:dyDescent="0.25">
      <c r="A73" s="499" t="s">
        <v>1980</v>
      </c>
      <c r="B73" s="499" t="s">
        <v>1981</v>
      </c>
      <c r="C73" s="499">
        <v>0.82677</v>
      </c>
      <c r="D73" s="499">
        <v>1.3927799999999999</v>
      </c>
      <c r="E73" s="499">
        <v>641.77599999999995</v>
      </c>
      <c r="F73" s="499">
        <v>-33.411000000000001</v>
      </c>
      <c r="G73" s="499">
        <v>6.6069999999999996E-5</v>
      </c>
    </row>
    <row r="74" spans="1:7" ht="13.5" thickBot="1" x14ac:dyDescent="0.25">
      <c r="A74" s="498" t="s">
        <v>1982</v>
      </c>
      <c r="B74" s="498" t="s">
        <v>1983</v>
      </c>
      <c r="C74" s="498">
        <v>1.8706499999999999</v>
      </c>
      <c r="D74" s="498">
        <v>0.72921999999999998</v>
      </c>
      <c r="E74" s="498">
        <v>852.495</v>
      </c>
      <c r="F74" s="498">
        <v>-53.945999999999998</v>
      </c>
      <c r="G74" s="498">
        <v>1.04E-5</v>
      </c>
    </row>
    <row r="75" spans="1:7" ht="13.5" thickBot="1" x14ac:dyDescent="0.25">
      <c r="A75" s="499" t="s">
        <v>1984</v>
      </c>
      <c r="B75" s="499" t="s">
        <v>1985</v>
      </c>
      <c r="C75" s="499">
        <v>1.9290400000000001</v>
      </c>
      <c r="D75" s="499">
        <v>0.84928000000000003</v>
      </c>
      <c r="E75" s="499">
        <v>457.62799999999999</v>
      </c>
      <c r="F75" s="499">
        <v>5.1029999999999998</v>
      </c>
      <c r="G75" s="499">
        <v>4.8170000000000001E-5</v>
      </c>
    </row>
    <row r="76" spans="1:7" ht="13.5" thickBot="1" x14ac:dyDescent="0.25">
      <c r="A76" s="498" t="s">
        <v>1986</v>
      </c>
      <c r="B76" s="498" t="s">
        <v>1987</v>
      </c>
      <c r="C76" s="498">
        <v>1.5241499999999999</v>
      </c>
      <c r="D76" s="498">
        <v>0.59496000000000004</v>
      </c>
      <c r="E76" s="498">
        <v>866.798</v>
      </c>
      <c r="F76" s="498">
        <v>-26.350999999999999</v>
      </c>
      <c r="G76" s="498">
        <v>1.925E-5</v>
      </c>
    </row>
    <row r="77" spans="1:7" ht="13.5" thickBot="1" x14ac:dyDescent="0.25">
      <c r="A77" s="499" t="s">
        <v>1988</v>
      </c>
      <c r="B77" s="499" t="s">
        <v>1989</v>
      </c>
      <c r="C77" s="499">
        <v>0.62392000000000003</v>
      </c>
      <c r="D77" s="499">
        <v>1.37795</v>
      </c>
      <c r="E77" s="499">
        <v>655.39200000000005</v>
      </c>
      <c r="F77" s="499">
        <v>-49.533999999999999</v>
      </c>
      <c r="G77" s="499">
        <v>7.0300000000000001E-5</v>
      </c>
    </row>
    <row r="78" spans="1:7" ht="13.5" thickBot="1" x14ac:dyDescent="0.25">
      <c r="A78" s="498" t="s">
        <v>1990</v>
      </c>
      <c r="B78" s="498" t="s">
        <v>1991</v>
      </c>
      <c r="C78" s="498">
        <v>2.4432800000000001</v>
      </c>
      <c r="D78" s="498">
        <v>0.87633000000000005</v>
      </c>
      <c r="E78" s="498">
        <v>677.36500000000001</v>
      </c>
      <c r="F78" s="498">
        <v>-14.747999999999999</v>
      </c>
      <c r="G78" s="498">
        <v>1.698E-5</v>
      </c>
    </row>
    <row r="79" spans="1:7" ht="13.5" thickBot="1" x14ac:dyDescent="0.25">
      <c r="A79" s="499" t="s">
        <v>1992</v>
      </c>
      <c r="B79" s="499" t="s">
        <v>1993</v>
      </c>
      <c r="C79" s="499">
        <v>3.4034599999999999</v>
      </c>
      <c r="D79" s="499">
        <v>4.4749999999999998E-2</v>
      </c>
      <c r="E79" s="499">
        <v>1554.962</v>
      </c>
      <c r="F79" s="499">
        <v>-9.9039999999999999</v>
      </c>
      <c r="G79" s="499">
        <v>5.7000000000000005E-7</v>
      </c>
    </row>
    <row r="80" spans="1:7" ht="13.5" thickBot="1" x14ac:dyDescent="0.25">
      <c r="A80" s="498" t="s">
        <v>1994</v>
      </c>
      <c r="B80" s="498" t="s">
        <v>1995</v>
      </c>
      <c r="C80" s="498">
        <v>1.8144899999999999</v>
      </c>
      <c r="D80" s="498">
        <v>1.43005</v>
      </c>
      <c r="E80" s="498">
        <v>596.57299999999998</v>
      </c>
      <c r="F80" s="498">
        <v>-79.313000000000002</v>
      </c>
      <c r="G80" s="498">
        <v>2.6069999999999999E-5</v>
      </c>
    </row>
    <row r="81" spans="1:7" ht="13.5" thickBot="1" x14ac:dyDescent="0.25">
      <c r="A81" s="499" t="s">
        <v>1996</v>
      </c>
      <c r="B81" s="499" t="s">
        <v>1997</v>
      </c>
      <c r="C81" s="499">
        <v>9.8530000000000006E-2</v>
      </c>
      <c r="D81" s="499">
        <v>0.87463999999999997</v>
      </c>
      <c r="E81" s="499">
        <v>646.09900000000005</v>
      </c>
      <c r="F81" s="499">
        <v>-1.5469999999999999</v>
      </c>
      <c r="G81" s="499">
        <v>1.6897E-4</v>
      </c>
    </row>
    <row r="82" spans="1:7" ht="13.5" thickBot="1" x14ac:dyDescent="0.25">
      <c r="A82" s="498" t="s">
        <v>1998</v>
      </c>
      <c r="B82" s="498" t="s">
        <v>1999</v>
      </c>
      <c r="C82" s="498">
        <v>1.6563399999999999</v>
      </c>
      <c r="D82" s="498">
        <v>0.78790000000000004</v>
      </c>
      <c r="E82" s="498">
        <v>633.41399999999999</v>
      </c>
      <c r="F82" s="498">
        <v>-20.306000000000001</v>
      </c>
      <c r="G82" s="498">
        <v>6.745E-5</v>
      </c>
    </row>
    <row r="83" spans="1:7" ht="13.5" thickBot="1" x14ac:dyDescent="0.25">
      <c r="A83" s="499" t="s">
        <v>2000</v>
      </c>
      <c r="B83" s="499" t="s">
        <v>2001</v>
      </c>
      <c r="C83" s="499">
        <v>2.0496300000000001</v>
      </c>
      <c r="D83" s="499">
        <v>0.38729000000000002</v>
      </c>
      <c r="E83" s="499">
        <v>532.92600000000004</v>
      </c>
      <c r="F83" s="499">
        <v>91.376000000000005</v>
      </c>
      <c r="G83" s="499">
        <v>4.074E-5</v>
      </c>
    </row>
    <row r="84" spans="1:7" ht="13.5" thickBot="1" x14ac:dyDescent="0.25">
      <c r="A84" s="498" t="s">
        <v>2002</v>
      </c>
      <c r="B84" s="498" t="s">
        <v>2003</v>
      </c>
      <c r="C84" s="498">
        <v>2.6272799999999998</v>
      </c>
      <c r="D84" s="498">
        <v>-3.0000000000000001E-5</v>
      </c>
      <c r="E84" s="498">
        <v>685.399</v>
      </c>
      <c r="F84" s="498">
        <v>159.643</v>
      </c>
      <c r="G84" s="498">
        <v>1.8680000000000001E-5</v>
      </c>
    </row>
    <row r="85" spans="1:7" ht="13.5" thickBot="1" x14ac:dyDescent="0.25">
      <c r="A85" s="499" t="s">
        <v>2004</v>
      </c>
      <c r="B85" s="499" t="s">
        <v>2005</v>
      </c>
      <c r="C85" s="499">
        <v>2.1288900000000002</v>
      </c>
      <c r="D85" s="499">
        <v>0.10412</v>
      </c>
      <c r="E85" s="499">
        <v>1705.0360000000001</v>
      </c>
      <c r="F85" s="499">
        <v>59.323999999999998</v>
      </c>
      <c r="G85" s="499">
        <v>7.5299999999999999E-6</v>
      </c>
    </row>
    <row r="86" spans="1:7" ht="13.5" thickBot="1" x14ac:dyDescent="0.25">
      <c r="A86" s="498" t="s">
        <v>2006</v>
      </c>
      <c r="B86" s="498" t="s">
        <v>2007</v>
      </c>
      <c r="C86" s="498">
        <v>2.3781300000000001</v>
      </c>
      <c r="D86" s="498">
        <v>0.16292999999999999</v>
      </c>
      <c r="E86" s="498">
        <v>1304.037</v>
      </c>
      <c r="F86" s="498">
        <v>67.555000000000007</v>
      </c>
      <c r="G86" s="498">
        <v>1.0030000000000001E-5</v>
      </c>
    </row>
    <row r="87" spans="1:7" ht="13.5" thickBot="1" x14ac:dyDescent="0.25">
      <c r="A87" s="499" t="s">
        <v>2008</v>
      </c>
      <c r="B87" s="499" t="s">
        <v>2009</v>
      </c>
      <c r="C87" s="499">
        <v>0.66569999999999996</v>
      </c>
      <c r="D87" s="499">
        <v>2.5753699999999999</v>
      </c>
      <c r="E87" s="499">
        <v>448.32</v>
      </c>
      <c r="F87" s="499">
        <v>-26.587</v>
      </c>
      <c r="G87" s="499">
        <v>2.1128E-4</v>
      </c>
    </row>
    <row r="88" spans="1:7" ht="13.5" thickBot="1" x14ac:dyDescent="0.25">
      <c r="A88" s="498" t="s">
        <v>2010</v>
      </c>
      <c r="B88" s="498" t="s">
        <v>2009</v>
      </c>
      <c r="C88" s="498">
        <v>1.9821800000000001</v>
      </c>
      <c r="D88" s="498">
        <v>1.9349799999999999</v>
      </c>
      <c r="E88" s="498">
        <v>643.94299999999998</v>
      </c>
      <c r="F88" s="498">
        <v>-99.093999999999994</v>
      </c>
      <c r="G88" s="498">
        <v>3.3689999999999998E-5</v>
      </c>
    </row>
    <row r="89" spans="1:7" ht="13.5" thickBot="1" x14ac:dyDescent="0.25">
      <c r="A89" s="499" t="s">
        <v>2011</v>
      </c>
      <c r="B89" s="499" t="s">
        <v>906</v>
      </c>
      <c r="C89" s="499">
        <v>2.31365</v>
      </c>
      <c r="D89" s="499">
        <v>0.66803000000000001</v>
      </c>
      <c r="E89" s="499">
        <v>200.21100000000001</v>
      </c>
      <c r="F89" s="499">
        <v>-19.178000000000001</v>
      </c>
      <c r="G89" s="499">
        <v>1.039E-5</v>
      </c>
    </row>
    <row r="90" spans="1:7" ht="13.5" thickBot="1" x14ac:dyDescent="0.25">
      <c r="A90" s="498" t="s">
        <v>1659</v>
      </c>
      <c r="B90" s="498" t="s">
        <v>889</v>
      </c>
      <c r="C90" s="498">
        <v>2.4359099999999998</v>
      </c>
      <c r="D90" s="498">
        <v>9.7100000000000006E-2</v>
      </c>
      <c r="E90" s="498">
        <v>309.73399999999998</v>
      </c>
      <c r="F90" s="498">
        <v>33.466999999999999</v>
      </c>
      <c r="G90" s="498">
        <v>1.554E-5</v>
      </c>
    </row>
    <row r="91" spans="1:7" ht="13.5" thickBot="1" x14ac:dyDescent="0.25">
      <c r="A91" s="499" t="s">
        <v>1658</v>
      </c>
      <c r="B91" s="499" t="s">
        <v>917</v>
      </c>
      <c r="C91" s="499">
        <v>2.5634399999999999</v>
      </c>
      <c r="D91" s="499">
        <v>0.16137000000000001</v>
      </c>
      <c r="E91" s="499">
        <v>372.53300000000002</v>
      </c>
      <c r="F91" s="499">
        <v>38.033000000000001</v>
      </c>
      <c r="G91" s="499">
        <v>1.751E-5</v>
      </c>
    </row>
    <row r="92" spans="1:7" ht="13.5" thickBot="1" x14ac:dyDescent="0.25">
      <c r="A92" s="498" t="s">
        <v>2012</v>
      </c>
      <c r="B92" s="498" t="s">
        <v>902</v>
      </c>
      <c r="C92" s="498">
        <v>2.6292399999999998</v>
      </c>
      <c r="D92" s="498">
        <v>0.23702999999999999</v>
      </c>
      <c r="E92" s="498">
        <v>428.06900000000002</v>
      </c>
      <c r="F92" s="498">
        <v>37.093000000000004</v>
      </c>
      <c r="G92" s="498">
        <v>1.8009999999999999E-5</v>
      </c>
    </row>
    <row r="93" spans="1:7" ht="13.5" thickBot="1" x14ac:dyDescent="0.25">
      <c r="A93" s="499" t="s">
        <v>2013</v>
      </c>
      <c r="B93" s="499" t="s">
        <v>2014</v>
      </c>
      <c r="C93" s="499">
        <v>2.8033100000000002</v>
      </c>
      <c r="D93" s="499">
        <v>0.25074000000000002</v>
      </c>
      <c r="E93" s="499">
        <v>474.45499999999998</v>
      </c>
      <c r="F93" s="499">
        <v>32.856000000000002</v>
      </c>
      <c r="G93" s="499">
        <v>1.6529999999999999E-5</v>
      </c>
    </row>
    <row r="94" spans="1:7" ht="13.5" thickBot="1" x14ac:dyDescent="0.25">
      <c r="A94" s="498" t="s">
        <v>2015</v>
      </c>
      <c r="B94" s="498" t="s">
        <v>2016</v>
      </c>
      <c r="C94" s="498">
        <v>0.69508000000000003</v>
      </c>
      <c r="D94" s="498">
        <v>0.53664999999999996</v>
      </c>
      <c r="E94" s="498">
        <v>704.29499999999996</v>
      </c>
      <c r="F94" s="498">
        <v>16.747</v>
      </c>
      <c r="G94" s="498">
        <v>5.6570000000000002E-5</v>
      </c>
    </row>
    <row r="95" spans="1:7" ht="13.5" thickBot="1" x14ac:dyDescent="0.25">
      <c r="A95" s="499" t="s">
        <v>2017</v>
      </c>
      <c r="B95" s="499" t="s">
        <v>2018</v>
      </c>
      <c r="C95" s="499">
        <v>2.9600200000000001</v>
      </c>
      <c r="D95" s="499">
        <v>0.24715000000000001</v>
      </c>
      <c r="E95" s="499">
        <v>553.94200000000001</v>
      </c>
      <c r="F95" s="499">
        <v>62.171999999999997</v>
      </c>
      <c r="G95" s="499">
        <v>1.4239999999999999E-5</v>
      </c>
    </row>
    <row r="96" spans="1:7" ht="13.5" thickBot="1" x14ac:dyDescent="0.25">
      <c r="A96" s="498" t="s">
        <v>2019</v>
      </c>
      <c r="B96" s="498" t="s">
        <v>2020</v>
      </c>
      <c r="C96" s="498">
        <v>2.8708800000000001</v>
      </c>
      <c r="D96" s="498">
        <v>0.35482999999999998</v>
      </c>
      <c r="E96" s="498">
        <v>577.53399999999999</v>
      </c>
      <c r="F96" s="498">
        <v>48.982999999999997</v>
      </c>
      <c r="G96" s="498">
        <v>1.7220000000000001E-5</v>
      </c>
    </row>
    <row r="97" spans="1:7" ht="13.5" thickBot="1" x14ac:dyDescent="0.25">
      <c r="A97" s="499" t="s">
        <v>2021</v>
      </c>
      <c r="B97" s="499" t="s">
        <v>2022</v>
      </c>
      <c r="C97" s="499">
        <v>2.9149699999999998</v>
      </c>
      <c r="D97" s="499">
        <v>0.4985</v>
      </c>
      <c r="E97" s="499">
        <v>609.36099999999999</v>
      </c>
      <c r="F97" s="499">
        <v>38.981999999999999</v>
      </c>
      <c r="G97" s="499">
        <v>1.562E-5</v>
      </c>
    </row>
    <row r="98" spans="1:7" ht="13.5" thickBot="1" x14ac:dyDescent="0.25">
      <c r="A98" s="498" t="s">
        <v>2023</v>
      </c>
      <c r="B98" s="498" t="s">
        <v>2024</v>
      </c>
      <c r="C98" s="498">
        <v>2.7681</v>
      </c>
      <c r="D98" s="498">
        <v>0.64646000000000003</v>
      </c>
      <c r="E98" s="498">
        <v>621.36199999999997</v>
      </c>
      <c r="F98" s="498">
        <v>24.17</v>
      </c>
      <c r="G98" s="498">
        <v>2.107E-5</v>
      </c>
    </row>
    <row r="99" spans="1:7" ht="13.5" thickBot="1" x14ac:dyDescent="0.25">
      <c r="A99" s="499" t="s">
        <v>2025</v>
      </c>
      <c r="B99" s="499" t="s">
        <v>2026</v>
      </c>
      <c r="C99" s="499">
        <v>1.4278900000000001</v>
      </c>
      <c r="D99" s="499">
        <v>1.3692299999999999</v>
      </c>
      <c r="E99" s="499">
        <v>615.19399999999996</v>
      </c>
      <c r="F99" s="499">
        <v>-0.59699999999999998</v>
      </c>
      <c r="G99" s="499">
        <v>5.825E-5</v>
      </c>
    </row>
    <row r="100" spans="1:7" ht="13.5" thickBot="1" x14ac:dyDescent="0.25">
      <c r="A100" s="498" t="s">
        <v>2027</v>
      </c>
      <c r="B100" s="498" t="s">
        <v>2028</v>
      </c>
      <c r="C100" s="498">
        <v>1.8710599999999999</v>
      </c>
      <c r="D100" s="498">
        <v>0.59428999999999998</v>
      </c>
      <c r="E100" s="498">
        <v>757.67200000000003</v>
      </c>
      <c r="F100" s="498">
        <v>63.871000000000002</v>
      </c>
      <c r="G100" s="498">
        <v>3.0700000000000001E-5</v>
      </c>
    </row>
    <row r="101" spans="1:7" ht="13.5" thickBot="1" x14ac:dyDescent="0.25">
      <c r="A101" s="499" t="s">
        <v>2029</v>
      </c>
      <c r="B101" s="499" t="s">
        <v>2030</v>
      </c>
      <c r="C101" s="499">
        <v>1.05863</v>
      </c>
      <c r="D101" s="499">
        <v>1.7348399999999999</v>
      </c>
      <c r="E101" s="499">
        <v>695.33699999999999</v>
      </c>
      <c r="F101" s="499">
        <v>-39.850999999999999</v>
      </c>
      <c r="G101" s="499">
        <v>6.5040000000000001E-5</v>
      </c>
    </row>
    <row r="102" spans="1:7" ht="13.5" thickBot="1" x14ac:dyDescent="0.25">
      <c r="A102" s="498" t="s">
        <v>2031</v>
      </c>
      <c r="B102" s="498" t="s">
        <v>2032</v>
      </c>
      <c r="C102" s="498">
        <v>1.7034499999999999</v>
      </c>
      <c r="D102" s="498">
        <v>1.105</v>
      </c>
      <c r="E102" s="498">
        <v>696.65800000000002</v>
      </c>
      <c r="F102" s="498">
        <v>26.021999999999998</v>
      </c>
      <c r="G102" s="498">
        <v>4.7700000000000001E-5</v>
      </c>
    </row>
    <row r="103" spans="1:7" ht="13.5" thickBot="1" x14ac:dyDescent="0.25">
      <c r="A103" s="499" t="s">
        <v>2033</v>
      </c>
      <c r="B103" s="499" t="s">
        <v>2034</v>
      </c>
      <c r="C103" s="499">
        <v>1.32056</v>
      </c>
      <c r="D103" s="499">
        <v>1.61496</v>
      </c>
      <c r="E103" s="499">
        <v>714.99599999999998</v>
      </c>
      <c r="F103" s="499">
        <v>-23.879000000000001</v>
      </c>
      <c r="G103" s="499">
        <v>6.0510000000000002E-5</v>
      </c>
    </row>
    <row r="104" spans="1:7" ht="13.5" thickBot="1" x14ac:dyDescent="0.25">
      <c r="A104" s="498" t="s">
        <v>2035</v>
      </c>
      <c r="B104" s="498" t="s">
        <v>2036</v>
      </c>
      <c r="C104" s="498">
        <v>1.7586299999999999</v>
      </c>
      <c r="D104" s="498">
        <v>0.59899000000000002</v>
      </c>
      <c r="E104" s="498">
        <v>1140.067</v>
      </c>
      <c r="F104" s="498">
        <v>17.721</v>
      </c>
      <c r="G104" s="498">
        <v>1.7580000000000001E-5</v>
      </c>
    </row>
    <row r="105" spans="1:7" ht="13.5" thickBot="1" x14ac:dyDescent="0.25">
      <c r="A105" s="499" t="s">
        <v>2037</v>
      </c>
      <c r="B105" s="499" t="s">
        <v>2038</v>
      </c>
      <c r="C105" s="499">
        <v>0.25718999999999997</v>
      </c>
      <c r="D105" s="499">
        <v>1.5501400000000001</v>
      </c>
      <c r="E105" s="499">
        <v>986.952</v>
      </c>
      <c r="F105" s="499">
        <v>-71.138999999999996</v>
      </c>
      <c r="G105" s="499">
        <v>7.1340000000000005E-5</v>
      </c>
    </row>
    <row r="106" spans="1:7" ht="13.5" thickBot="1" x14ac:dyDescent="0.25">
      <c r="A106" s="498" t="s">
        <v>2039</v>
      </c>
      <c r="B106" s="498" t="s">
        <v>2040</v>
      </c>
      <c r="C106" s="498">
        <v>1.77701</v>
      </c>
      <c r="D106" s="498">
        <v>0.56471000000000005</v>
      </c>
      <c r="E106" s="498">
        <v>1241.3030000000001</v>
      </c>
      <c r="F106" s="498">
        <v>18.268000000000001</v>
      </c>
      <c r="G106" s="498">
        <v>1.609E-5</v>
      </c>
    </row>
    <row r="107" spans="1:7" ht="13.5" thickBot="1" x14ac:dyDescent="0.25">
      <c r="A107" s="499" t="s">
        <v>2041</v>
      </c>
      <c r="B107" s="499" t="s">
        <v>2042</v>
      </c>
      <c r="C107" s="499">
        <v>0.56467999999999996</v>
      </c>
      <c r="D107" s="499">
        <v>1.5293600000000001</v>
      </c>
      <c r="E107" s="499">
        <v>1020.103</v>
      </c>
      <c r="F107" s="499">
        <v>-76.599000000000004</v>
      </c>
      <c r="G107" s="499">
        <v>5.702E-5</v>
      </c>
    </row>
    <row r="108" spans="1:7" ht="13.5" thickBot="1" x14ac:dyDescent="0.25">
      <c r="A108" s="498" t="s">
        <v>2043</v>
      </c>
      <c r="B108" s="498" t="s">
        <v>2044</v>
      </c>
      <c r="C108" s="498">
        <v>0.77549000000000001</v>
      </c>
      <c r="D108" s="498">
        <v>2.1601599999999999</v>
      </c>
      <c r="E108" s="498">
        <v>789.78499999999997</v>
      </c>
      <c r="F108" s="498">
        <v>-65.277000000000001</v>
      </c>
      <c r="G108" s="498">
        <v>8.9019999999999998E-5</v>
      </c>
    </row>
    <row r="109" spans="1:7" ht="13.5" thickBot="1" x14ac:dyDescent="0.25">
      <c r="A109" s="499" t="s">
        <v>1656</v>
      </c>
      <c r="B109" s="499" t="s">
        <v>902</v>
      </c>
      <c r="C109" s="499">
        <v>2.7952900000000001</v>
      </c>
      <c r="D109" s="499">
        <v>0.37314999999999998</v>
      </c>
      <c r="E109" s="499">
        <v>419.63</v>
      </c>
      <c r="F109" s="499">
        <v>28.071999999999999</v>
      </c>
      <c r="G109" s="499">
        <v>1.5670000000000001E-5</v>
      </c>
    </row>
    <row r="110" spans="1:7" ht="13.5" thickBot="1" x14ac:dyDescent="0.25">
      <c r="A110" s="498" t="s">
        <v>2045</v>
      </c>
      <c r="B110" s="498" t="s">
        <v>2014</v>
      </c>
      <c r="C110" s="498">
        <v>1.34155</v>
      </c>
      <c r="D110" s="498">
        <v>1.3358399999999999</v>
      </c>
      <c r="E110" s="498">
        <v>426.654</v>
      </c>
      <c r="F110" s="498">
        <v>-16.753</v>
      </c>
      <c r="G110" s="498">
        <v>5.2800000000000003E-5</v>
      </c>
    </row>
    <row r="111" spans="1:7" ht="13.5" thickBot="1" x14ac:dyDescent="0.25">
      <c r="A111" s="499" t="s">
        <v>2046</v>
      </c>
      <c r="B111" s="499" t="s">
        <v>2014</v>
      </c>
      <c r="C111" s="499">
        <v>0.20382</v>
      </c>
      <c r="D111" s="499">
        <v>2.65306</v>
      </c>
      <c r="E111" s="499">
        <v>366.67200000000003</v>
      </c>
      <c r="F111" s="499">
        <v>40.292000000000002</v>
      </c>
      <c r="G111" s="499">
        <v>1.2836E-4</v>
      </c>
    </row>
    <row r="112" spans="1:7" ht="13.5" thickBot="1" x14ac:dyDescent="0.25">
      <c r="A112" s="498" t="s">
        <v>2047</v>
      </c>
      <c r="B112" s="498" t="s">
        <v>2016</v>
      </c>
      <c r="C112" s="498">
        <v>1.2544299999999999</v>
      </c>
      <c r="D112" s="498">
        <v>1.20225</v>
      </c>
      <c r="E112" s="498">
        <v>495.37</v>
      </c>
      <c r="F112" s="498">
        <v>-20.972000000000001</v>
      </c>
      <c r="G112" s="498">
        <v>5.0659999999999999E-5</v>
      </c>
    </row>
    <row r="113" spans="1:7" ht="13.5" thickBot="1" x14ac:dyDescent="0.25">
      <c r="A113" s="499" t="s">
        <v>2048</v>
      </c>
      <c r="B113" s="499" t="s">
        <v>2016</v>
      </c>
      <c r="C113" s="499">
        <v>-1.65266</v>
      </c>
      <c r="D113" s="499">
        <v>4.7115299999999998</v>
      </c>
      <c r="E113" s="499">
        <v>545.79200000000003</v>
      </c>
      <c r="F113" s="499">
        <v>-273.697</v>
      </c>
      <c r="G113" s="499">
        <v>2.1598E-4</v>
      </c>
    </row>
    <row r="114" spans="1:7" ht="13.5" thickBot="1" x14ac:dyDescent="0.25">
      <c r="A114" s="498" t="s">
        <v>2049</v>
      </c>
      <c r="B114" s="498" t="s">
        <v>2016</v>
      </c>
      <c r="C114" s="498">
        <v>0.78334999999999999</v>
      </c>
      <c r="D114" s="498">
        <v>1.7971900000000001</v>
      </c>
      <c r="E114" s="498">
        <v>521.06500000000005</v>
      </c>
      <c r="F114" s="498">
        <v>-50.88</v>
      </c>
      <c r="G114" s="498">
        <v>6.6060000000000001E-5</v>
      </c>
    </row>
    <row r="115" spans="1:7" ht="13.5" thickBot="1" x14ac:dyDescent="0.25">
      <c r="A115" s="499" t="s">
        <v>2050</v>
      </c>
      <c r="B115" s="499" t="s">
        <v>2016</v>
      </c>
      <c r="C115" s="499">
        <v>2.4072</v>
      </c>
      <c r="D115" s="499">
        <v>2.47024</v>
      </c>
      <c r="E115" s="499">
        <v>483.73099999999999</v>
      </c>
      <c r="F115" s="499">
        <v>-163.83199999999999</v>
      </c>
      <c r="G115" s="499">
        <v>2.9479999999999999E-5</v>
      </c>
    </row>
    <row r="116" spans="1:7" ht="13.5" thickBot="1" x14ac:dyDescent="0.25">
      <c r="A116" s="498" t="s">
        <v>2051</v>
      </c>
      <c r="B116" s="498" t="s">
        <v>891</v>
      </c>
      <c r="C116" s="498">
        <v>2.0984400000000001</v>
      </c>
      <c r="D116" s="498">
        <v>9.0950000000000003E-2</v>
      </c>
      <c r="E116" s="498">
        <v>281.46899999999999</v>
      </c>
      <c r="F116" s="498">
        <v>47.654000000000003</v>
      </c>
      <c r="G116" s="498">
        <v>2.107E-5</v>
      </c>
    </row>
    <row r="117" spans="1:7" ht="13.5" thickBot="1" x14ac:dyDescent="0.25">
      <c r="A117" s="499" t="s">
        <v>2052</v>
      </c>
      <c r="B117" s="499" t="s">
        <v>919</v>
      </c>
      <c r="C117" s="499">
        <v>1.4186799999999999</v>
      </c>
      <c r="D117" s="499">
        <v>0.31807999999999997</v>
      </c>
      <c r="E117" s="499">
        <v>772.73299999999995</v>
      </c>
      <c r="F117" s="499">
        <v>-16.157</v>
      </c>
      <c r="G117" s="499">
        <v>1.059E-5</v>
      </c>
    </row>
    <row r="118" spans="1:7" ht="13.5" thickBot="1" x14ac:dyDescent="0.25">
      <c r="A118" s="498" t="s">
        <v>2053</v>
      </c>
      <c r="B118" s="498" t="s">
        <v>904</v>
      </c>
      <c r="C118" s="498">
        <v>1.1232800000000001</v>
      </c>
      <c r="D118" s="498">
        <v>1.4638199999999999</v>
      </c>
      <c r="E118" s="498">
        <v>431.59199999999998</v>
      </c>
      <c r="F118" s="498">
        <v>-78.509</v>
      </c>
      <c r="G118" s="498">
        <v>4.5040000000000002E-5</v>
      </c>
    </row>
    <row r="119" spans="1:7" ht="13.5" thickBot="1" x14ac:dyDescent="0.25">
      <c r="A119" s="499" t="s">
        <v>2054</v>
      </c>
      <c r="B119" s="499" t="s">
        <v>2055</v>
      </c>
      <c r="C119" s="499">
        <v>1.2386299999999999</v>
      </c>
      <c r="D119" s="499">
        <v>0.83928000000000003</v>
      </c>
      <c r="E119" s="499">
        <v>552.92999999999995</v>
      </c>
      <c r="F119" s="499">
        <v>-31.663</v>
      </c>
      <c r="G119" s="499">
        <v>3.4159999999999998E-5</v>
      </c>
    </row>
    <row r="120" spans="1:7" ht="13.5" thickBot="1" x14ac:dyDescent="0.25">
      <c r="A120" s="498" t="s">
        <v>2056</v>
      </c>
      <c r="B120" s="498" t="s">
        <v>2057</v>
      </c>
      <c r="C120" s="498">
        <v>0.78657999999999995</v>
      </c>
      <c r="D120" s="498">
        <v>1.77502</v>
      </c>
      <c r="E120" s="498">
        <v>489.92500000000001</v>
      </c>
      <c r="F120" s="498">
        <v>-75.081999999999994</v>
      </c>
      <c r="G120" s="498">
        <v>6.3639999999999994E-5</v>
      </c>
    </row>
    <row r="121" spans="1:7" ht="13.5" thickBot="1" x14ac:dyDescent="0.25">
      <c r="A121" s="499" t="s">
        <v>2058</v>
      </c>
      <c r="B121" s="499" t="s">
        <v>2059</v>
      </c>
      <c r="C121" s="499">
        <v>0.86573</v>
      </c>
      <c r="D121" s="499">
        <v>0.25317000000000001</v>
      </c>
      <c r="E121" s="499">
        <v>1520.7149999999999</v>
      </c>
      <c r="F121" s="499">
        <v>-26.413</v>
      </c>
      <c r="G121" s="499">
        <v>1.982E-5</v>
      </c>
    </row>
    <row r="122" spans="1:7" ht="13.5" thickBot="1" x14ac:dyDescent="0.25">
      <c r="A122" s="498" t="s">
        <v>2060</v>
      </c>
      <c r="B122" s="498" t="s">
        <v>2061</v>
      </c>
      <c r="C122" s="498">
        <v>1.29101</v>
      </c>
      <c r="D122" s="498">
        <v>1.2930200000000001</v>
      </c>
      <c r="E122" s="498">
        <v>586.31899999999996</v>
      </c>
      <c r="F122" s="498">
        <v>-48.96</v>
      </c>
      <c r="G122" s="498">
        <v>4.9200000000000003E-5</v>
      </c>
    </row>
    <row r="123" spans="1:7" ht="13.5" thickBot="1" x14ac:dyDescent="0.25">
      <c r="A123" s="499" t="s">
        <v>2062</v>
      </c>
      <c r="B123" s="499" t="s">
        <v>2063</v>
      </c>
      <c r="C123" s="499">
        <v>0.89336000000000004</v>
      </c>
      <c r="D123" s="499">
        <v>0.66483999999999999</v>
      </c>
      <c r="E123" s="499">
        <v>424.315</v>
      </c>
      <c r="F123" s="499">
        <v>-49.755000000000003</v>
      </c>
      <c r="G123" s="499">
        <v>6.2990000000000005E-5</v>
      </c>
    </row>
    <row r="124" spans="1:7" ht="13.5" thickBot="1" x14ac:dyDescent="0.25">
      <c r="A124" s="498" t="s">
        <v>2064</v>
      </c>
      <c r="B124" s="498" t="s">
        <v>2065</v>
      </c>
      <c r="C124" s="498">
        <v>0.67335999999999996</v>
      </c>
      <c r="D124" s="498">
        <v>0.50405</v>
      </c>
      <c r="E124" s="498">
        <v>612.62300000000005</v>
      </c>
      <c r="F124" s="498">
        <v>-27.742000000000001</v>
      </c>
      <c r="G124" s="498">
        <v>5.206E-5</v>
      </c>
    </row>
    <row r="125" spans="1:7" ht="13.5" thickBot="1" x14ac:dyDescent="0.25">
      <c r="A125" s="499" t="s">
        <v>2066</v>
      </c>
      <c r="B125" s="499" t="s">
        <v>2065</v>
      </c>
      <c r="C125" s="499">
        <v>0.88238000000000005</v>
      </c>
      <c r="D125" s="499">
        <v>101.98307</v>
      </c>
      <c r="E125" s="499">
        <v>384.66699999999997</v>
      </c>
      <c r="F125" s="499">
        <v>-3372.0770000000002</v>
      </c>
      <c r="G125" s="499">
        <v>5.4299999999999998E-5</v>
      </c>
    </row>
    <row r="126" spans="1:7" ht="13.5" thickBot="1" x14ac:dyDescent="0.25">
      <c r="A126" s="498" t="s">
        <v>2067</v>
      </c>
      <c r="B126" s="498" t="s">
        <v>2068</v>
      </c>
      <c r="C126" s="498">
        <v>0.90990000000000004</v>
      </c>
      <c r="D126" s="498">
        <v>0.49698999999999999</v>
      </c>
      <c r="E126" s="498">
        <v>702.28399999999999</v>
      </c>
      <c r="F126" s="498">
        <v>-22.925999999999998</v>
      </c>
      <c r="G126" s="498">
        <v>3.7289999999999997E-5</v>
      </c>
    </row>
    <row r="127" spans="1:7" ht="13.5" thickBot="1" x14ac:dyDescent="0.25">
      <c r="A127" s="499" t="s">
        <v>2069</v>
      </c>
      <c r="B127" s="499" t="s">
        <v>2068</v>
      </c>
      <c r="C127" s="499">
        <v>0.67881999999999998</v>
      </c>
      <c r="D127" s="499">
        <v>1.19675</v>
      </c>
      <c r="E127" s="499">
        <v>469.03399999999999</v>
      </c>
      <c r="F127" s="499">
        <v>-52.56</v>
      </c>
      <c r="G127" s="499">
        <v>7.2470000000000002E-5</v>
      </c>
    </row>
    <row r="128" spans="1:7" ht="13.5" thickBot="1" x14ac:dyDescent="0.25">
      <c r="A128" s="498" t="s">
        <v>2070</v>
      </c>
      <c r="B128" s="498" t="s">
        <v>2068</v>
      </c>
      <c r="C128" s="498">
        <v>0.95704999999999996</v>
      </c>
      <c r="D128" s="498">
        <v>0.89154</v>
      </c>
      <c r="E128" s="498">
        <v>474.14100000000002</v>
      </c>
      <c r="F128" s="498">
        <v>-25.364999999999998</v>
      </c>
      <c r="G128" s="498">
        <v>6.0229999999999998E-5</v>
      </c>
    </row>
    <row r="129" spans="1:7" ht="13.5" thickBot="1" x14ac:dyDescent="0.25">
      <c r="A129" s="499" t="s">
        <v>2071</v>
      </c>
      <c r="B129" s="499" t="s">
        <v>2068</v>
      </c>
      <c r="C129" s="499">
        <v>0.87673000000000001</v>
      </c>
      <c r="D129" s="499">
        <v>0.76868000000000003</v>
      </c>
      <c r="E129" s="499">
        <v>537.82100000000003</v>
      </c>
      <c r="F129" s="499">
        <v>-27.161000000000001</v>
      </c>
      <c r="G129" s="499">
        <v>5.3180000000000002E-5</v>
      </c>
    </row>
    <row r="130" spans="1:7" ht="13.5" thickBot="1" x14ac:dyDescent="0.25">
      <c r="A130" s="498" t="s">
        <v>758</v>
      </c>
      <c r="B130" s="498" t="s">
        <v>946</v>
      </c>
      <c r="C130" s="498">
        <v>2.5236499999999999</v>
      </c>
      <c r="D130" s="498">
        <v>1.1780999999999999</v>
      </c>
      <c r="E130" s="498">
        <v>426.58199999999999</v>
      </c>
      <c r="F130" s="498">
        <v>-212.035</v>
      </c>
      <c r="G130" s="498">
        <v>1.364E-5</v>
      </c>
    </row>
    <row r="131" spans="1:7" ht="13.5" thickBot="1" x14ac:dyDescent="0.25">
      <c r="A131" s="499" t="s">
        <v>2072</v>
      </c>
      <c r="B131" s="499" t="s">
        <v>2063</v>
      </c>
      <c r="C131" s="499">
        <v>1.5113700000000001</v>
      </c>
      <c r="D131" s="499">
        <v>0.90164</v>
      </c>
      <c r="E131" s="499">
        <v>554.41700000000003</v>
      </c>
      <c r="F131" s="499">
        <v>-83.956999999999994</v>
      </c>
      <c r="G131" s="499">
        <v>2.2399999999999999E-5</v>
      </c>
    </row>
    <row r="132" spans="1:7" ht="13.5" thickBot="1" x14ac:dyDescent="0.25">
      <c r="A132" s="498" t="s">
        <v>2073</v>
      </c>
      <c r="B132" s="498" t="s">
        <v>2065</v>
      </c>
      <c r="C132" s="498">
        <v>1.18604</v>
      </c>
      <c r="D132" s="498">
        <v>2.76132</v>
      </c>
      <c r="E132" s="498">
        <v>469.41300000000001</v>
      </c>
      <c r="F132" s="498">
        <v>-204.25399999999999</v>
      </c>
      <c r="G132" s="498">
        <v>4.7219999999999999E-5</v>
      </c>
    </row>
    <row r="133" spans="1:7" ht="13.5" thickBot="1" x14ac:dyDescent="0.25">
      <c r="A133" s="499" t="s">
        <v>2074</v>
      </c>
      <c r="B133" s="499" t="s">
        <v>2065</v>
      </c>
      <c r="C133" s="499">
        <v>1.63188</v>
      </c>
      <c r="D133" s="499">
        <v>0.65707000000000004</v>
      </c>
      <c r="E133" s="499">
        <v>586.28300000000002</v>
      </c>
      <c r="F133" s="499">
        <v>-56.905999999999999</v>
      </c>
      <c r="G133" s="499">
        <v>2.6959999999999999E-5</v>
      </c>
    </row>
    <row r="134" spans="1:7" ht="13.5" thickBot="1" x14ac:dyDescent="0.25">
      <c r="A134" s="498" t="s">
        <v>2075</v>
      </c>
      <c r="B134" s="498" t="s">
        <v>919</v>
      </c>
      <c r="C134" s="498">
        <v>1.5442899999999999</v>
      </c>
      <c r="D134" s="498">
        <v>0.85236999999999996</v>
      </c>
      <c r="E134" s="498">
        <v>493.20499999999998</v>
      </c>
      <c r="F134" s="498">
        <v>-65.343999999999994</v>
      </c>
      <c r="G134" s="498">
        <v>3.1130000000000002E-5</v>
      </c>
    </row>
    <row r="135" spans="1:7" ht="13.5" thickBot="1" x14ac:dyDescent="0.25">
      <c r="A135" s="499" t="s">
        <v>2076</v>
      </c>
      <c r="B135" s="499" t="s">
        <v>904</v>
      </c>
      <c r="C135" s="499">
        <v>1.3259300000000001</v>
      </c>
      <c r="D135" s="499">
        <v>0.96765000000000001</v>
      </c>
      <c r="E135" s="499">
        <v>615.98199999999997</v>
      </c>
      <c r="F135" s="499">
        <v>-101.863</v>
      </c>
      <c r="G135" s="499">
        <v>3.7740000000000001E-5</v>
      </c>
    </row>
    <row r="136" spans="1:7" ht="13.5" thickBot="1" x14ac:dyDescent="0.25">
      <c r="A136" s="498" t="s">
        <v>2077</v>
      </c>
      <c r="B136" s="498" t="s">
        <v>2055</v>
      </c>
      <c r="C136" s="498">
        <v>0.87341000000000002</v>
      </c>
      <c r="D136" s="498">
        <v>38.244509999999998</v>
      </c>
      <c r="E136" s="498">
        <v>488.48500000000001</v>
      </c>
      <c r="F136" s="498">
        <v>-1832.85</v>
      </c>
      <c r="G136" s="498">
        <v>5.995E-5</v>
      </c>
    </row>
    <row r="137" spans="1:7" ht="13.5" thickBot="1" x14ac:dyDescent="0.25">
      <c r="A137" s="499" t="s">
        <v>2078</v>
      </c>
      <c r="B137" s="499" t="s">
        <v>2057</v>
      </c>
      <c r="C137" s="499">
        <v>2.03241</v>
      </c>
      <c r="D137" s="499">
        <v>1.3465800000000001</v>
      </c>
      <c r="E137" s="499">
        <v>511.44499999999999</v>
      </c>
      <c r="F137" s="499">
        <v>-48.470999999999997</v>
      </c>
      <c r="G137" s="499">
        <v>4.1780000000000003E-5</v>
      </c>
    </row>
    <row r="138" spans="1:7" ht="13.5" thickBot="1" x14ac:dyDescent="0.25">
      <c r="A138" s="498" t="s">
        <v>2079</v>
      </c>
      <c r="B138" s="498" t="s">
        <v>2059</v>
      </c>
      <c r="C138" s="498">
        <v>1.2643200000000001</v>
      </c>
      <c r="D138" s="498">
        <v>1.29189</v>
      </c>
      <c r="E138" s="498">
        <v>649.17999999999995</v>
      </c>
      <c r="F138" s="498">
        <v>-71.893000000000001</v>
      </c>
      <c r="G138" s="498">
        <v>4.6329999999999999E-5</v>
      </c>
    </row>
    <row r="139" spans="1:7" ht="13.5" thickBot="1" x14ac:dyDescent="0.25">
      <c r="A139" s="499" t="s">
        <v>2080</v>
      </c>
      <c r="B139" s="499" t="s">
        <v>2061</v>
      </c>
      <c r="C139" s="499">
        <v>-0.10699</v>
      </c>
      <c r="D139" s="499">
        <v>1.30324</v>
      </c>
      <c r="E139" s="499">
        <v>655.28300000000002</v>
      </c>
      <c r="F139" s="499">
        <v>-17.596</v>
      </c>
      <c r="G139" s="499">
        <v>1.5405E-4</v>
      </c>
    </row>
    <row r="140" spans="1:7" ht="13.5" thickBot="1" x14ac:dyDescent="0.25">
      <c r="A140" s="498" t="s">
        <v>2081</v>
      </c>
      <c r="B140" s="498" t="s">
        <v>2082</v>
      </c>
      <c r="C140" s="498">
        <v>1.3462799999999999</v>
      </c>
      <c r="D140" s="498">
        <v>1.62686</v>
      </c>
      <c r="E140" s="498">
        <v>558.21500000000003</v>
      </c>
      <c r="F140" s="498">
        <v>-34.524999999999999</v>
      </c>
      <c r="G140" s="498">
        <v>7.4499999999999995E-5</v>
      </c>
    </row>
    <row r="141" spans="1:7" ht="13.5" thickBot="1" x14ac:dyDescent="0.25">
      <c r="A141" s="499" t="s">
        <v>2083</v>
      </c>
      <c r="B141" s="499" t="s">
        <v>2084</v>
      </c>
      <c r="C141" s="499">
        <v>-1.1149800000000001</v>
      </c>
      <c r="D141" s="499">
        <v>1.1952799999999999</v>
      </c>
      <c r="E141" s="499">
        <v>983.83299999999997</v>
      </c>
      <c r="F141" s="499">
        <v>-53.542000000000002</v>
      </c>
      <c r="G141" s="499">
        <v>2.3152000000000001E-4</v>
      </c>
    </row>
    <row r="142" spans="1:7" ht="13.5" thickBot="1" x14ac:dyDescent="0.25">
      <c r="A142" s="498" t="s">
        <v>2085</v>
      </c>
      <c r="B142" s="498" t="s">
        <v>2086</v>
      </c>
      <c r="C142" s="498">
        <v>-1.1317200000000001</v>
      </c>
      <c r="D142" s="498">
        <v>1.6997599999999999</v>
      </c>
      <c r="E142" s="498">
        <v>925.702</v>
      </c>
      <c r="F142" s="498">
        <v>-92.481999999999999</v>
      </c>
      <c r="G142" s="498">
        <v>2.0909999999999999E-4</v>
      </c>
    </row>
    <row r="143" spans="1:7" ht="13.5" thickBot="1" x14ac:dyDescent="0.25">
      <c r="A143" s="499" t="s">
        <v>2087</v>
      </c>
      <c r="B143" s="499" t="s">
        <v>2057</v>
      </c>
      <c r="C143" s="499">
        <v>0.75690000000000002</v>
      </c>
      <c r="D143" s="499">
        <v>2.02779</v>
      </c>
      <c r="E143" s="499">
        <v>787.88199999999995</v>
      </c>
      <c r="F143" s="499">
        <v>-117.742</v>
      </c>
      <c r="G143" s="499">
        <v>3.2209999999999998E-5</v>
      </c>
    </row>
    <row r="144" spans="1:7" ht="13.5" thickBot="1" x14ac:dyDescent="0.25">
      <c r="A144" s="498" t="s">
        <v>2088</v>
      </c>
      <c r="B144" s="498" t="s">
        <v>2059</v>
      </c>
      <c r="C144" s="498">
        <v>-0.74619000000000002</v>
      </c>
      <c r="D144" s="498">
        <v>6.0105899999999997</v>
      </c>
      <c r="E144" s="498">
        <v>429.98500000000001</v>
      </c>
      <c r="F144" s="498">
        <v>-152.62299999999999</v>
      </c>
      <c r="G144" s="498">
        <v>3.4646999999999998E-4</v>
      </c>
    </row>
    <row r="145" spans="1:7" ht="13.5" thickBot="1" x14ac:dyDescent="0.25">
      <c r="A145" s="499" t="s">
        <v>2089</v>
      </c>
      <c r="B145" s="499" t="s">
        <v>2061</v>
      </c>
      <c r="C145" s="499">
        <v>1.5290999999999999</v>
      </c>
      <c r="D145" s="499">
        <v>0.51210999999999995</v>
      </c>
      <c r="E145" s="499">
        <v>842.298</v>
      </c>
      <c r="F145" s="499">
        <v>28.257000000000001</v>
      </c>
      <c r="G145" s="499">
        <v>3.0759999999999997E-5</v>
      </c>
    </row>
    <row r="146" spans="1:7" ht="13.5" thickBot="1" x14ac:dyDescent="0.25">
      <c r="A146" s="498" t="s">
        <v>2090</v>
      </c>
      <c r="B146" s="498" t="s">
        <v>2082</v>
      </c>
      <c r="C146" s="498">
        <v>-0.55710999999999999</v>
      </c>
      <c r="D146" s="498">
        <v>1.6422000000000001</v>
      </c>
      <c r="E146" s="498">
        <v>646.67399999999998</v>
      </c>
      <c r="F146" s="498">
        <v>-10.66</v>
      </c>
      <c r="G146" s="498">
        <v>2.4149999999999999E-4</v>
      </c>
    </row>
    <row r="147" spans="1:7" ht="13.5" thickBot="1" x14ac:dyDescent="0.25">
      <c r="A147" s="499" t="s">
        <v>2091</v>
      </c>
      <c r="B147" s="499" t="s">
        <v>2084</v>
      </c>
      <c r="C147" s="499">
        <v>-0.87038000000000004</v>
      </c>
      <c r="D147" s="499">
        <v>1.8671199999999999</v>
      </c>
      <c r="E147" s="499">
        <v>617.93899999999996</v>
      </c>
      <c r="F147" s="499">
        <v>2.177</v>
      </c>
      <c r="G147" s="499">
        <v>3.6852E-4</v>
      </c>
    </row>
    <row r="148" spans="1:7" ht="13.5" thickBot="1" x14ac:dyDescent="0.25">
      <c r="A148" s="498" t="s">
        <v>2092</v>
      </c>
      <c r="B148" s="498" t="s">
        <v>2086</v>
      </c>
      <c r="C148" s="498">
        <v>-2.0201899999999999</v>
      </c>
      <c r="D148" s="498">
        <v>1.0375700000000001</v>
      </c>
      <c r="E148" s="498">
        <v>1391.703</v>
      </c>
      <c r="F148" s="498">
        <v>-90.787000000000006</v>
      </c>
      <c r="G148" s="498">
        <v>3.8189000000000002E-4</v>
      </c>
    </row>
    <row r="149" spans="1:7" ht="13.5" thickBot="1" x14ac:dyDescent="0.25">
      <c r="A149" s="499" t="s">
        <v>2093</v>
      </c>
      <c r="B149" s="499" t="s">
        <v>2094</v>
      </c>
      <c r="C149" s="499">
        <v>0.39759</v>
      </c>
      <c r="D149" s="499">
        <v>0.73956999999999995</v>
      </c>
      <c r="E149" s="499">
        <v>722.43600000000004</v>
      </c>
      <c r="F149" s="499">
        <v>94.236000000000004</v>
      </c>
      <c r="G149" s="499">
        <v>1.6567E-4</v>
      </c>
    </row>
    <row r="150" spans="1:7" ht="13.5" thickBot="1" x14ac:dyDescent="0.25">
      <c r="A150" s="498" t="s">
        <v>2095</v>
      </c>
      <c r="B150" s="498" t="s">
        <v>2068</v>
      </c>
      <c r="C150" s="498">
        <v>3.03864</v>
      </c>
      <c r="D150" s="498">
        <v>0.13239999999999999</v>
      </c>
      <c r="E150" s="498">
        <v>1265.7909999999999</v>
      </c>
      <c r="F150" s="498">
        <v>-1.5509999999999999</v>
      </c>
      <c r="G150" s="498">
        <v>1.99E-6</v>
      </c>
    </row>
    <row r="151" spans="1:7" ht="13.5" thickBot="1" x14ac:dyDescent="0.25">
      <c r="A151" s="499" t="s">
        <v>2096</v>
      </c>
      <c r="B151" s="499" t="s">
        <v>2097</v>
      </c>
      <c r="C151" s="499">
        <v>1.3252299999999999</v>
      </c>
      <c r="D151" s="499">
        <v>1.0989</v>
      </c>
      <c r="E151" s="499">
        <v>682.52</v>
      </c>
      <c r="F151" s="499">
        <v>-31.539000000000001</v>
      </c>
      <c r="G151" s="499">
        <v>3.9709999999999998E-5</v>
      </c>
    </row>
    <row r="152" spans="1:7" ht="13.5" thickBot="1" x14ac:dyDescent="0.25">
      <c r="A152" s="498" t="s">
        <v>2098</v>
      </c>
      <c r="B152" s="498" t="s">
        <v>880</v>
      </c>
      <c r="C152" s="498">
        <v>2.3574299999999999</v>
      </c>
      <c r="D152" s="498">
        <v>2.4312200000000002</v>
      </c>
      <c r="E152" s="498">
        <v>760.67399999999998</v>
      </c>
      <c r="F152" s="498">
        <v>-267.44900000000001</v>
      </c>
      <c r="G152" s="498">
        <v>1.031E-5</v>
      </c>
    </row>
    <row r="153" spans="1:7" ht="13.5" thickBot="1" x14ac:dyDescent="0.25">
      <c r="A153" s="499" t="s">
        <v>2099</v>
      </c>
      <c r="B153" s="499" t="s">
        <v>2100</v>
      </c>
      <c r="C153" s="499">
        <v>2.9548000000000001</v>
      </c>
      <c r="D153" s="499">
        <v>3.0000000000000001E-5</v>
      </c>
      <c r="E153" s="499">
        <v>1048.107</v>
      </c>
      <c r="F153" s="499">
        <v>137.14400000000001</v>
      </c>
      <c r="G153" s="499">
        <v>3.9700000000000001E-6</v>
      </c>
    </row>
    <row r="154" spans="1:7" ht="13.5" thickBot="1" x14ac:dyDescent="0.25">
      <c r="A154" s="498" t="s">
        <v>2101</v>
      </c>
      <c r="B154" s="498" t="s">
        <v>2102</v>
      </c>
      <c r="C154" s="498">
        <v>1.62469</v>
      </c>
      <c r="D154" s="498">
        <v>0.79235999999999995</v>
      </c>
      <c r="E154" s="498">
        <v>745.18499999999995</v>
      </c>
      <c r="F154" s="498">
        <v>-16.276</v>
      </c>
      <c r="G154" s="498">
        <v>2.8989999999999999E-5</v>
      </c>
    </row>
    <row r="155" spans="1:7" ht="13.5" thickBot="1" x14ac:dyDescent="0.25">
      <c r="A155" s="499" t="s">
        <v>2103</v>
      </c>
      <c r="B155" s="499" t="s">
        <v>2104</v>
      </c>
      <c r="C155" s="499">
        <v>0.57948999999999995</v>
      </c>
      <c r="D155" s="499">
        <v>1.4170199999999999</v>
      </c>
      <c r="E155" s="499">
        <v>663.88900000000001</v>
      </c>
      <c r="F155" s="499">
        <v>-28.02</v>
      </c>
      <c r="G155" s="499">
        <v>8.4300000000000003E-5</v>
      </c>
    </row>
    <row r="156" spans="1:7" ht="13.5" thickBot="1" x14ac:dyDescent="0.25">
      <c r="A156" s="498" t="s">
        <v>2105</v>
      </c>
      <c r="B156" s="498" t="s">
        <v>2106</v>
      </c>
      <c r="C156" s="498">
        <v>1.1503300000000001</v>
      </c>
      <c r="D156" s="498">
        <v>1.5025900000000001</v>
      </c>
      <c r="E156" s="498">
        <v>547.27599999999995</v>
      </c>
      <c r="F156" s="498">
        <v>7.0439999999999996</v>
      </c>
      <c r="G156" s="498">
        <v>9.5680000000000005E-5</v>
      </c>
    </row>
    <row r="157" spans="1:7" ht="13.5" thickBot="1" x14ac:dyDescent="0.25">
      <c r="A157" s="499" t="s">
        <v>2107</v>
      </c>
      <c r="B157" s="499" t="s">
        <v>2108</v>
      </c>
      <c r="C157" s="499">
        <v>2.25142</v>
      </c>
      <c r="D157" s="499">
        <v>5.8029999999999998E-2</v>
      </c>
      <c r="E157" s="499">
        <v>500.96199999999999</v>
      </c>
      <c r="F157" s="499">
        <v>195.33600000000001</v>
      </c>
      <c r="G157" s="499">
        <v>6.3520000000000002E-5</v>
      </c>
    </row>
    <row r="158" spans="1:7" ht="13.5" thickBot="1" x14ac:dyDescent="0.25">
      <c r="A158" s="498" t="s">
        <v>2109</v>
      </c>
      <c r="B158" s="498" t="s">
        <v>2110</v>
      </c>
      <c r="C158" s="498">
        <v>0.63146999999999998</v>
      </c>
      <c r="D158" s="498">
        <v>1.9312199999999999</v>
      </c>
      <c r="E158" s="498">
        <v>423.31200000000001</v>
      </c>
      <c r="F158" s="498">
        <v>91.152000000000001</v>
      </c>
      <c r="G158" s="498">
        <v>3.3398E-4</v>
      </c>
    </row>
    <row r="159" spans="1:7" ht="13.5" thickBot="1" x14ac:dyDescent="0.25">
      <c r="A159" s="499" t="s">
        <v>2111</v>
      </c>
      <c r="B159" s="499" t="s">
        <v>2102</v>
      </c>
      <c r="C159" s="499">
        <v>1.88479</v>
      </c>
      <c r="D159" s="499">
        <v>0.23638999999999999</v>
      </c>
      <c r="E159" s="499">
        <v>1377.1289999999999</v>
      </c>
      <c r="F159" s="499">
        <v>22.891999999999999</v>
      </c>
      <c r="G159" s="499">
        <v>9.0299999999999999E-6</v>
      </c>
    </row>
    <row r="160" spans="1:7" ht="13.5" thickBot="1" x14ac:dyDescent="0.25">
      <c r="A160" s="498" t="s">
        <v>2112</v>
      </c>
      <c r="B160" s="498" t="s">
        <v>2102</v>
      </c>
      <c r="C160" s="498">
        <v>0.83592</v>
      </c>
      <c r="D160" s="498">
        <v>1.33199</v>
      </c>
      <c r="E160" s="498">
        <v>637.76099999999997</v>
      </c>
      <c r="F160" s="498">
        <v>-46.155999999999999</v>
      </c>
      <c r="G160" s="498">
        <v>6.847E-5</v>
      </c>
    </row>
    <row r="161" spans="1:7" ht="13.5" thickBot="1" x14ac:dyDescent="0.25">
      <c r="A161" s="499" t="s">
        <v>2113</v>
      </c>
      <c r="B161" s="499" t="s">
        <v>2102</v>
      </c>
      <c r="C161" s="499">
        <v>0.80720000000000003</v>
      </c>
      <c r="D161" s="499">
        <v>1.3768800000000001</v>
      </c>
      <c r="E161" s="499">
        <v>638.21299999999997</v>
      </c>
      <c r="F161" s="499">
        <v>-40.857999999999997</v>
      </c>
      <c r="G161" s="499">
        <v>6.7869999999999999E-5</v>
      </c>
    </row>
    <row r="162" spans="1:7" ht="13.5" thickBot="1" x14ac:dyDescent="0.25">
      <c r="A162" s="498" t="s">
        <v>2114</v>
      </c>
      <c r="B162" s="498" t="s">
        <v>2104</v>
      </c>
      <c r="C162" s="498">
        <v>1.30935</v>
      </c>
      <c r="D162" s="498">
        <v>2.0588000000000002</v>
      </c>
      <c r="E162" s="498">
        <v>633.423</v>
      </c>
      <c r="F162" s="498">
        <v>-61.927</v>
      </c>
      <c r="G162" s="498">
        <v>3.8630000000000001E-5</v>
      </c>
    </row>
    <row r="163" spans="1:7" ht="13.5" thickBot="1" x14ac:dyDescent="0.25">
      <c r="A163" s="499" t="s">
        <v>2115</v>
      </c>
      <c r="B163" s="499" t="s">
        <v>2104</v>
      </c>
      <c r="C163" s="499">
        <v>1.53346</v>
      </c>
      <c r="D163" s="499">
        <v>1.5430699999999999</v>
      </c>
      <c r="E163" s="499">
        <v>674.26</v>
      </c>
      <c r="F163" s="499">
        <v>-51.363</v>
      </c>
      <c r="G163" s="499">
        <v>3.3569999999999999E-5</v>
      </c>
    </row>
    <row r="164" spans="1:7" ht="13.5" thickBot="1" x14ac:dyDescent="0.25">
      <c r="A164" s="498" t="s">
        <v>2116</v>
      </c>
      <c r="B164" s="498" t="s">
        <v>2104</v>
      </c>
      <c r="C164" s="498">
        <v>0.66691</v>
      </c>
      <c r="D164" s="498">
        <v>1.78474</v>
      </c>
      <c r="E164" s="498">
        <v>611.65099999999995</v>
      </c>
      <c r="F164" s="498">
        <v>-30.201000000000001</v>
      </c>
      <c r="G164" s="498">
        <v>7.216E-5</v>
      </c>
    </row>
    <row r="165" spans="1:7" ht="13.5" thickBot="1" x14ac:dyDescent="0.25">
      <c r="A165" s="499" t="s">
        <v>2117</v>
      </c>
      <c r="B165" s="499" t="s">
        <v>2106</v>
      </c>
      <c r="C165" s="499">
        <v>1.3695200000000001</v>
      </c>
      <c r="D165" s="499">
        <v>2.9946199999999998</v>
      </c>
      <c r="E165" s="499">
        <v>598.83000000000004</v>
      </c>
      <c r="F165" s="499">
        <v>-76.944000000000003</v>
      </c>
      <c r="G165" s="499">
        <v>4.6999999999999997E-5</v>
      </c>
    </row>
    <row r="166" spans="1:7" ht="13.5" thickBot="1" x14ac:dyDescent="0.25">
      <c r="A166" s="498" t="s">
        <v>2118</v>
      </c>
      <c r="B166" s="498" t="s">
        <v>2106</v>
      </c>
      <c r="C166" s="498">
        <v>1.3752500000000001</v>
      </c>
      <c r="D166" s="498">
        <v>2.47071</v>
      </c>
      <c r="E166" s="498">
        <v>620.30100000000004</v>
      </c>
      <c r="F166" s="498">
        <v>-64.924999999999997</v>
      </c>
      <c r="G166" s="498">
        <v>3.9799999999999998E-5</v>
      </c>
    </row>
    <row r="167" spans="1:7" ht="13.5" thickBot="1" x14ac:dyDescent="0.25">
      <c r="A167" s="499" t="s">
        <v>2119</v>
      </c>
      <c r="B167" s="499" t="s">
        <v>2106</v>
      </c>
      <c r="C167" s="499">
        <v>0.99412999999999996</v>
      </c>
      <c r="D167" s="499">
        <v>2.5033699999999999</v>
      </c>
      <c r="E167" s="499">
        <v>681.125</v>
      </c>
      <c r="F167" s="499">
        <v>-109.874</v>
      </c>
      <c r="G167" s="499">
        <v>4.35E-5</v>
      </c>
    </row>
    <row r="168" spans="1:7" ht="13.5" thickBot="1" x14ac:dyDescent="0.25">
      <c r="A168" s="498" t="s">
        <v>2120</v>
      </c>
      <c r="B168" s="498" t="s">
        <v>2108</v>
      </c>
      <c r="C168" s="498">
        <v>1.45987</v>
      </c>
      <c r="D168" s="498">
        <v>4.2953900000000003</v>
      </c>
      <c r="E168" s="498">
        <v>616.28499999999997</v>
      </c>
      <c r="F168" s="498">
        <v>-107.69499999999999</v>
      </c>
      <c r="G168" s="498">
        <v>3.2150000000000002E-5</v>
      </c>
    </row>
    <row r="169" spans="1:7" ht="13.5" thickBot="1" x14ac:dyDescent="0.25">
      <c r="A169" s="499" t="s">
        <v>2121</v>
      </c>
      <c r="B169" s="499" t="s">
        <v>2110</v>
      </c>
      <c r="C169" s="499">
        <v>1.22472</v>
      </c>
      <c r="D169" s="499">
        <v>10.297319999999999</v>
      </c>
      <c r="E169" s="499">
        <v>584.01199999999994</v>
      </c>
      <c r="F169" s="499">
        <v>-288.55399999999997</v>
      </c>
      <c r="G169" s="499">
        <v>4.0849999999999997E-5</v>
      </c>
    </row>
    <row r="170" spans="1:7" ht="13.5" thickBot="1" x14ac:dyDescent="0.25">
      <c r="A170" s="498" t="s">
        <v>2122</v>
      </c>
      <c r="B170" s="498" t="s">
        <v>2123</v>
      </c>
      <c r="C170" s="498">
        <v>2.5281699999999998</v>
      </c>
      <c r="D170" s="498">
        <v>0.19295000000000001</v>
      </c>
      <c r="E170" s="498">
        <v>1189.8399999999999</v>
      </c>
      <c r="F170" s="498">
        <v>44.634999999999998</v>
      </c>
      <c r="G170" s="498">
        <v>5.3800000000000002E-6</v>
      </c>
    </row>
    <row r="171" spans="1:7" ht="13.5" thickBot="1" x14ac:dyDescent="0.25">
      <c r="A171" s="499" t="s">
        <v>2124</v>
      </c>
      <c r="B171" s="499" t="s">
        <v>2104</v>
      </c>
      <c r="C171" s="499">
        <v>1.5902000000000001</v>
      </c>
      <c r="D171" s="499">
        <v>0.52734000000000003</v>
      </c>
      <c r="E171" s="499">
        <v>825.67700000000002</v>
      </c>
      <c r="F171" s="499">
        <v>29.696000000000002</v>
      </c>
      <c r="G171" s="499">
        <v>2.7710000000000001E-5</v>
      </c>
    </row>
    <row r="172" spans="1:7" ht="13.5" thickBot="1" x14ac:dyDescent="0.25">
      <c r="A172" s="498" t="s">
        <v>2125</v>
      </c>
      <c r="B172" s="498" t="s">
        <v>2126</v>
      </c>
      <c r="C172" s="498">
        <v>1.44526</v>
      </c>
      <c r="D172" s="498">
        <v>0.96526000000000001</v>
      </c>
      <c r="E172" s="498">
        <v>1040.25</v>
      </c>
      <c r="F172" s="498">
        <v>-32.003</v>
      </c>
      <c r="G172" s="498">
        <v>2.6699999999999998E-5</v>
      </c>
    </row>
    <row r="173" spans="1:7" ht="13.5" thickBot="1" x14ac:dyDescent="0.25">
      <c r="A173" s="499" t="s">
        <v>2127</v>
      </c>
      <c r="B173" s="499" t="s">
        <v>2128</v>
      </c>
      <c r="C173" s="499">
        <v>0.73770999999999998</v>
      </c>
      <c r="D173" s="499">
        <v>1.12625</v>
      </c>
      <c r="E173" s="499">
        <v>964.26700000000005</v>
      </c>
      <c r="F173" s="499">
        <v>-30.527999999999999</v>
      </c>
      <c r="G173" s="499">
        <v>6.0399999999999998E-5</v>
      </c>
    </row>
    <row r="174" spans="1:7" ht="13.5" thickBot="1" x14ac:dyDescent="0.25">
      <c r="A174" s="498" t="s">
        <v>2129</v>
      </c>
      <c r="B174" s="498" t="s">
        <v>2130</v>
      </c>
      <c r="C174" s="498">
        <v>1.19279</v>
      </c>
      <c r="D174" s="498">
        <v>2.16005</v>
      </c>
      <c r="E174" s="498">
        <v>961.71400000000006</v>
      </c>
      <c r="F174" s="498">
        <v>-90.134</v>
      </c>
      <c r="G174" s="498">
        <v>4.5019999999999999E-5</v>
      </c>
    </row>
    <row r="175" spans="1:7" ht="13.5" thickBot="1" x14ac:dyDescent="0.25">
      <c r="A175" s="499" t="s">
        <v>2131</v>
      </c>
      <c r="B175" s="499" t="s">
        <v>2132</v>
      </c>
      <c r="C175" s="499">
        <v>1.13557</v>
      </c>
      <c r="D175" s="499">
        <v>4.2260799999999996</v>
      </c>
      <c r="E175" s="499">
        <v>895.85299999999995</v>
      </c>
      <c r="F175" s="499">
        <v>-201.703</v>
      </c>
      <c r="G175" s="499">
        <v>1.0734E-4</v>
      </c>
    </row>
    <row r="176" spans="1:7" ht="13.5" thickBot="1" x14ac:dyDescent="0.25">
      <c r="A176" s="498" t="s">
        <v>2133</v>
      </c>
      <c r="B176" s="498" t="s">
        <v>2134</v>
      </c>
      <c r="C176" s="498">
        <v>2.9171900000000002</v>
      </c>
      <c r="D176" s="498">
        <v>-9.0000000000000006E-5</v>
      </c>
      <c r="E176" s="498">
        <v>725.69</v>
      </c>
      <c r="F176" s="498">
        <v>152.24</v>
      </c>
      <c r="G176" s="498">
        <v>2.552E-5</v>
      </c>
    </row>
    <row r="177" spans="1:7" ht="13.5" thickBot="1" x14ac:dyDescent="0.25">
      <c r="A177" s="499" t="s">
        <v>2135</v>
      </c>
      <c r="B177" s="499" t="s">
        <v>2136</v>
      </c>
      <c r="C177" s="499">
        <v>-4.70967</v>
      </c>
      <c r="D177" s="499">
        <v>2.7391000000000001</v>
      </c>
      <c r="E177" s="499">
        <v>679.95600000000002</v>
      </c>
      <c r="F177" s="499">
        <v>24.202000000000002</v>
      </c>
      <c r="G177" s="499">
        <v>7.9796399999999996E-3</v>
      </c>
    </row>
    <row r="178" spans="1:7" ht="13.5" thickBot="1" x14ac:dyDescent="0.25">
      <c r="A178" s="498" t="s">
        <v>2137</v>
      </c>
      <c r="B178" s="498" t="s">
        <v>2136</v>
      </c>
      <c r="C178" s="498">
        <v>-0.95967999999999998</v>
      </c>
      <c r="D178" s="498">
        <v>1.92015</v>
      </c>
      <c r="E178" s="498">
        <v>645.74800000000005</v>
      </c>
      <c r="F178" s="498">
        <v>28.286999999999999</v>
      </c>
      <c r="G178" s="498">
        <v>4.3145E-4</v>
      </c>
    </row>
    <row r="179" spans="1:7" ht="13.5" thickBot="1" x14ac:dyDescent="0.25">
      <c r="A179" s="499" t="s">
        <v>2138</v>
      </c>
      <c r="B179" s="499" t="s">
        <v>2139</v>
      </c>
      <c r="C179" s="499">
        <v>-3.1174499999999998</v>
      </c>
      <c r="D179" s="499">
        <v>2.5154800000000002</v>
      </c>
      <c r="E179" s="499">
        <v>622.59199999999998</v>
      </c>
      <c r="F179" s="499">
        <v>56.634999999999998</v>
      </c>
      <c r="G179" s="499">
        <v>2.6701099999999998E-3</v>
      </c>
    </row>
    <row r="180" spans="1:7" ht="13.5" thickBot="1" x14ac:dyDescent="0.25">
      <c r="A180" s="498" t="s">
        <v>2140</v>
      </c>
      <c r="B180" s="498" t="s">
        <v>2139</v>
      </c>
      <c r="C180" s="498">
        <v>-2.15924</v>
      </c>
      <c r="D180" s="498">
        <v>2.20844</v>
      </c>
      <c r="E180" s="498">
        <v>659.68</v>
      </c>
      <c r="F180" s="498">
        <v>28.821000000000002</v>
      </c>
      <c r="G180" s="498">
        <v>1.06785E-3</v>
      </c>
    </row>
    <row r="181" spans="1:7" ht="13.5" thickBot="1" x14ac:dyDescent="0.25">
      <c r="A181" s="499" t="s">
        <v>2141</v>
      </c>
      <c r="B181" s="499" t="s">
        <v>908</v>
      </c>
      <c r="C181" s="499">
        <v>3.7922600000000002</v>
      </c>
      <c r="D181" s="499">
        <v>0.17755000000000001</v>
      </c>
      <c r="E181" s="499">
        <v>546.56299999999999</v>
      </c>
      <c r="F181" s="499">
        <v>87.844999999999999</v>
      </c>
      <c r="G181" s="499">
        <v>7.9100000000000005E-6</v>
      </c>
    </row>
    <row r="182" spans="1:7" ht="13.5" thickBot="1" x14ac:dyDescent="0.25">
      <c r="A182" s="498" t="s">
        <v>2142</v>
      </c>
      <c r="B182" s="498" t="s">
        <v>2143</v>
      </c>
      <c r="C182" s="498">
        <v>6.1683199999999996</v>
      </c>
      <c r="D182" s="498">
        <v>-1.25E-3</v>
      </c>
      <c r="E182" s="498">
        <v>740.32299999999998</v>
      </c>
      <c r="F182" s="498">
        <v>90.778000000000006</v>
      </c>
      <c r="G182" s="498">
        <v>3.8000000000000001E-7</v>
      </c>
    </row>
    <row r="183" spans="1:7" ht="13.5" thickBot="1" x14ac:dyDescent="0.25">
      <c r="A183" s="499" t="s">
        <v>2144</v>
      </c>
      <c r="B183" s="499" t="s">
        <v>2145</v>
      </c>
      <c r="C183" s="499">
        <v>4.9174899999999999</v>
      </c>
      <c r="D183" s="499">
        <v>0.83614999999999995</v>
      </c>
      <c r="E183" s="499">
        <v>482.98</v>
      </c>
      <c r="F183" s="499">
        <v>73.078999999999994</v>
      </c>
      <c r="G183" s="499">
        <v>1.026E-5</v>
      </c>
    </row>
    <row r="184" spans="1:7" ht="13.5" thickBot="1" x14ac:dyDescent="0.25">
      <c r="A184" s="498" t="s">
        <v>2146</v>
      </c>
      <c r="B184" s="498" t="s">
        <v>2147</v>
      </c>
      <c r="C184" s="498">
        <v>4.3565500000000004</v>
      </c>
      <c r="D184" s="498">
        <v>1.01095</v>
      </c>
      <c r="E184" s="498">
        <v>742.26300000000003</v>
      </c>
      <c r="F184" s="498">
        <v>26.911000000000001</v>
      </c>
      <c r="G184" s="498">
        <v>2.1399999999999998E-6</v>
      </c>
    </row>
    <row r="185" spans="1:7" ht="13.5" thickBot="1" x14ac:dyDescent="0.25">
      <c r="A185" s="499" t="s">
        <v>2148</v>
      </c>
      <c r="B185" s="499" t="s">
        <v>2149</v>
      </c>
      <c r="C185" s="499">
        <v>1.2998400000000001</v>
      </c>
      <c r="D185" s="499">
        <v>2.3175400000000002</v>
      </c>
      <c r="E185" s="499">
        <v>793.25599999999997</v>
      </c>
      <c r="F185" s="499">
        <v>-36.744999999999997</v>
      </c>
      <c r="G185" s="499">
        <v>1.5999999999999999E-5</v>
      </c>
    </row>
    <row r="186" spans="1:7" ht="13.5" thickBot="1" x14ac:dyDescent="0.25">
      <c r="A186" s="498" t="s">
        <v>2150</v>
      </c>
      <c r="B186" s="498" t="s">
        <v>2151</v>
      </c>
      <c r="C186" s="498">
        <v>2.3816899999999999</v>
      </c>
      <c r="D186" s="498">
        <v>2.0188199999999998</v>
      </c>
      <c r="E186" s="498">
        <v>628.673</v>
      </c>
      <c r="F186" s="498">
        <v>36.281999999999996</v>
      </c>
      <c r="G186" s="498">
        <v>2.196E-5</v>
      </c>
    </row>
    <row r="187" spans="1:7" ht="13.5" thickBot="1" x14ac:dyDescent="0.25">
      <c r="A187" s="499" t="s">
        <v>2152</v>
      </c>
      <c r="B187" s="499" t="s">
        <v>2153</v>
      </c>
      <c r="C187" s="499">
        <v>-0.90610000000000002</v>
      </c>
      <c r="D187" s="499">
        <v>4.7915900000000002</v>
      </c>
      <c r="E187" s="499">
        <v>549.36900000000003</v>
      </c>
      <c r="F187" s="499">
        <v>-1.3480000000000001</v>
      </c>
      <c r="G187" s="499">
        <v>3.0998000000000001E-4</v>
      </c>
    </row>
    <row r="188" spans="1:7" ht="13.5" thickBot="1" x14ac:dyDescent="0.25">
      <c r="A188" s="498" t="s">
        <v>2154</v>
      </c>
      <c r="B188" s="498" t="s">
        <v>2155</v>
      </c>
      <c r="C188" s="498">
        <v>-3.0141399999999998</v>
      </c>
      <c r="D188" s="498">
        <v>4.5184699999999998</v>
      </c>
      <c r="E188" s="498">
        <v>742.73099999999999</v>
      </c>
      <c r="F188" s="498">
        <v>-58.271000000000001</v>
      </c>
      <c r="G188" s="498">
        <v>4.3188999999999999E-4</v>
      </c>
    </row>
    <row r="189" spans="1:7" ht="13.5" thickBot="1" x14ac:dyDescent="0.25">
      <c r="A189" s="499" t="s">
        <v>2156</v>
      </c>
      <c r="B189" s="499" t="s">
        <v>2145</v>
      </c>
      <c r="C189" s="499">
        <v>3.07172</v>
      </c>
      <c r="D189" s="499">
        <v>3.8458700000000001</v>
      </c>
      <c r="E189" s="499">
        <v>580.41399999999999</v>
      </c>
      <c r="F189" s="499">
        <v>-62.691000000000003</v>
      </c>
      <c r="G189" s="499">
        <v>7.4200000000000001E-6</v>
      </c>
    </row>
    <row r="190" spans="1:7" ht="13.5" thickBot="1" x14ac:dyDescent="0.25">
      <c r="A190" s="498" t="s">
        <v>2157</v>
      </c>
      <c r="B190" s="498" t="s">
        <v>2147</v>
      </c>
      <c r="C190" s="498">
        <v>1.7509999999999999</v>
      </c>
      <c r="D190" s="498">
        <v>4.2757300000000003</v>
      </c>
      <c r="E190" s="498">
        <v>508.23599999999999</v>
      </c>
      <c r="F190" s="498">
        <v>-6.9089999999999998</v>
      </c>
      <c r="G190" s="498">
        <v>5.3390000000000002E-5</v>
      </c>
    </row>
    <row r="191" spans="1:7" ht="13.5" thickBot="1" x14ac:dyDescent="0.25">
      <c r="A191" s="499" t="s">
        <v>2158</v>
      </c>
      <c r="B191" s="499" t="s">
        <v>2149</v>
      </c>
      <c r="C191" s="499">
        <v>2.3799700000000001</v>
      </c>
      <c r="D191" s="499">
        <v>2.4962200000000001</v>
      </c>
      <c r="E191" s="499">
        <v>630.91999999999996</v>
      </c>
      <c r="F191" s="499">
        <v>5.3289999999999997</v>
      </c>
      <c r="G191" s="499">
        <v>1.5840000000000001E-5</v>
      </c>
    </row>
    <row r="192" spans="1:7" ht="13.5" thickBot="1" x14ac:dyDescent="0.25">
      <c r="A192" s="498" t="s">
        <v>2159</v>
      </c>
      <c r="B192" s="498" t="s">
        <v>2160</v>
      </c>
      <c r="C192" s="498">
        <v>-2.4669699999999999</v>
      </c>
      <c r="D192" s="498">
        <v>5.0010300000000001</v>
      </c>
      <c r="E192" s="498">
        <v>587.00400000000002</v>
      </c>
      <c r="F192" s="498">
        <v>10.679</v>
      </c>
      <c r="G192" s="498">
        <v>1.32759E-3</v>
      </c>
    </row>
    <row r="193" spans="1:7" ht="13.5" thickBot="1" x14ac:dyDescent="0.25">
      <c r="A193" s="499" t="s">
        <v>2161</v>
      </c>
      <c r="B193" s="499" t="s">
        <v>2162</v>
      </c>
      <c r="C193" s="499">
        <v>4.5440100000000001</v>
      </c>
      <c r="D193" s="499">
        <v>0.75892999999999999</v>
      </c>
      <c r="E193" s="499">
        <v>711.87599999999998</v>
      </c>
      <c r="F193" s="499">
        <v>132.08000000000001</v>
      </c>
      <c r="G193" s="499">
        <v>6.9500000000000004E-6</v>
      </c>
    </row>
    <row r="194" spans="1:7" ht="13.5" thickBot="1" x14ac:dyDescent="0.25">
      <c r="A194" s="498" t="s">
        <v>2163</v>
      </c>
      <c r="B194" s="498" t="s">
        <v>2164</v>
      </c>
      <c r="C194" s="498">
        <v>-3.91153</v>
      </c>
      <c r="D194" s="498">
        <v>6.5494599999999998</v>
      </c>
      <c r="E194" s="498">
        <v>582.48</v>
      </c>
      <c r="F194" s="498">
        <v>73.885000000000005</v>
      </c>
      <c r="G194" s="498">
        <v>7.9964000000000007E-3</v>
      </c>
    </row>
    <row r="195" spans="1:7" ht="13.5" thickBot="1" x14ac:dyDescent="0.25">
      <c r="A195" s="499" t="s">
        <v>2165</v>
      </c>
      <c r="B195" s="499" t="s">
        <v>2166</v>
      </c>
      <c r="C195" s="499">
        <v>2.8129999999999999E-2</v>
      </c>
      <c r="D195" s="499">
        <v>3.61442</v>
      </c>
      <c r="E195" s="499">
        <v>534.09400000000005</v>
      </c>
      <c r="F195" s="499">
        <v>121.724</v>
      </c>
      <c r="G195" s="499">
        <v>2.6465000000000001E-4</v>
      </c>
    </row>
    <row r="196" spans="1:7" ht="13.5" thickBot="1" x14ac:dyDescent="0.25">
      <c r="A196" s="498" t="s">
        <v>2167</v>
      </c>
      <c r="B196" s="498" t="s">
        <v>2168</v>
      </c>
      <c r="C196" s="498">
        <v>0.44585000000000002</v>
      </c>
      <c r="D196" s="498">
        <v>8.0769999999999995E-2</v>
      </c>
      <c r="E196" s="498">
        <v>2571.4949999999999</v>
      </c>
      <c r="F196" s="498">
        <v>151.69900000000001</v>
      </c>
      <c r="G196" s="498">
        <v>7.1979999999999999E-5</v>
      </c>
    </row>
    <row r="197" spans="1:7" ht="13.5" thickBot="1" x14ac:dyDescent="0.25">
      <c r="A197" s="499" t="s">
        <v>2169</v>
      </c>
      <c r="B197" s="499" t="s">
        <v>2168</v>
      </c>
      <c r="C197" s="499">
        <v>-1.89618</v>
      </c>
      <c r="D197" s="499">
        <v>3.6094900000000001</v>
      </c>
      <c r="E197" s="499">
        <v>631.88400000000001</v>
      </c>
      <c r="F197" s="499">
        <v>15.554</v>
      </c>
      <c r="G197" s="499">
        <v>5.2426000000000003E-4</v>
      </c>
    </row>
    <row r="198" spans="1:7" ht="13.5" thickBot="1" x14ac:dyDescent="0.25">
      <c r="A198" s="498" t="s">
        <v>2170</v>
      </c>
      <c r="B198" s="498" t="s">
        <v>2168</v>
      </c>
      <c r="C198" s="498">
        <v>1.2568299999999999</v>
      </c>
      <c r="D198" s="498">
        <v>1.5421</v>
      </c>
      <c r="E198" s="498">
        <v>482.68400000000003</v>
      </c>
      <c r="F198" s="498">
        <v>175.19300000000001</v>
      </c>
      <c r="G198" s="498">
        <v>2.1034999999999999E-4</v>
      </c>
    </row>
    <row r="199" spans="1:7" ht="13.5" thickBot="1" x14ac:dyDescent="0.25">
      <c r="A199" s="499" t="s">
        <v>2171</v>
      </c>
      <c r="B199" s="499" t="s">
        <v>2168</v>
      </c>
      <c r="C199" s="499">
        <v>1.06826</v>
      </c>
      <c r="D199" s="499">
        <v>2.0081699999999998</v>
      </c>
      <c r="E199" s="499">
        <v>49.1556</v>
      </c>
      <c r="F199" s="499">
        <v>150.679</v>
      </c>
      <c r="G199" s="499">
        <v>2.2764000000000001E-4</v>
      </c>
    </row>
    <row r="200" spans="1:7" ht="13.5" thickBot="1" x14ac:dyDescent="0.25">
      <c r="A200" s="498" t="s">
        <v>2172</v>
      </c>
      <c r="B200" s="498" t="s">
        <v>2173</v>
      </c>
      <c r="C200" s="498">
        <v>-0.58867999999999998</v>
      </c>
      <c r="D200" s="498">
        <v>3.5404100000000001</v>
      </c>
      <c r="E200" s="498">
        <v>505.27800000000002</v>
      </c>
      <c r="F200" s="498">
        <v>86.084000000000003</v>
      </c>
      <c r="G200" s="498">
        <v>4.9134999999999999E-4</v>
      </c>
    </row>
    <row r="201" spans="1:7" ht="13.5" thickBot="1" x14ac:dyDescent="0.25">
      <c r="A201" s="499" t="s">
        <v>2174</v>
      </c>
      <c r="B201" s="499" t="s">
        <v>2175</v>
      </c>
      <c r="C201" s="499">
        <v>1.0648599999999999</v>
      </c>
      <c r="D201" s="499">
        <v>0.68064999999999998</v>
      </c>
      <c r="E201" s="499">
        <v>1102.8910000000001</v>
      </c>
      <c r="F201" s="499">
        <v>11.307</v>
      </c>
      <c r="G201" s="499">
        <v>2.427E-5</v>
      </c>
    </row>
    <row r="202" spans="1:7" ht="13.5" thickBot="1" x14ac:dyDescent="0.25">
      <c r="A202" s="498" t="s">
        <v>2176</v>
      </c>
      <c r="B202" s="498" t="s">
        <v>2177</v>
      </c>
      <c r="C202" s="498">
        <v>1.74793</v>
      </c>
      <c r="D202" s="498">
        <v>1.33728</v>
      </c>
      <c r="E202" s="498">
        <v>482.34699999999998</v>
      </c>
      <c r="F202" s="498">
        <v>41.78</v>
      </c>
      <c r="G202" s="498">
        <v>9.9630000000000007E-5</v>
      </c>
    </row>
    <row r="203" spans="1:7" ht="13.5" thickBot="1" x14ac:dyDescent="0.25">
      <c r="A203" s="499" t="s">
        <v>2178</v>
      </c>
      <c r="B203" s="499" t="s">
        <v>2179</v>
      </c>
      <c r="C203" s="499">
        <v>1.40324</v>
      </c>
      <c r="D203" s="499">
        <v>1.2345200000000001</v>
      </c>
      <c r="E203" s="499">
        <v>507.512</v>
      </c>
      <c r="F203" s="499">
        <v>36.027000000000001</v>
      </c>
      <c r="G203" s="499">
        <v>1.1179999999999999E-4</v>
      </c>
    </row>
    <row r="204" spans="1:7" ht="13.5" thickBot="1" x14ac:dyDescent="0.25">
      <c r="A204" s="498" t="s">
        <v>2180</v>
      </c>
      <c r="B204" s="498" t="s">
        <v>2181</v>
      </c>
      <c r="C204" s="498">
        <v>-0.59438000000000002</v>
      </c>
      <c r="D204" s="498">
        <v>3.2580100000000001</v>
      </c>
      <c r="E204" s="498">
        <v>702.49</v>
      </c>
      <c r="F204" s="498">
        <v>-155.864</v>
      </c>
      <c r="G204" s="498">
        <v>1.6068000000000001E-4</v>
      </c>
    </row>
    <row r="205" spans="1:7" ht="13.5" thickBot="1" x14ac:dyDescent="0.25">
      <c r="A205" s="499" t="s">
        <v>2182</v>
      </c>
      <c r="B205" s="499" t="s">
        <v>2183</v>
      </c>
      <c r="C205" s="499">
        <v>4.18858</v>
      </c>
      <c r="D205" s="499">
        <v>0.59967999999999999</v>
      </c>
      <c r="E205" s="499">
        <v>696.70299999999997</v>
      </c>
      <c r="F205" s="499">
        <v>32.857999999999997</v>
      </c>
      <c r="G205" s="499">
        <v>5.9599999999999997E-6</v>
      </c>
    </row>
    <row r="206" spans="1:7" ht="13.5" thickBot="1" x14ac:dyDescent="0.25">
      <c r="A206" s="498" t="s">
        <v>2184</v>
      </c>
      <c r="B206" s="498" t="s">
        <v>2185</v>
      </c>
      <c r="C206" s="498">
        <v>-9.0520000000000003E-2</v>
      </c>
      <c r="D206" s="498">
        <v>2.8954900000000001</v>
      </c>
      <c r="E206" s="498">
        <v>536.22299999999996</v>
      </c>
      <c r="F206" s="498">
        <v>1.885</v>
      </c>
      <c r="G206" s="498">
        <v>3.5471999999999999E-4</v>
      </c>
    </row>
    <row r="207" spans="1:7" ht="13.5" thickBot="1" x14ac:dyDescent="0.25">
      <c r="A207" s="499" t="s">
        <v>2186</v>
      </c>
      <c r="B207" s="499" t="s">
        <v>2187</v>
      </c>
      <c r="C207" s="499">
        <v>0.83035999999999999</v>
      </c>
      <c r="D207" s="499">
        <v>2.9474399999999998</v>
      </c>
      <c r="E207" s="499">
        <v>443.46199999999999</v>
      </c>
      <c r="F207" s="499">
        <v>-55.683</v>
      </c>
      <c r="G207" s="499">
        <v>1.8359999999999999E-4</v>
      </c>
    </row>
    <row r="208" spans="1:7" ht="13.5" thickBot="1" x14ac:dyDescent="0.25">
      <c r="A208" s="498" t="s">
        <v>2188</v>
      </c>
      <c r="B208" s="498" t="s">
        <v>2189</v>
      </c>
      <c r="C208" s="498">
        <v>0.91349999999999998</v>
      </c>
      <c r="D208" s="498">
        <v>1.5368900000000001</v>
      </c>
      <c r="E208" s="498">
        <v>664.07500000000005</v>
      </c>
      <c r="F208" s="498">
        <v>-33.692</v>
      </c>
      <c r="G208" s="498">
        <v>7.0640000000000001E-5</v>
      </c>
    </row>
    <row r="209" spans="1:7" ht="13.5" thickBot="1" x14ac:dyDescent="0.25">
      <c r="A209" s="499" t="s">
        <v>2190</v>
      </c>
      <c r="B209" s="499" t="s">
        <v>2191</v>
      </c>
      <c r="C209" s="499">
        <v>1.5502100000000001</v>
      </c>
      <c r="D209" s="499">
        <v>1.2E-4</v>
      </c>
      <c r="E209" s="499">
        <v>475.70400000000001</v>
      </c>
      <c r="F209" s="499">
        <v>291.06299999999999</v>
      </c>
      <c r="G209" s="499">
        <v>2.4326999999999999E-4</v>
      </c>
    </row>
    <row r="210" spans="1:7" ht="13.5" thickBot="1" x14ac:dyDescent="0.25">
      <c r="A210" s="498" t="s">
        <v>2192</v>
      </c>
      <c r="B210" s="498" t="s">
        <v>2193</v>
      </c>
      <c r="C210" s="498">
        <v>11.44422</v>
      </c>
      <c r="D210" s="498">
        <v>0.73702999999999996</v>
      </c>
      <c r="E210" s="498">
        <v>438.24099999999999</v>
      </c>
      <c r="F210" s="498">
        <v>-120.58199999999999</v>
      </c>
      <c r="G210" s="498">
        <v>1.9E-6</v>
      </c>
    </row>
    <row r="211" spans="1:7" ht="13.5" thickBot="1" x14ac:dyDescent="0.25">
      <c r="A211" s="499" t="s">
        <v>2194</v>
      </c>
      <c r="B211" s="499" t="s">
        <v>2195</v>
      </c>
      <c r="C211" s="499">
        <v>0.89510999999999996</v>
      </c>
      <c r="D211" s="499">
        <v>-51.828780000000002</v>
      </c>
      <c r="E211" s="499">
        <v>337.101</v>
      </c>
      <c r="F211" s="499">
        <v>-405.31599999999997</v>
      </c>
      <c r="G211" s="499">
        <v>3.5958499999999998E-3</v>
      </c>
    </row>
    <row r="212" spans="1:7" ht="13.5" thickBot="1" x14ac:dyDescent="0.25">
      <c r="A212" s="498" t="s">
        <v>2196</v>
      </c>
      <c r="B212" s="498" t="s">
        <v>2197</v>
      </c>
      <c r="C212" s="498">
        <v>1.31545</v>
      </c>
      <c r="D212" s="498">
        <v>1.31192</v>
      </c>
      <c r="E212" s="498">
        <v>334.57400000000001</v>
      </c>
      <c r="F212" s="498">
        <v>-25.576000000000001</v>
      </c>
      <c r="G212" s="498">
        <v>1.2224999999999999E-4</v>
      </c>
    </row>
    <row r="213" spans="1:7" ht="13.5" thickBot="1" x14ac:dyDescent="0.25">
      <c r="A213" s="499" t="s">
        <v>2198</v>
      </c>
      <c r="B213" s="499" t="s">
        <v>2199</v>
      </c>
      <c r="C213" s="499">
        <v>1.65496</v>
      </c>
      <c r="D213" s="499">
        <v>0.57330000000000003</v>
      </c>
      <c r="E213" s="499">
        <v>610.68700000000001</v>
      </c>
      <c r="F213" s="499">
        <v>11.477</v>
      </c>
      <c r="G213" s="499">
        <v>2.915E-5</v>
      </c>
    </row>
    <row r="214" spans="1:7" ht="13.5" thickBot="1" x14ac:dyDescent="0.25">
      <c r="A214" s="498" t="s">
        <v>2200</v>
      </c>
      <c r="B214" s="498" t="s">
        <v>2201</v>
      </c>
      <c r="C214" s="498">
        <v>3.3688699999999998</v>
      </c>
      <c r="D214" s="498">
        <v>0.15106</v>
      </c>
      <c r="E214" s="498">
        <v>994.60400000000004</v>
      </c>
      <c r="F214" s="498">
        <v>10.71</v>
      </c>
      <c r="G214" s="498">
        <v>2.6199999999999999E-6</v>
      </c>
    </row>
    <row r="215" spans="1:7" ht="13.5" thickBot="1" x14ac:dyDescent="0.25">
      <c r="A215" s="499" t="s">
        <v>2202</v>
      </c>
      <c r="B215" s="499" t="s">
        <v>2203</v>
      </c>
      <c r="C215" s="499">
        <v>1.7823500000000001</v>
      </c>
      <c r="D215" s="499">
        <v>1.27121</v>
      </c>
      <c r="E215" s="499">
        <v>589.70899999999995</v>
      </c>
      <c r="F215" s="499">
        <v>-76.509</v>
      </c>
      <c r="G215" s="499">
        <v>3.4650000000000002E-5</v>
      </c>
    </row>
    <row r="216" spans="1:7" ht="13.5" thickBot="1" x14ac:dyDescent="0.25">
      <c r="A216" s="498" t="s">
        <v>2204</v>
      </c>
      <c r="B216" s="498" t="s">
        <v>2205</v>
      </c>
      <c r="C216" s="498">
        <v>0.53898999999999997</v>
      </c>
      <c r="D216" s="498">
        <v>1.6056600000000001</v>
      </c>
      <c r="E216" s="498">
        <v>636.43399999999997</v>
      </c>
      <c r="F216" s="498">
        <v>-28.274999999999999</v>
      </c>
      <c r="G216" s="498">
        <v>7.6119999999999996E-5</v>
      </c>
    </row>
    <row r="217" spans="1:7" ht="13.5" thickBot="1" x14ac:dyDescent="0.25">
      <c r="A217" s="499" t="s">
        <v>2206</v>
      </c>
      <c r="B217" s="499" t="s">
        <v>2207</v>
      </c>
      <c r="C217" s="499">
        <v>1.3399000000000001</v>
      </c>
      <c r="D217" s="499">
        <v>0.72070000000000001</v>
      </c>
      <c r="E217" s="499">
        <v>519.14499999999998</v>
      </c>
      <c r="F217" s="499">
        <v>125.271</v>
      </c>
      <c r="G217" s="499">
        <v>1.4140999999999999E-4</v>
      </c>
    </row>
    <row r="218" spans="1:7" ht="13.5" thickBot="1" x14ac:dyDescent="0.25">
      <c r="A218" s="498" t="s">
        <v>2208</v>
      </c>
      <c r="B218" s="498" t="s">
        <v>2209</v>
      </c>
      <c r="C218" s="498">
        <v>-1.0288900000000001</v>
      </c>
      <c r="D218" s="498">
        <v>2.6240700000000001</v>
      </c>
      <c r="E218" s="498">
        <v>887.91200000000003</v>
      </c>
      <c r="F218" s="498">
        <v>-31.349</v>
      </c>
      <c r="G218" s="498">
        <v>1.4249999999999999E-4</v>
      </c>
    </row>
    <row r="219" spans="1:7" ht="13.5" thickBot="1" x14ac:dyDescent="0.25">
      <c r="A219" s="499" t="s">
        <v>2210</v>
      </c>
      <c r="B219" s="499" t="s">
        <v>2143</v>
      </c>
      <c r="C219" s="499">
        <v>-24.149909999999998</v>
      </c>
      <c r="D219" s="499">
        <v>826.18025999999998</v>
      </c>
      <c r="E219" s="499">
        <v>333.839</v>
      </c>
      <c r="F219" s="499">
        <v>-9717.8889999999992</v>
      </c>
      <c r="G219" s="499">
        <v>5.0450199999999999E-3</v>
      </c>
    </row>
    <row r="220" spans="1:7" ht="13.5" thickBot="1" x14ac:dyDescent="0.25">
      <c r="A220" s="498" t="s">
        <v>2211</v>
      </c>
      <c r="B220" s="498" t="s">
        <v>2147</v>
      </c>
      <c r="C220" s="498">
        <v>2.19245</v>
      </c>
      <c r="D220" s="498">
        <v>3.83507</v>
      </c>
      <c r="E220" s="498">
        <v>520.59400000000005</v>
      </c>
      <c r="F220" s="498">
        <v>-370.87299999999999</v>
      </c>
      <c r="G220" s="498">
        <v>2.0400000000000001E-5</v>
      </c>
    </row>
    <row r="221" spans="1:7" ht="13.5" thickBot="1" x14ac:dyDescent="0.25">
      <c r="A221" s="499" t="s">
        <v>2212</v>
      </c>
      <c r="B221" s="499" t="s">
        <v>2151</v>
      </c>
      <c r="C221" s="499">
        <v>1.70133</v>
      </c>
      <c r="D221" s="499">
        <v>1.11633</v>
      </c>
      <c r="E221" s="499">
        <v>592.02599999999995</v>
      </c>
      <c r="F221" s="499">
        <v>-34.625</v>
      </c>
      <c r="G221" s="499">
        <v>3.012E-5</v>
      </c>
    </row>
    <row r="222" spans="1:7" ht="13.5" thickBot="1" x14ac:dyDescent="0.25">
      <c r="A222" s="498" t="s">
        <v>2213</v>
      </c>
      <c r="B222" s="498" t="s">
        <v>2147</v>
      </c>
      <c r="C222" s="498">
        <v>1.2383</v>
      </c>
      <c r="D222" s="498">
        <v>1.1618999999999999</v>
      </c>
      <c r="E222" s="498">
        <v>484.92599999999999</v>
      </c>
      <c r="F222" s="498">
        <v>-27.978000000000002</v>
      </c>
      <c r="G222" s="498">
        <v>4.9410000000000003E-5</v>
      </c>
    </row>
    <row r="223" spans="1:7" ht="13.5" thickBot="1" x14ac:dyDescent="0.25">
      <c r="A223" s="499" t="s">
        <v>2214</v>
      </c>
      <c r="B223" s="499" t="s">
        <v>2149</v>
      </c>
      <c r="C223" s="499">
        <v>1.88361</v>
      </c>
      <c r="D223" s="499">
        <v>1.7005699999999999</v>
      </c>
      <c r="E223" s="499">
        <v>486.07100000000003</v>
      </c>
      <c r="F223" s="499">
        <v>-102.10599999999999</v>
      </c>
      <c r="G223" s="499">
        <v>3.7440000000000001E-5</v>
      </c>
    </row>
    <row r="224" spans="1:7" ht="13.5" thickBot="1" x14ac:dyDescent="0.25">
      <c r="A224" s="498" t="s">
        <v>2215</v>
      </c>
      <c r="B224" s="498" t="s">
        <v>2216</v>
      </c>
      <c r="C224" s="498">
        <v>2.0318200000000002</v>
      </c>
      <c r="D224" s="498">
        <v>0.24657999999999999</v>
      </c>
      <c r="E224" s="498">
        <v>923.37099999999998</v>
      </c>
      <c r="F224" s="498">
        <v>-4.4390000000000001</v>
      </c>
      <c r="G224" s="498">
        <v>9.8600000000000005E-6</v>
      </c>
    </row>
    <row r="225" spans="1:7" ht="13.5" thickBot="1" x14ac:dyDescent="0.25">
      <c r="A225" s="499" t="s">
        <v>2217</v>
      </c>
      <c r="B225" s="499" t="s">
        <v>2218</v>
      </c>
      <c r="C225" s="499">
        <v>0.99382999999999999</v>
      </c>
      <c r="D225" s="499">
        <v>1.2630600000000001</v>
      </c>
      <c r="E225" s="499">
        <v>558.327</v>
      </c>
      <c r="F225" s="499">
        <v>-41.884999999999998</v>
      </c>
      <c r="G225" s="499">
        <v>6.0149999999999998E-5</v>
      </c>
    </row>
    <row r="226" spans="1:7" ht="13.5" thickBot="1" x14ac:dyDescent="0.25">
      <c r="A226" s="498" t="s">
        <v>2219</v>
      </c>
      <c r="B226" s="498" t="s">
        <v>2181</v>
      </c>
      <c r="C226" s="498">
        <v>-0.88995000000000002</v>
      </c>
      <c r="D226" s="498">
        <v>5.5477600000000002</v>
      </c>
      <c r="E226" s="498">
        <v>466.80200000000002</v>
      </c>
      <c r="F226" s="498">
        <v>-109.574</v>
      </c>
      <c r="G226" s="498">
        <v>4.1685000000000002E-4</v>
      </c>
    </row>
    <row r="227" spans="1:7" ht="13.5" thickBot="1" x14ac:dyDescent="0.25">
      <c r="A227" s="499" t="s">
        <v>2220</v>
      </c>
      <c r="B227" s="499" t="s">
        <v>2221</v>
      </c>
      <c r="C227" s="499">
        <v>0.69796000000000002</v>
      </c>
      <c r="D227" s="499">
        <v>1.14046</v>
      </c>
      <c r="E227" s="499">
        <v>549.92100000000005</v>
      </c>
      <c r="F227" s="499">
        <v>-44.11</v>
      </c>
      <c r="G227" s="499">
        <v>3.5649999999999999E-5</v>
      </c>
    </row>
    <row r="228" spans="1:7" ht="13.5" thickBot="1" x14ac:dyDescent="0.25">
      <c r="A228" s="498" t="s">
        <v>2222</v>
      </c>
      <c r="B228" s="498" t="s">
        <v>2216</v>
      </c>
      <c r="C228" s="498">
        <v>1.9362200000000001</v>
      </c>
      <c r="D228" s="498">
        <v>1.28342</v>
      </c>
      <c r="E228" s="498">
        <v>451.995</v>
      </c>
      <c r="F228" s="498">
        <v>-34.901000000000003</v>
      </c>
      <c r="G228" s="498">
        <v>3.0020000000000001E-5</v>
      </c>
    </row>
    <row r="229" spans="1:7" ht="13.5" thickBot="1" x14ac:dyDescent="0.25">
      <c r="A229" s="499" t="s">
        <v>2223</v>
      </c>
      <c r="B229" s="499" t="s">
        <v>2224</v>
      </c>
      <c r="C229" s="499">
        <v>2.3063199999999999</v>
      </c>
      <c r="D229" s="499">
        <v>0.16500000000000001</v>
      </c>
      <c r="E229" s="499">
        <v>580.28800000000001</v>
      </c>
      <c r="F229" s="499">
        <v>180.024</v>
      </c>
      <c r="G229" s="499">
        <v>2.8920000000000001E-5</v>
      </c>
    </row>
    <row r="230" spans="1:7" ht="13.5" thickBot="1" x14ac:dyDescent="0.25">
      <c r="A230" s="498" t="s">
        <v>2225</v>
      </c>
      <c r="B230" s="498" t="s">
        <v>2226</v>
      </c>
      <c r="C230" s="498">
        <v>-1.7406999999999999</v>
      </c>
      <c r="D230" s="498">
        <v>2.2231700000000001</v>
      </c>
      <c r="E230" s="498">
        <v>510.26100000000002</v>
      </c>
      <c r="F230" s="498">
        <v>48.654000000000003</v>
      </c>
      <c r="G230" s="498">
        <v>1.37465E-3</v>
      </c>
    </row>
    <row r="231" spans="1:7" ht="13.5" thickBot="1" x14ac:dyDescent="0.25">
      <c r="A231" s="499" t="s">
        <v>2227</v>
      </c>
      <c r="B231" s="499" t="s">
        <v>2228</v>
      </c>
      <c r="C231" s="499">
        <v>0.68640000000000001</v>
      </c>
      <c r="D231" s="499">
        <v>1.4203300000000001</v>
      </c>
      <c r="E231" s="499">
        <v>705.45899999999995</v>
      </c>
      <c r="F231" s="499">
        <v>-31.539000000000001</v>
      </c>
      <c r="G231" s="499">
        <v>1.0016E-4</v>
      </c>
    </row>
    <row r="232" spans="1:7" ht="13.5" thickBot="1" x14ac:dyDescent="0.25">
      <c r="A232" s="498" t="s">
        <v>2229</v>
      </c>
      <c r="B232" s="498" t="s">
        <v>2230</v>
      </c>
      <c r="C232" s="498">
        <v>-1.0549200000000001</v>
      </c>
      <c r="D232" s="498">
        <v>3.1177000000000001</v>
      </c>
      <c r="E232" s="498">
        <v>694.096</v>
      </c>
      <c r="F232" s="498">
        <v>-97.628</v>
      </c>
      <c r="G232" s="498">
        <v>3.0992999999999998E-4</v>
      </c>
    </row>
    <row r="233" spans="1:7" ht="13.5" thickBot="1" x14ac:dyDescent="0.25">
      <c r="A233" s="499" t="s">
        <v>2231</v>
      </c>
      <c r="B233" s="499" t="s">
        <v>2177</v>
      </c>
      <c r="C233" s="499">
        <v>-0.91668000000000005</v>
      </c>
      <c r="D233" s="499">
        <v>1.04562</v>
      </c>
      <c r="E233" s="499">
        <v>600.64499999999998</v>
      </c>
      <c r="F233" s="499">
        <v>30.794</v>
      </c>
      <c r="G233" s="499">
        <v>2.5227000000000002E-4</v>
      </c>
    </row>
    <row r="234" spans="1:7" ht="13.5" thickBot="1" x14ac:dyDescent="0.25">
      <c r="A234" s="498" t="s">
        <v>2232</v>
      </c>
      <c r="B234" s="498" t="s">
        <v>2179</v>
      </c>
      <c r="C234" s="498">
        <v>0.70106999999999997</v>
      </c>
      <c r="D234" s="498">
        <v>1.2958700000000001</v>
      </c>
      <c r="E234" s="498">
        <v>586.673</v>
      </c>
      <c r="F234" s="498">
        <v>-38.735999999999997</v>
      </c>
      <c r="G234" s="498">
        <v>6.7269999999999998E-5</v>
      </c>
    </row>
    <row r="235" spans="1:7" ht="13.5" thickBot="1" x14ac:dyDescent="0.25">
      <c r="A235" s="499" t="s">
        <v>2233</v>
      </c>
      <c r="B235" s="499" t="s">
        <v>2181</v>
      </c>
      <c r="C235" s="499">
        <v>3.4481000000000002</v>
      </c>
      <c r="D235" s="499">
        <v>4.0000000000000003E-5</v>
      </c>
      <c r="E235" s="499">
        <v>653.96400000000006</v>
      </c>
      <c r="F235" s="499">
        <v>118.712</v>
      </c>
      <c r="G235" s="499">
        <v>6.4400000000000002E-6</v>
      </c>
    </row>
    <row r="236" spans="1:7" ht="13.5" thickBot="1" x14ac:dyDescent="0.25">
      <c r="A236" s="498" t="s">
        <v>2234</v>
      </c>
      <c r="B236" s="498" t="s">
        <v>2179</v>
      </c>
      <c r="C236" s="498">
        <v>2.3577699999999999</v>
      </c>
      <c r="D236" s="498">
        <v>1.5782400000000001</v>
      </c>
      <c r="E236" s="498">
        <v>508.322</v>
      </c>
      <c r="F236" s="498">
        <v>-127.221</v>
      </c>
      <c r="G236" s="498">
        <v>2.9980000000000001E-5</v>
      </c>
    </row>
    <row r="237" spans="1:7" ht="13.5" thickBot="1" x14ac:dyDescent="0.25">
      <c r="A237" s="499" t="s">
        <v>2235</v>
      </c>
      <c r="B237" s="499" t="s">
        <v>2181</v>
      </c>
      <c r="C237" s="499">
        <v>2.8750499999999999</v>
      </c>
      <c r="D237" s="499">
        <v>3.82999</v>
      </c>
      <c r="E237" s="499">
        <v>701.62400000000002</v>
      </c>
      <c r="F237" s="499">
        <v>-475.81599999999997</v>
      </c>
      <c r="G237" s="499">
        <v>8.5299999999999996E-6</v>
      </c>
    </row>
    <row r="238" spans="1:7" ht="13.5" thickBot="1" x14ac:dyDescent="0.25">
      <c r="A238" s="498" t="s">
        <v>2236</v>
      </c>
      <c r="B238" s="498" t="s">
        <v>2183</v>
      </c>
      <c r="C238" s="498">
        <v>2.5146799999999998</v>
      </c>
      <c r="D238" s="498">
        <v>7.4771200000000002</v>
      </c>
      <c r="E238" s="498">
        <v>600.279</v>
      </c>
      <c r="F238" s="498">
        <v>-667.72</v>
      </c>
      <c r="G238" s="498">
        <v>2.056E-5</v>
      </c>
    </row>
    <row r="239" spans="1:7" ht="13.5" thickBot="1" x14ac:dyDescent="0.25">
      <c r="A239" s="499" t="s">
        <v>2237</v>
      </c>
      <c r="B239" s="499" t="s">
        <v>2181</v>
      </c>
      <c r="C239" s="499">
        <v>1.9511700000000001</v>
      </c>
      <c r="D239" s="499">
        <v>0.93694</v>
      </c>
      <c r="E239" s="499">
        <v>615.57500000000005</v>
      </c>
      <c r="F239" s="499">
        <v>-40.012</v>
      </c>
      <c r="G239" s="499">
        <v>2.7160000000000001E-5</v>
      </c>
    </row>
    <row r="240" spans="1:7" ht="13.5" thickBot="1" x14ac:dyDescent="0.25">
      <c r="A240" s="498" t="s">
        <v>2238</v>
      </c>
      <c r="B240" s="498" t="s">
        <v>2183</v>
      </c>
      <c r="C240" s="498">
        <v>1.1326700000000001</v>
      </c>
      <c r="D240" s="498">
        <v>1.3912</v>
      </c>
      <c r="E240" s="498">
        <v>636.28700000000003</v>
      </c>
      <c r="F240" s="498">
        <v>-63.713000000000001</v>
      </c>
      <c r="G240" s="498">
        <v>4.6640000000000001E-5</v>
      </c>
    </row>
    <row r="241" spans="1:7" ht="13.5" thickBot="1" x14ac:dyDescent="0.25">
      <c r="A241" s="499" t="s">
        <v>2239</v>
      </c>
      <c r="B241" s="499" t="s">
        <v>2185</v>
      </c>
      <c r="C241" s="499">
        <v>0.97926999999999997</v>
      </c>
      <c r="D241" s="499">
        <v>1.5632299999999999</v>
      </c>
      <c r="E241" s="499">
        <v>602.94100000000003</v>
      </c>
      <c r="F241" s="499">
        <v>-33.933999999999997</v>
      </c>
      <c r="G241" s="499">
        <v>6.1309999999999994E-5</v>
      </c>
    </row>
    <row r="242" spans="1:7" ht="13.5" thickBot="1" x14ac:dyDescent="0.25">
      <c r="A242" s="498" t="s">
        <v>2240</v>
      </c>
      <c r="B242" s="498" t="s">
        <v>2183</v>
      </c>
      <c r="C242" s="498">
        <v>1.19242</v>
      </c>
      <c r="D242" s="498">
        <v>1.1454500000000001</v>
      </c>
      <c r="E242" s="498">
        <v>659.31500000000005</v>
      </c>
      <c r="F242" s="498">
        <v>-32.415999999999997</v>
      </c>
      <c r="G242" s="498">
        <v>4.3680000000000002E-5</v>
      </c>
    </row>
    <row r="243" spans="1:7" ht="13.5" thickBot="1" x14ac:dyDescent="0.25">
      <c r="A243" s="499" t="s">
        <v>2241</v>
      </c>
      <c r="B243" s="499" t="s">
        <v>2185</v>
      </c>
      <c r="C243" s="499">
        <v>0.69721</v>
      </c>
      <c r="D243" s="499">
        <v>1.4446600000000001</v>
      </c>
      <c r="E243" s="499">
        <v>631.10599999999999</v>
      </c>
      <c r="F243" s="499">
        <v>-37.808999999999997</v>
      </c>
      <c r="G243" s="499">
        <v>7.5090000000000001E-5</v>
      </c>
    </row>
    <row r="244" spans="1:7" ht="13.5" thickBot="1" x14ac:dyDescent="0.25">
      <c r="A244" s="498" t="s">
        <v>2242</v>
      </c>
      <c r="B244" s="498" t="s">
        <v>2243</v>
      </c>
      <c r="C244" s="498">
        <v>1.09205</v>
      </c>
      <c r="D244" s="498">
        <v>2.2399800000000001</v>
      </c>
      <c r="E244" s="498">
        <v>629.39700000000005</v>
      </c>
      <c r="F244" s="498">
        <v>-30.878</v>
      </c>
      <c r="G244" s="498">
        <v>6.3720000000000007E-5</v>
      </c>
    </row>
    <row r="245" spans="1:7" ht="13.5" thickBot="1" x14ac:dyDescent="0.25">
      <c r="A245" s="499" t="s">
        <v>2244</v>
      </c>
      <c r="B245" s="499" t="s">
        <v>2245</v>
      </c>
      <c r="C245" s="499">
        <v>-0.52422999999999997</v>
      </c>
      <c r="D245" s="499">
        <v>2.21075</v>
      </c>
      <c r="E245" s="499">
        <v>621.26700000000005</v>
      </c>
      <c r="F245" s="499">
        <v>-1.514</v>
      </c>
      <c r="G245" s="499">
        <v>2.9435000000000003E-4</v>
      </c>
    </row>
    <row r="246" spans="1:7" ht="13.5" thickBot="1" x14ac:dyDescent="0.25">
      <c r="A246" s="498" t="s">
        <v>2246</v>
      </c>
      <c r="B246" s="498" t="s">
        <v>2247</v>
      </c>
      <c r="C246" s="498">
        <v>0.78115999999999997</v>
      </c>
      <c r="D246" s="498">
        <v>2.2149999999999999</v>
      </c>
      <c r="E246" s="498">
        <v>566.04899999999998</v>
      </c>
      <c r="F246" s="498">
        <v>2.9319999999999999</v>
      </c>
      <c r="G246" s="498">
        <v>1.7111000000000001E-4</v>
      </c>
    </row>
    <row r="247" spans="1:7" ht="13.5" thickBot="1" x14ac:dyDescent="0.25">
      <c r="A247" s="499" t="s">
        <v>2248</v>
      </c>
      <c r="B247" s="499" t="s">
        <v>2249</v>
      </c>
      <c r="C247" s="499">
        <v>0.67474000000000001</v>
      </c>
      <c r="D247" s="499">
        <v>1.15788</v>
      </c>
      <c r="E247" s="499">
        <v>540.51599999999996</v>
      </c>
      <c r="F247" s="499">
        <v>-19.922999999999998</v>
      </c>
      <c r="G247" s="499">
        <v>4.244E-5</v>
      </c>
    </row>
    <row r="248" spans="1:7" ht="13.5" thickBot="1" x14ac:dyDescent="0.25">
      <c r="A248" s="498" t="s">
        <v>2250</v>
      </c>
      <c r="B248" s="498" t="s">
        <v>2251</v>
      </c>
      <c r="C248" s="498">
        <v>4.5772300000000001</v>
      </c>
      <c r="D248" s="498">
        <v>3.2321200000000001</v>
      </c>
      <c r="E248" s="498">
        <v>461.59199999999998</v>
      </c>
      <c r="F248" s="498">
        <v>-187.22</v>
      </c>
      <c r="G248" s="498">
        <v>3.7500000000000001E-6</v>
      </c>
    </row>
    <row r="249" spans="1:7" ht="13.5" thickBot="1" x14ac:dyDescent="0.25">
      <c r="A249" s="499" t="s">
        <v>2252</v>
      </c>
      <c r="B249" s="499" t="s">
        <v>2253</v>
      </c>
      <c r="C249" s="499">
        <v>1.4375899999999999</v>
      </c>
      <c r="D249" s="499">
        <v>1.38853</v>
      </c>
      <c r="E249" s="499">
        <v>576.59199999999998</v>
      </c>
      <c r="F249" s="499">
        <v>-41.603999999999999</v>
      </c>
      <c r="G249" s="499">
        <v>3.3880000000000001E-5</v>
      </c>
    </row>
    <row r="250" spans="1:7" ht="13.5" thickBot="1" x14ac:dyDescent="0.25">
      <c r="A250" s="498" t="s">
        <v>2254</v>
      </c>
      <c r="B250" s="498" t="s">
        <v>2255</v>
      </c>
      <c r="C250" s="498">
        <v>4.9331500000000004</v>
      </c>
      <c r="D250" s="498">
        <v>5.5624000000000002</v>
      </c>
      <c r="E250" s="498">
        <v>539.68700000000001</v>
      </c>
      <c r="F250" s="498">
        <v>-504.92599999999999</v>
      </c>
      <c r="G250" s="498">
        <v>6.9E-6</v>
      </c>
    </row>
    <row r="251" spans="1:7" ht="13.5" thickBot="1" x14ac:dyDescent="0.25">
      <c r="A251" s="499" t="s">
        <v>2256</v>
      </c>
      <c r="B251" s="499" t="s">
        <v>2251</v>
      </c>
      <c r="C251" s="499">
        <v>2.363</v>
      </c>
      <c r="D251" s="499">
        <v>9.0000000000000006E-5</v>
      </c>
      <c r="E251" s="499">
        <v>401.423</v>
      </c>
      <c r="F251" s="499">
        <v>108.715</v>
      </c>
      <c r="G251" s="499">
        <v>2.6619999999999999E-5</v>
      </c>
    </row>
    <row r="252" spans="1:7" ht="13.5" thickBot="1" x14ac:dyDescent="0.25">
      <c r="A252" s="498" t="s">
        <v>2257</v>
      </c>
      <c r="B252" s="498" t="s">
        <v>2253</v>
      </c>
      <c r="C252" s="498">
        <v>2.4936400000000001</v>
      </c>
      <c r="D252" s="498">
        <v>3.3149999999999999</v>
      </c>
      <c r="E252" s="498">
        <v>473.86799999999999</v>
      </c>
      <c r="F252" s="498">
        <v>-357.80900000000003</v>
      </c>
      <c r="G252" s="498">
        <v>1.9979999999999998E-5</v>
      </c>
    </row>
    <row r="253" spans="1:7" ht="13.5" thickBot="1" x14ac:dyDescent="0.25">
      <c r="A253" s="499" t="s">
        <v>2258</v>
      </c>
      <c r="B253" s="499" t="s">
        <v>2255</v>
      </c>
      <c r="C253" s="499">
        <v>2.23041</v>
      </c>
      <c r="D253" s="499">
        <v>0.67793999999999999</v>
      </c>
      <c r="E253" s="499">
        <v>410.26900000000001</v>
      </c>
      <c r="F253" s="499">
        <v>75.91</v>
      </c>
      <c r="G253" s="499">
        <v>4.206E-5</v>
      </c>
    </row>
    <row r="254" spans="1:7" ht="13.5" thickBot="1" x14ac:dyDescent="0.25">
      <c r="A254" s="498" t="s">
        <v>2259</v>
      </c>
      <c r="B254" s="498" t="s">
        <v>2255</v>
      </c>
      <c r="C254" s="498">
        <v>1.1405700000000001</v>
      </c>
      <c r="D254" s="498">
        <v>1.7681199999999999</v>
      </c>
      <c r="E254" s="498">
        <v>540.64</v>
      </c>
      <c r="F254" s="498">
        <v>-101.16500000000001</v>
      </c>
      <c r="G254" s="498">
        <v>5.3229999999999997E-5</v>
      </c>
    </row>
    <row r="255" spans="1:7" ht="13.5" thickBot="1" x14ac:dyDescent="0.25">
      <c r="A255" s="499" t="s">
        <v>2260</v>
      </c>
      <c r="B255" s="499" t="s">
        <v>2261</v>
      </c>
      <c r="C255" s="499">
        <v>2.87595</v>
      </c>
      <c r="D255" s="499">
        <v>2.15313</v>
      </c>
      <c r="E255" s="499">
        <v>604.74300000000005</v>
      </c>
      <c r="F255" s="499">
        <v>-97.644999999999996</v>
      </c>
      <c r="G255" s="499">
        <v>2.1250000000000002E-5</v>
      </c>
    </row>
    <row r="256" spans="1:7" ht="13.5" thickBot="1" x14ac:dyDescent="0.25">
      <c r="A256" s="498" t="s">
        <v>2262</v>
      </c>
      <c r="B256" s="498" t="s">
        <v>2263</v>
      </c>
      <c r="C256" s="498">
        <v>-1.0732999999999999</v>
      </c>
      <c r="D256" s="498">
        <v>2.2818399999999999</v>
      </c>
      <c r="E256" s="498">
        <v>531.85500000000002</v>
      </c>
      <c r="F256" s="498">
        <v>9.8989999999999991</v>
      </c>
      <c r="G256" s="498">
        <v>4.2903E-4</v>
      </c>
    </row>
    <row r="257" spans="1:7" ht="13.5" thickBot="1" x14ac:dyDescent="0.25">
      <c r="A257" s="499" t="s">
        <v>2264</v>
      </c>
      <c r="B257" s="499" t="s">
        <v>2263</v>
      </c>
      <c r="C257" s="499">
        <v>0.85750000000000004</v>
      </c>
      <c r="D257" s="499">
        <v>1.71069</v>
      </c>
      <c r="E257" s="499">
        <v>462.01100000000002</v>
      </c>
      <c r="F257" s="499">
        <v>136.98099999999999</v>
      </c>
      <c r="G257" s="499">
        <v>2.8186999999999998E-4</v>
      </c>
    </row>
    <row r="258" spans="1:7" ht="13.5" thickBot="1" x14ac:dyDescent="0.25">
      <c r="A258" s="498" t="s">
        <v>2265</v>
      </c>
      <c r="B258" s="498" t="s">
        <v>2266</v>
      </c>
      <c r="C258" s="498">
        <v>-1.5872900000000001</v>
      </c>
      <c r="D258" s="498">
        <v>2.7466200000000001</v>
      </c>
      <c r="E258" s="498">
        <v>611.36099999999999</v>
      </c>
      <c r="F258" s="498">
        <v>10.494999999999999</v>
      </c>
      <c r="G258" s="498">
        <v>4.7319000000000001E-4</v>
      </c>
    </row>
    <row r="259" spans="1:7" ht="13.5" thickBot="1" x14ac:dyDescent="0.25">
      <c r="A259" s="499" t="s">
        <v>2267</v>
      </c>
      <c r="B259" s="499" t="s">
        <v>2268</v>
      </c>
      <c r="C259" s="499">
        <v>2.1719200000000001</v>
      </c>
      <c r="D259" s="499">
        <v>0.33015</v>
      </c>
      <c r="E259" s="499">
        <v>782.59799999999996</v>
      </c>
      <c r="F259" s="499">
        <v>90.951999999999998</v>
      </c>
      <c r="G259" s="499">
        <v>2.5870000000000001E-5</v>
      </c>
    </row>
    <row r="260" spans="1:7" ht="13.5" thickBot="1" x14ac:dyDescent="0.25">
      <c r="A260" s="498" t="s">
        <v>2269</v>
      </c>
      <c r="B260" s="498" t="s">
        <v>2270</v>
      </c>
      <c r="C260" s="498">
        <v>-2.1794600000000002</v>
      </c>
      <c r="D260" s="498">
        <v>2.59836</v>
      </c>
      <c r="E260" s="498">
        <v>712.38699999999994</v>
      </c>
      <c r="F260" s="498">
        <v>-32.878999999999998</v>
      </c>
      <c r="G260" s="498">
        <v>6.1720999999999998E-4</v>
      </c>
    </row>
    <row r="261" spans="1:7" ht="13.5" thickBot="1" x14ac:dyDescent="0.25">
      <c r="A261" s="499" t="s">
        <v>2271</v>
      </c>
      <c r="B261" s="499" t="s">
        <v>2272</v>
      </c>
      <c r="C261" s="499">
        <v>4.0363699999999998</v>
      </c>
      <c r="D261" s="499">
        <v>4.11517</v>
      </c>
      <c r="E261" s="499">
        <v>716.32299999999998</v>
      </c>
      <c r="F261" s="499">
        <v>-44.624000000000002</v>
      </c>
      <c r="G261" s="499">
        <v>8.1999999999999998E-7</v>
      </c>
    </row>
    <row r="262" spans="1:7" ht="13.5" thickBot="1" x14ac:dyDescent="0.25">
      <c r="A262" s="498" t="s">
        <v>2273</v>
      </c>
      <c r="B262" s="498" t="s">
        <v>2274</v>
      </c>
      <c r="C262" s="498">
        <v>-1.88236</v>
      </c>
      <c r="D262" s="498">
        <v>2.7680600000000002</v>
      </c>
      <c r="E262" s="498">
        <v>703.95600000000002</v>
      </c>
      <c r="F262" s="498">
        <v>42.024999999999999</v>
      </c>
      <c r="G262" s="498">
        <v>6.9813999999999998E-4</v>
      </c>
    </row>
    <row r="263" spans="1:7" ht="13.5" thickBot="1" x14ac:dyDescent="0.25">
      <c r="A263" s="499" t="s">
        <v>2275</v>
      </c>
      <c r="B263" s="499" t="s">
        <v>2276</v>
      </c>
      <c r="C263" s="499">
        <v>-8.4440000000000001E-2</v>
      </c>
      <c r="D263" s="499">
        <v>3.22207</v>
      </c>
      <c r="E263" s="499">
        <v>685.53899999999999</v>
      </c>
      <c r="F263" s="499">
        <v>-331.22399999999999</v>
      </c>
      <c r="G263" s="499">
        <v>6.9350000000000005E-5</v>
      </c>
    </row>
    <row r="264" spans="1:7" ht="13.5" thickBot="1" x14ac:dyDescent="0.25">
      <c r="A264" s="498" t="s">
        <v>2277</v>
      </c>
      <c r="B264" s="498" t="s">
        <v>2278</v>
      </c>
      <c r="C264" s="498">
        <v>0.15620999999999999</v>
      </c>
      <c r="D264" s="498">
        <v>2.6337000000000002</v>
      </c>
      <c r="E264" s="498">
        <v>600.42399999999998</v>
      </c>
      <c r="F264" s="498">
        <v>-178.15100000000001</v>
      </c>
      <c r="G264" s="498">
        <v>8.475E-5</v>
      </c>
    </row>
    <row r="265" spans="1:7" ht="13.5" thickBot="1" x14ac:dyDescent="0.25">
      <c r="A265" s="499" t="s">
        <v>2279</v>
      </c>
      <c r="B265" s="499" t="s">
        <v>2280</v>
      </c>
      <c r="C265" s="499">
        <v>1.4386000000000001</v>
      </c>
      <c r="D265" s="499">
        <v>0.97106999999999999</v>
      </c>
      <c r="E265" s="499">
        <v>678.2</v>
      </c>
      <c r="F265" s="499">
        <v>-30.940999999999999</v>
      </c>
      <c r="G265" s="499">
        <v>3.6869999999999998E-5</v>
      </c>
    </row>
    <row r="266" spans="1:7" ht="13.5" thickBot="1" x14ac:dyDescent="0.25">
      <c r="A266" s="498" t="s">
        <v>2281</v>
      </c>
      <c r="B266" s="498" t="s">
        <v>2282</v>
      </c>
      <c r="C266" s="498">
        <v>1.7496400000000001</v>
      </c>
      <c r="D266" s="498">
        <v>0.45047999999999999</v>
      </c>
      <c r="E266" s="498">
        <v>621.89700000000005</v>
      </c>
      <c r="F266" s="498">
        <v>104.361</v>
      </c>
      <c r="G266" s="498">
        <v>6.3289999999999999E-5</v>
      </c>
    </row>
    <row r="267" spans="1:7" ht="13.5" thickBot="1" x14ac:dyDescent="0.25">
      <c r="A267" s="499" t="s">
        <v>2283</v>
      </c>
      <c r="B267" s="499" t="s">
        <v>2284</v>
      </c>
      <c r="C267" s="499">
        <v>-0.82267999999999997</v>
      </c>
      <c r="D267" s="499">
        <v>2.80139</v>
      </c>
      <c r="E267" s="499">
        <v>592.00400000000002</v>
      </c>
      <c r="F267" s="499">
        <v>19.366</v>
      </c>
      <c r="G267" s="499">
        <v>3.8573999999999998E-4</v>
      </c>
    </row>
    <row r="268" spans="1:7" ht="13.5" thickBot="1" x14ac:dyDescent="0.25">
      <c r="A268" s="498" t="s">
        <v>2285</v>
      </c>
      <c r="B268" s="498" t="s">
        <v>2286</v>
      </c>
      <c r="C268" s="498">
        <v>2.7406000000000001</v>
      </c>
      <c r="D268" s="498">
        <v>8.9840000000000003E-2</v>
      </c>
      <c r="E268" s="498">
        <v>536.68100000000004</v>
      </c>
      <c r="F268" s="498">
        <v>119.119</v>
      </c>
      <c r="G268" s="498">
        <v>2.7039999999999999E-5</v>
      </c>
    </row>
    <row r="269" spans="1:7" ht="13.5" thickBot="1" x14ac:dyDescent="0.25">
      <c r="A269" s="499" t="s">
        <v>2287</v>
      </c>
      <c r="B269" s="499" t="s">
        <v>2288</v>
      </c>
      <c r="C269" s="499">
        <v>1.7579400000000001</v>
      </c>
      <c r="D269" s="499">
        <v>0.36654999999999999</v>
      </c>
      <c r="E269" s="499">
        <v>679.00900000000001</v>
      </c>
      <c r="F269" s="499">
        <v>124.816</v>
      </c>
      <c r="G269" s="499">
        <v>6.6829999999999995E-5</v>
      </c>
    </row>
    <row r="270" spans="1:7" ht="13.5" thickBot="1" x14ac:dyDescent="0.25">
      <c r="A270" s="498" t="s">
        <v>2289</v>
      </c>
      <c r="B270" s="498" t="s">
        <v>2290</v>
      </c>
      <c r="C270" s="498">
        <v>-1.5254099999999999</v>
      </c>
      <c r="D270" s="498">
        <v>2.3715600000000001</v>
      </c>
      <c r="E270" s="498">
        <v>581.71699999999998</v>
      </c>
      <c r="F270" s="498">
        <v>24.431999999999999</v>
      </c>
      <c r="G270" s="498">
        <v>8.3352999999999997E-4</v>
      </c>
    </row>
    <row r="271" spans="1:7" ht="13.5" thickBot="1" x14ac:dyDescent="0.25">
      <c r="A271" s="499" t="s">
        <v>2291</v>
      </c>
      <c r="B271" s="499" t="s">
        <v>2290</v>
      </c>
      <c r="C271" s="499">
        <v>-1.8931800000000001</v>
      </c>
      <c r="D271" s="499">
        <v>2.2274400000000001</v>
      </c>
      <c r="E271" s="499">
        <v>626.01700000000005</v>
      </c>
      <c r="F271" s="499">
        <v>17.125</v>
      </c>
      <c r="G271" s="499">
        <v>9.998400000000001E-4</v>
      </c>
    </row>
    <row r="272" spans="1:7" ht="13.5" thickBot="1" x14ac:dyDescent="0.25">
      <c r="A272" s="498" t="s">
        <v>2292</v>
      </c>
      <c r="B272" s="498" t="s">
        <v>2290</v>
      </c>
      <c r="C272" s="498">
        <v>1.1800000000000001E-3</v>
      </c>
      <c r="D272" s="498">
        <v>1.2244999999999999</v>
      </c>
      <c r="E272" s="498">
        <v>513.37900000000002</v>
      </c>
      <c r="F272" s="498">
        <v>128.90799999999999</v>
      </c>
      <c r="G272" s="498">
        <v>4.1885000000000002E-4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FF0000"/>
  </sheetPr>
  <dimension ref="B2:CE113"/>
  <sheetViews>
    <sheetView topLeftCell="A16" zoomScale="91" zoomScaleNormal="91" workbookViewId="0">
      <selection activeCell="J29" sqref="J29:K29"/>
    </sheetView>
  </sheetViews>
  <sheetFormatPr defaultRowHeight="12.75" x14ac:dyDescent="0.2"/>
  <cols>
    <col min="1" max="1" width="5.28515625" style="42" customWidth="1"/>
    <col min="2" max="7" width="3.140625" style="42" customWidth="1"/>
    <col min="8" max="8" width="3.7109375" style="42" customWidth="1"/>
    <col min="9" max="9" width="4.85546875" style="42" customWidth="1"/>
    <col min="10" max="22" width="3.140625" style="42" customWidth="1"/>
    <col min="23" max="23" width="2.5703125" style="42" customWidth="1"/>
    <col min="24" max="24" width="3.140625" style="42" customWidth="1"/>
    <col min="25" max="25" width="4" style="42" customWidth="1"/>
    <col min="26" max="40" width="3.140625" style="42" customWidth="1"/>
    <col min="41" max="41" width="3.7109375" style="42" customWidth="1"/>
    <col min="42" max="42" width="10.7109375" style="42" customWidth="1"/>
    <col min="43" max="43" width="21.85546875" style="42" customWidth="1"/>
    <col min="44" max="44" width="11.140625" style="42" customWidth="1"/>
    <col min="45" max="45" width="15.85546875" style="42" customWidth="1"/>
    <col min="46" max="46" width="16.42578125" style="42" customWidth="1"/>
    <col min="47" max="47" width="25.85546875" style="42" customWidth="1"/>
    <col min="48" max="48" width="18.42578125" style="42" customWidth="1"/>
    <col min="49" max="49" width="27.42578125" style="42" customWidth="1"/>
    <col min="50" max="50" width="29.140625" style="42" customWidth="1"/>
    <col min="51" max="51" width="27.5703125" style="42" customWidth="1"/>
    <col min="52" max="70" width="9.140625" style="42" customWidth="1"/>
    <col min="71" max="71" width="13.28515625" style="42" customWidth="1"/>
    <col min="72" max="73" width="9.140625" style="42" customWidth="1"/>
    <col min="74" max="74" width="9.5703125" style="42" customWidth="1"/>
    <col min="75" max="75" width="9.85546875" style="42" customWidth="1"/>
    <col min="76" max="76" width="17.42578125" style="42" customWidth="1"/>
    <col min="77" max="77" width="15.85546875" style="42" customWidth="1"/>
    <col min="78" max="78" width="12.5703125" style="42" customWidth="1"/>
    <col min="79" max="79" width="15.85546875" style="42" customWidth="1"/>
    <col min="80" max="80" width="17.42578125" style="42" customWidth="1"/>
    <col min="81" max="81" width="17.42578125" style="42" bestFit="1" customWidth="1"/>
    <col min="82" max="83" width="15.85546875" style="42" bestFit="1" customWidth="1"/>
    <col min="84" max="16384" width="9.140625" style="42"/>
  </cols>
  <sheetData>
    <row r="2" spans="2:69" x14ac:dyDescent="0.2">
      <c r="B2" s="835" t="s">
        <v>755</v>
      </c>
      <c r="C2" s="685"/>
      <c r="D2" s="685"/>
      <c r="E2" s="685"/>
      <c r="F2" s="685"/>
      <c r="G2" s="685"/>
      <c r="H2" s="685"/>
      <c r="I2" s="685"/>
      <c r="J2" s="685"/>
      <c r="K2" s="685"/>
      <c r="L2" s="685"/>
      <c r="M2" s="685"/>
      <c r="N2" s="685"/>
      <c r="O2" s="685"/>
      <c r="P2" s="685"/>
      <c r="Q2" s="685"/>
      <c r="R2" s="685"/>
      <c r="S2" s="685"/>
      <c r="T2" s="685"/>
      <c r="U2" s="685"/>
      <c r="V2" s="685"/>
      <c r="W2" s="685"/>
      <c r="X2" s="685"/>
      <c r="Y2" s="685"/>
      <c r="Z2" s="685"/>
      <c r="AA2" s="685"/>
      <c r="AB2" s="685"/>
      <c r="AC2" s="685"/>
      <c r="AD2" s="685"/>
      <c r="AE2" s="685"/>
      <c r="AF2" s="685"/>
      <c r="AG2" s="685"/>
      <c r="AH2" s="685"/>
      <c r="AI2" s="685"/>
      <c r="AJ2" s="685"/>
      <c r="AK2" s="685"/>
      <c r="AL2" s="685"/>
      <c r="AM2" s="685"/>
      <c r="AN2" s="685"/>
      <c r="AO2" s="830"/>
      <c r="AQ2" s="261" t="s">
        <v>754</v>
      </c>
      <c r="AR2" s="205" t="s">
        <v>1170</v>
      </c>
      <c r="AS2" s="205" t="s">
        <v>774</v>
      </c>
      <c r="AT2" s="205" t="s">
        <v>775</v>
      </c>
      <c r="AU2" s="205" t="s">
        <v>753</v>
      </c>
      <c r="AV2" s="205" t="s">
        <v>752</v>
      </c>
      <c r="AW2" s="205" t="s">
        <v>751</v>
      </c>
      <c r="AX2" s="205" t="s">
        <v>750</v>
      </c>
      <c r="AY2" s="205" t="s">
        <v>749</v>
      </c>
    </row>
    <row r="3" spans="2:69" x14ac:dyDescent="0.2">
      <c r="B3" s="831"/>
      <c r="C3" s="828"/>
      <c r="D3" s="828"/>
      <c r="E3" s="828"/>
      <c r="F3" s="828"/>
      <c r="G3" s="828"/>
      <c r="H3" s="828"/>
      <c r="I3" s="828"/>
      <c r="J3" s="828"/>
      <c r="K3" s="828"/>
      <c r="L3" s="828"/>
      <c r="M3" s="828"/>
      <c r="N3" s="828"/>
      <c r="O3" s="828"/>
      <c r="P3" s="828"/>
      <c r="Q3" s="828"/>
      <c r="R3" s="828"/>
      <c r="S3" s="828"/>
      <c r="T3" s="828"/>
      <c r="U3" s="828"/>
      <c r="V3" s="828"/>
      <c r="W3" s="828"/>
      <c r="X3" s="828"/>
      <c r="Y3" s="828"/>
      <c r="Z3" s="828"/>
      <c r="AA3" s="828"/>
      <c r="AB3" s="828"/>
      <c r="AC3" s="828"/>
      <c r="AD3" s="828"/>
      <c r="AE3" s="828"/>
      <c r="AF3" s="828"/>
      <c r="AG3" s="828"/>
      <c r="AH3" s="828"/>
      <c r="AI3" s="828"/>
      <c r="AJ3" s="828"/>
      <c r="AK3" s="828"/>
      <c r="AL3" s="828"/>
      <c r="AM3" s="828"/>
      <c r="AN3" s="828"/>
      <c r="AO3" s="832"/>
      <c r="AQ3" s="261" t="s">
        <v>748</v>
      </c>
      <c r="AR3" s="205" t="s">
        <v>604</v>
      </c>
      <c r="AS3" s="205" t="s">
        <v>747</v>
      </c>
      <c r="AT3" s="143"/>
      <c r="AU3" s="143"/>
      <c r="AV3" s="143"/>
      <c r="AW3" s="143"/>
      <c r="AX3" s="143"/>
      <c r="AY3" s="143"/>
      <c r="AZ3" s="143"/>
      <c r="BA3" s="143"/>
      <c r="BB3" s="143"/>
      <c r="BC3" s="143"/>
      <c r="BD3" s="143"/>
      <c r="BE3" s="143"/>
      <c r="BF3" s="143"/>
      <c r="BG3" s="143"/>
      <c r="BH3" s="143"/>
    </row>
    <row r="4" spans="2:69" ht="12.75" customHeight="1" x14ac:dyDescent="0.2">
      <c r="B4" s="684"/>
      <c r="C4" s="685"/>
      <c r="D4" s="685"/>
      <c r="E4" s="685"/>
      <c r="F4" s="684" t="s">
        <v>746</v>
      </c>
      <c r="G4" s="685"/>
      <c r="H4" s="685"/>
      <c r="I4" s="707"/>
      <c r="J4" s="707"/>
      <c r="K4" s="707"/>
      <c r="L4" s="707"/>
      <c r="M4" s="707"/>
      <c r="N4" s="707"/>
      <c r="O4" s="707"/>
      <c r="P4" s="707"/>
      <c r="Q4" s="707"/>
      <c r="R4" s="707"/>
      <c r="S4" s="707"/>
      <c r="T4" s="707"/>
      <c r="U4" s="707"/>
      <c r="V4" s="707"/>
      <c r="W4" s="708"/>
      <c r="X4" s="684" t="s">
        <v>745</v>
      </c>
      <c r="Y4" s="685"/>
      <c r="Z4" s="685"/>
      <c r="AA4" s="685"/>
      <c r="AB4" s="776"/>
      <c r="AC4" s="776"/>
      <c r="AD4" s="776"/>
      <c r="AE4" s="776"/>
      <c r="AF4" s="776"/>
      <c r="AG4" s="776"/>
      <c r="AH4" s="710" t="s">
        <v>744</v>
      </c>
      <c r="AI4" s="710"/>
      <c r="AJ4" s="776"/>
      <c r="AK4" s="776"/>
      <c r="AL4" s="776"/>
      <c r="AM4" s="776"/>
      <c r="AN4" s="776"/>
      <c r="AO4" s="836"/>
      <c r="AQ4" s="261" t="s">
        <v>743</v>
      </c>
      <c r="AR4" s="143">
        <v>15</v>
      </c>
      <c r="AS4" s="143">
        <v>20</v>
      </c>
      <c r="AT4" s="143">
        <v>25</v>
      </c>
      <c r="AU4" s="143">
        <v>32</v>
      </c>
      <c r="AV4" s="143">
        <v>40</v>
      </c>
      <c r="AW4" s="143">
        <v>50</v>
      </c>
      <c r="AX4" s="143">
        <v>65</v>
      </c>
      <c r="AY4" s="143">
        <v>80</v>
      </c>
      <c r="AZ4" s="143">
        <v>100</v>
      </c>
      <c r="BA4" s="143">
        <v>125</v>
      </c>
      <c r="BB4" s="143">
        <v>150</v>
      </c>
      <c r="BC4" s="143">
        <v>200</v>
      </c>
      <c r="BD4" s="143">
        <v>250</v>
      </c>
      <c r="BE4" s="143">
        <v>300</v>
      </c>
      <c r="BF4" s="205" t="s">
        <v>500</v>
      </c>
      <c r="BG4" s="205" t="s">
        <v>494</v>
      </c>
      <c r="BH4" s="205" t="s">
        <v>492</v>
      </c>
      <c r="BI4" s="205" t="s">
        <v>491</v>
      </c>
      <c r="BJ4" s="205" t="s">
        <v>490</v>
      </c>
      <c r="BK4" s="205" t="s">
        <v>489</v>
      </c>
      <c r="BL4" s="205" t="s">
        <v>488</v>
      </c>
      <c r="BM4" s="205" t="s">
        <v>485</v>
      </c>
      <c r="BN4" s="205" t="s">
        <v>480</v>
      </c>
      <c r="BO4" s="205" t="s">
        <v>478</v>
      </c>
      <c r="BP4" s="205" t="s">
        <v>476</v>
      </c>
      <c r="BQ4" s="205" t="s">
        <v>474</v>
      </c>
    </row>
    <row r="5" spans="2:69" ht="12.75" customHeight="1" x14ac:dyDescent="0.2">
      <c r="B5" s="704"/>
      <c r="C5" s="696"/>
      <c r="D5" s="696"/>
      <c r="E5" s="696"/>
      <c r="F5" s="704" t="s">
        <v>742</v>
      </c>
      <c r="G5" s="696"/>
      <c r="H5" s="677"/>
      <c r="I5" s="677"/>
      <c r="J5" s="677"/>
      <c r="K5" s="677"/>
      <c r="L5" s="677"/>
      <c r="M5" s="677"/>
      <c r="N5" s="677"/>
      <c r="O5" s="677"/>
      <c r="P5" s="677"/>
      <c r="Q5" s="677"/>
      <c r="R5" s="677"/>
      <c r="S5" s="677"/>
      <c r="T5" s="677"/>
      <c r="U5" s="677"/>
      <c r="V5" s="677"/>
      <c r="W5" s="701"/>
      <c r="X5" s="704" t="s">
        <v>741</v>
      </c>
      <c r="Y5" s="696"/>
      <c r="Z5" s="677"/>
      <c r="AA5" s="677"/>
      <c r="AB5" s="677"/>
      <c r="AC5" s="677"/>
      <c r="AD5" s="677"/>
      <c r="AE5" s="677"/>
      <c r="AF5" s="677"/>
      <c r="AG5" s="677"/>
      <c r="AH5" s="677"/>
      <c r="AI5" s="677"/>
      <c r="AJ5" s="677"/>
      <c r="AK5" s="677"/>
      <c r="AL5" s="677"/>
      <c r="AM5" s="677"/>
      <c r="AN5" s="677"/>
      <c r="AO5" s="701"/>
      <c r="AQ5" s="261" t="s">
        <v>740</v>
      </c>
      <c r="AR5" s="205" t="s">
        <v>500</v>
      </c>
      <c r="AS5" s="205" t="s">
        <v>494</v>
      </c>
      <c r="AT5" s="205" t="s">
        <v>492</v>
      </c>
      <c r="AU5" s="205" t="s">
        <v>491</v>
      </c>
      <c r="AV5" s="205" t="s">
        <v>490</v>
      </c>
      <c r="AW5" s="205" t="s">
        <v>489</v>
      </c>
      <c r="AX5" s="205" t="s">
        <v>488</v>
      </c>
      <c r="AY5" s="205" t="s">
        <v>485</v>
      </c>
      <c r="AZ5" s="205" t="s">
        <v>480</v>
      </c>
      <c r="BA5" s="205" t="s">
        <v>478</v>
      </c>
      <c r="BB5" s="205" t="s">
        <v>476</v>
      </c>
      <c r="BC5" s="205" t="s">
        <v>474</v>
      </c>
      <c r="BD5" s="143"/>
      <c r="BE5" s="143"/>
      <c r="BF5" s="143"/>
      <c r="BG5" s="143"/>
      <c r="BH5" s="143"/>
    </row>
    <row r="6" spans="2:69" ht="12.75" customHeight="1" x14ac:dyDescent="0.2">
      <c r="B6" s="704"/>
      <c r="C6" s="696"/>
      <c r="D6" s="696"/>
      <c r="E6" s="696"/>
      <c r="F6" s="704" t="s">
        <v>739</v>
      </c>
      <c r="G6" s="696"/>
      <c r="H6" s="677"/>
      <c r="I6" s="677"/>
      <c r="J6" s="677"/>
      <c r="K6" s="677"/>
      <c r="L6" s="677"/>
      <c r="M6" s="677"/>
      <c r="N6" s="677"/>
      <c r="O6" s="677"/>
      <c r="P6" s="677"/>
      <c r="Q6" s="677"/>
      <c r="R6" s="677"/>
      <c r="S6" s="677"/>
      <c r="T6" s="677"/>
      <c r="U6" s="677"/>
      <c r="V6" s="677"/>
      <c r="W6" s="701"/>
      <c r="X6" s="704" t="s">
        <v>738</v>
      </c>
      <c r="Y6" s="696"/>
      <c r="Z6" s="677"/>
      <c r="AA6" s="677"/>
      <c r="AB6" s="677"/>
      <c r="AC6" s="677"/>
      <c r="AD6" s="677"/>
      <c r="AE6" s="677"/>
      <c r="AF6" s="677"/>
      <c r="AG6" s="677"/>
      <c r="AH6" s="677"/>
      <c r="AI6" s="677"/>
      <c r="AJ6" s="677"/>
      <c r="AK6" s="677"/>
      <c r="AL6" s="677"/>
      <c r="AM6" s="677"/>
      <c r="AN6" s="677"/>
      <c r="AO6" s="701"/>
      <c r="AQ6" s="261" t="s">
        <v>737</v>
      </c>
      <c r="AR6" s="205" t="s">
        <v>583</v>
      </c>
      <c r="AS6" s="205" t="s">
        <v>586</v>
      </c>
      <c r="AT6" s="143"/>
      <c r="AU6" s="143"/>
      <c r="AV6" s="143"/>
      <c r="AW6" s="143"/>
      <c r="AX6" s="143"/>
      <c r="AY6" s="143"/>
      <c r="AZ6" s="143"/>
      <c r="BA6" s="143"/>
      <c r="BB6" s="143"/>
      <c r="BC6" s="143"/>
      <c r="BD6" s="143"/>
      <c r="BE6" s="143"/>
      <c r="BF6" s="143"/>
      <c r="BG6" s="143"/>
      <c r="BH6" s="143"/>
    </row>
    <row r="7" spans="2:69" ht="12.75" customHeight="1" x14ac:dyDescent="0.2">
      <c r="B7" s="704"/>
      <c r="C7" s="696"/>
      <c r="D7" s="696"/>
      <c r="E7" s="696"/>
      <c r="F7" s="704" t="s">
        <v>736</v>
      </c>
      <c r="G7" s="696"/>
      <c r="H7" s="677"/>
      <c r="I7" s="677"/>
      <c r="J7" s="677"/>
      <c r="K7" s="677"/>
      <c r="L7" s="677"/>
      <c r="M7" s="677"/>
      <c r="N7" s="677"/>
      <c r="O7" s="677"/>
      <c r="P7" s="677"/>
      <c r="Q7" s="677"/>
      <c r="R7" s="677"/>
      <c r="S7" s="677"/>
      <c r="T7" s="677"/>
      <c r="U7" s="677"/>
      <c r="V7" s="677"/>
      <c r="W7" s="701"/>
      <c r="X7" s="704" t="s">
        <v>735</v>
      </c>
      <c r="Y7" s="696"/>
      <c r="Z7" s="677"/>
      <c r="AA7" s="677"/>
      <c r="AB7" s="677"/>
      <c r="AC7" s="677"/>
      <c r="AD7" s="677"/>
      <c r="AE7" s="677"/>
      <c r="AF7" s="677"/>
      <c r="AG7" s="677"/>
      <c r="AH7" s="677"/>
      <c r="AI7" s="677"/>
      <c r="AJ7" s="677"/>
      <c r="AK7" s="677"/>
      <c r="AL7" s="677"/>
      <c r="AM7" s="677"/>
      <c r="AN7" s="677"/>
      <c r="AO7" s="701"/>
      <c r="AQ7" s="261" t="s">
        <v>734</v>
      </c>
      <c r="AR7" s="143">
        <v>16</v>
      </c>
      <c r="AS7" s="143">
        <v>40</v>
      </c>
      <c r="AT7" s="143">
        <v>100</v>
      </c>
      <c r="AU7" s="143">
        <v>150</v>
      </c>
      <c r="AV7" s="143">
        <v>300</v>
      </c>
      <c r="AW7" s="143">
        <v>600</v>
      </c>
      <c r="AX7" s="143">
        <v>900</v>
      </c>
      <c r="AY7" s="143">
        <v>1500</v>
      </c>
      <c r="AZ7" s="143"/>
      <c r="BA7" s="143"/>
      <c r="BB7" s="143"/>
      <c r="BC7" s="143"/>
      <c r="BD7" s="143"/>
      <c r="BE7" s="143"/>
      <c r="BF7" s="143"/>
      <c r="BG7" s="143"/>
      <c r="BH7" s="143"/>
    </row>
    <row r="8" spans="2:69" ht="12.75" customHeight="1" x14ac:dyDescent="0.2">
      <c r="B8" s="704"/>
      <c r="C8" s="696"/>
      <c r="D8" s="696"/>
      <c r="E8" s="696"/>
      <c r="F8" s="704" t="s">
        <v>733</v>
      </c>
      <c r="G8" s="696"/>
      <c r="H8" s="696"/>
      <c r="I8" s="696"/>
      <c r="J8" s="677"/>
      <c r="K8" s="677"/>
      <c r="L8" s="677"/>
      <c r="M8" s="677"/>
      <c r="N8" s="677"/>
      <c r="O8" s="677"/>
      <c r="P8" s="677"/>
      <c r="Q8" s="677"/>
      <c r="R8" s="677"/>
      <c r="S8" s="677"/>
      <c r="T8" s="677"/>
      <c r="U8" s="677"/>
      <c r="V8" s="677"/>
      <c r="W8" s="701"/>
      <c r="X8" s="704" t="s">
        <v>732</v>
      </c>
      <c r="Y8" s="696"/>
      <c r="Z8" s="696"/>
      <c r="AA8" s="677"/>
      <c r="AB8" s="677"/>
      <c r="AC8" s="677"/>
      <c r="AD8" s="677"/>
      <c r="AE8" s="677"/>
      <c r="AF8" s="677"/>
      <c r="AG8" s="677"/>
      <c r="AH8" s="677"/>
      <c r="AI8" s="677"/>
      <c r="AJ8" s="677"/>
      <c r="AK8" s="677"/>
      <c r="AL8" s="677"/>
      <c r="AM8" s="677"/>
      <c r="AN8" s="677"/>
      <c r="AO8" s="701"/>
      <c r="AQ8" s="261" t="s">
        <v>731</v>
      </c>
      <c r="AR8" s="143">
        <v>20</v>
      </c>
      <c r="AS8" s="143">
        <v>52</v>
      </c>
      <c r="AT8" s="143">
        <v>105</v>
      </c>
      <c r="AU8" s="143">
        <v>157</v>
      </c>
      <c r="AV8" s="143">
        <v>262</v>
      </c>
      <c r="AW8" s="143">
        <v>440</v>
      </c>
      <c r="AX8" s="205"/>
      <c r="AY8" s="143"/>
      <c r="AZ8" s="143"/>
      <c r="BA8" s="143"/>
      <c r="BB8" s="143"/>
      <c r="BC8" s="143"/>
      <c r="BD8" s="143"/>
      <c r="BE8" s="143"/>
      <c r="BF8" s="143"/>
      <c r="BG8" s="143"/>
      <c r="BH8" s="143"/>
    </row>
    <row r="9" spans="2:69" ht="12.75" customHeight="1" x14ac:dyDescent="0.2">
      <c r="B9" s="831"/>
      <c r="C9" s="828"/>
      <c r="D9" s="828"/>
      <c r="E9" s="828"/>
      <c r="F9" s="784" t="s">
        <v>730</v>
      </c>
      <c r="G9" s="828"/>
      <c r="H9" s="828"/>
      <c r="I9" s="828"/>
      <c r="J9" s="680"/>
      <c r="K9" s="680"/>
      <c r="L9" s="680"/>
      <c r="M9" s="680"/>
      <c r="N9" s="680"/>
      <c r="O9" s="680"/>
      <c r="P9" s="680"/>
      <c r="Q9" s="680"/>
      <c r="R9" s="680"/>
      <c r="S9" s="680"/>
      <c r="T9" s="680"/>
      <c r="U9" s="680"/>
      <c r="V9" s="680"/>
      <c r="W9" s="681"/>
      <c r="X9" s="831"/>
      <c r="Y9" s="828"/>
      <c r="Z9" s="828"/>
      <c r="AA9" s="828"/>
      <c r="AB9" s="828"/>
      <c r="AC9" s="828"/>
      <c r="AD9" s="696"/>
      <c r="AE9" s="696"/>
      <c r="AF9" s="696"/>
      <c r="AG9" s="696"/>
      <c r="AH9" s="828"/>
      <c r="AI9" s="828"/>
      <c r="AJ9" s="828"/>
      <c r="AK9" s="828"/>
      <c r="AL9" s="828"/>
      <c r="AM9" s="828"/>
      <c r="AN9" s="828"/>
      <c r="AO9" s="832"/>
      <c r="AQ9" s="261" t="s">
        <v>704</v>
      </c>
      <c r="AR9" s="205" t="s">
        <v>569</v>
      </c>
      <c r="AS9" s="205" t="s">
        <v>699</v>
      </c>
      <c r="AT9" s="205"/>
      <c r="AU9" s="205"/>
      <c r="AV9" s="143"/>
      <c r="AW9" s="143"/>
      <c r="AX9" s="143"/>
      <c r="AY9" s="143"/>
      <c r="AZ9" s="143"/>
      <c r="BA9" s="143"/>
      <c r="BB9" s="143"/>
      <c r="BC9" s="143"/>
      <c r="BD9" s="143"/>
      <c r="BE9" s="143"/>
      <c r="BF9" s="143"/>
      <c r="BG9" s="143"/>
      <c r="BH9" s="143"/>
    </row>
    <row r="10" spans="2:69" ht="12.75" customHeight="1" x14ac:dyDescent="0.2">
      <c r="B10" s="223">
        <v>1</v>
      </c>
      <c r="C10" s="712" t="s">
        <v>703</v>
      </c>
      <c r="D10" s="713"/>
      <c r="E10" s="787" t="s">
        <v>876</v>
      </c>
      <c r="F10" s="759"/>
      <c r="G10" s="759"/>
      <c r="H10" s="759"/>
      <c r="I10" s="759"/>
      <c r="J10" s="759"/>
      <c r="K10" s="759"/>
      <c r="L10" s="829" t="s">
        <v>1029</v>
      </c>
      <c r="M10" s="805"/>
      <c r="N10" s="805"/>
      <c r="O10" s="805"/>
      <c r="P10" s="805"/>
      <c r="Q10" s="833" t="s">
        <v>702</v>
      </c>
      <c r="R10" s="686"/>
      <c r="S10" s="686"/>
      <c r="T10" s="827" t="s">
        <v>753</v>
      </c>
      <c r="U10" s="808"/>
      <c r="V10" s="808"/>
      <c r="W10" s="808"/>
      <c r="X10" s="808"/>
      <c r="Y10" s="808"/>
      <c r="Z10" s="808"/>
      <c r="AA10" s="826" t="s">
        <v>965</v>
      </c>
      <c r="AB10" s="823"/>
      <c r="AC10" s="823"/>
      <c r="AD10" s="815">
        <f>VLOOKUP($E$10,'FLUID Data'!H3:AH39,5,FALSE)</f>
        <v>113.47</v>
      </c>
      <c r="AE10" s="815"/>
      <c r="AF10" s="815"/>
      <c r="AG10" s="805" t="s">
        <v>1029</v>
      </c>
      <c r="AH10" s="805"/>
      <c r="AI10" s="805"/>
      <c r="AJ10" s="376"/>
      <c r="AK10" s="376"/>
      <c r="AL10" s="376"/>
      <c r="AM10" s="376"/>
      <c r="AN10" s="376"/>
      <c r="AO10" s="376"/>
      <c r="AQ10" s="261" t="s">
        <v>701</v>
      </c>
      <c r="AR10" s="205" t="s">
        <v>700</v>
      </c>
      <c r="AS10" s="205" t="s">
        <v>567</v>
      </c>
      <c r="AT10" s="205" t="s">
        <v>699</v>
      </c>
      <c r="AU10" s="205" t="s">
        <v>698</v>
      </c>
      <c r="AV10" s="143"/>
      <c r="AW10" s="143"/>
      <c r="AX10" s="143"/>
      <c r="AY10" s="143"/>
      <c r="AZ10" s="143"/>
      <c r="BA10" s="143"/>
      <c r="BB10" s="143"/>
      <c r="BC10" s="143"/>
      <c r="BD10" s="143"/>
      <c r="BE10" s="143"/>
      <c r="BF10" s="143"/>
      <c r="BG10" s="143"/>
      <c r="BH10" s="143"/>
    </row>
    <row r="11" spans="2:69" ht="12.75" customHeight="1" x14ac:dyDescent="0.2">
      <c r="B11" s="223"/>
      <c r="C11" s="760" t="s">
        <v>697</v>
      </c>
      <c r="D11" s="684" t="s">
        <v>696</v>
      </c>
      <c r="E11" s="685"/>
      <c r="F11" s="685"/>
      <c r="G11" s="685"/>
      <c r="H11" s="685"/>
      <c r="I11" s="685"/>
      <c r="J11" s="685"/>
      <c r="K11" s="830"/>
      <c r="L11" s="688" t="s">
        <v>695</v>
      </c>
      <c r="M11" s="688"/>
      <c r="N11" s="688"/>
      <c r="O11" s="688"/>
      <c r="P11" s="688"/>
      <c r="Q11" s="688"/>
      <c r="R11" s="688" t="s">
        <v>694</v>
      </c>
      <c r="S11" s="688"/>
      <c r="T11" s="688"/>
      <c r="U11" s="688"/>
      <c r="V11" s="688"/>
      <c r="W11" s="688"/>
      <c r="X11" s="688" t="s">
        <v>693</v>
      </c>
      <c r="Y11" s="688"/>
      <c r="Z11" s="688"/>
      <c r="AA11" s="688"/>
      <c r="AB11" s="688"/>
      <c r="AC11" s="688"/>
      <c r="AD11" s="825" t="s">
        <v>692</v>
      </c>
      <c r="AE11" s="825"/>
      <c r="AF11" s="825"/>
      <c r="AG11" s="825"/>
      <c r="AH11" s="688"/>
      <c r="AI11" s="826"/>
      <c r="AJ11" s="687" t="s">
        <v>691</v>
      </c>
      <c r="AK11" s="688"/>
      <c r="AL11" s="688"/>
      <c r="AM11" s="688"/>
      <c r="AN11" s="688"/>
      <c r="AO11" s="688"/>
      <c r="AQ11" s="261" t="s">
        <v>690</v>
      </c>
      <c r="AR11" s="205" t="s">
        <v>557</v>
      </c>
      <c r="AS11" s="205" t="s">
        <v>689</v>
      </c>
      <c r="AT11" s="205" t="s">
        <v>688</v>
      </c>
      <c r="AU11" s="143"/>
      <c r="AV11" s="143"/>
      <c r="AW11" s="143"/>
      <c r="AX11" s="143"/>
      <c r="AY11" s="143"/>
      <c r="AZ11" s="143"/>
      <c r="BA11" s="143"/>
      <c r="BB11" s="143"/>
      <c r="BC11" s="143"/>
      <c r="BD11" s="143"/>
      <c r="BE11" s="143"/>
      <c r="BF11" s="143"/>
      <c r="BG11" s="143"/>
      <c r="BH11" s="143"/>
    </row>
    <row r="12" spans="2:69" ht="12.75" customHeight="1" x14ac:dyDescent="0.2">
      <c r="B12" s="223">
        <v>2</v>
      </c>
      <c r="C12" s="761"/>
      <c r="D12" s="831"/>
      <c r="E12" s="828"/>
      <c r="F12" s="828"/>
      <c r="G12" s="828"/>
      <c r="H12" s="828"/>
      <c r="I12" s="828"/>
      <c r="J12" s="828"/>
      <c r="K12" s="832"/>
      <c r="L12" s="834" t="s">
        <v>654</v>
      </c>
      <c r="M12" s="834"/>
      <c r="N12" s="834"/>
      <c r="O12" s="834"/>
      <c r="P12" s="834"/>
      <c r="Q12" s="834"/>
      <c r="R12" s="759">
        <v>700</v>
      </c>
      <c r="S12" s="759"/>
      <c r="T12" s="759"/>
      <c r="U12" s="759"/>
      <c r="V12" s="759"/>
      <c r="W12" s="759"/>
      <c r="X12" s="759">
        <v>50</v>
      </c>
      <c r="Y12" s="759"/>
      <c r="Z12" s="759"/>
      <c r="AA12" s="759"/>
      <c r="AB12" s="759"/>
      <c r="AC12" s="759"/>
      <c r="AD12" s="759">
        <v>10</v>
      </c>
      <c r="AE12" s="759"/>
      <c r="AF12" s="759"/>
      <c r="AG12" s="759"/>
      <c r="AH12" s="759"/>
      <c r="AI12" s="807"/>
      <c r="AJ12" s="824">
        <v>0</v>
      </c>
      <c r="AK12" s="759"/>
      <c r="AL12" s="759"/>
      <c r="AM12" s="759"/>
      <c r="AN12" s="759"/>
      <c r="AO12" s="759"/>
      <c r="AQ12" s="261" t="s">
        <v>687</v>
      </c>
      <c r="AR12" s="205" t="s">
        <v>571</v>
      </c>
      <c r="AS12" s="205" t="s">
        <v>686</v>
      </c>
      <c r="AT12" s="205" t="s">
        <v>685</v>
      </c>
      <c r="AU12" s="205" t="s">
        <v>684</v>
      </c>
      <c r="AV12" s="143"/>
      <c r="AW12" s="143"/>
      <c r="AX12" s="143"/>
      <c r="AY12" s="143"/>
      <c r="AZ12" s="143"/>
      <c r="BA12" s="143"/>
      <c r="BB12" s="143"/>
      <c r="BC12" s="143"/>
      <c r="BD12" s="143"/>
      <c r="BE12" s="143"/>
      <c r="BF12" s="143"/>
      <c r="BG12" s="143"/>
      <c r="BH12" s="143"/>
    </row>
    <row r="13" spans="2:69" ht="12.75" customHeight="1" x14ac:dyDescent="0.2">
      <c r="B13" s="377" t="s">
        <v>843</v>
      </c>
      <c r="C13" s="761"/>
      <c r="D13" s="800" t="s">
        <v>844</v>
      </c>
      <c r="E13" s="801"/>
      <c r="F13" s="801"/>
      <c r="G13" s="801"/>
      <c r="H13" s="801"/>
      <c r="I13" s="801"/>
      <c r="J13" s="801"/>
      <c r="K13" s="802"/>
      <c r="L13" s="838" t="s">
        <v>655</v>
      </c>
      <c r="M13" s="839"/>
      <c r="N13" s="839"/>
      <c r="O13" s="839"/>
      <c r="P13" s="839"/>
      <c r="Q13" s="840"/>
      <c r="R13" s="804">
        <v>0</v>
      </c>
      <c r="S13" s="805"/>
      <c r="T13" s="805"/>
      <c r="U13" s="805"/>
      <c r="V13" s="805"/>
      <c r="W13" s="806"/>
      <c r="X13" s="804">
        <v>0</v>
      </c>
      <c r="Y13" s="805"/>
      <c r="Z13" s="805"/>
      <c r="AA13" s="805"/>
      <c r="AB13" s="805"/>
      <c r="AC13" s="806"/>
      <c r="AD13" s="804">
        <v>0</v>
      </c>
      <c r="AE13" s="805"/>
      <c r="AF13" s="805"/>
      <c r="AG13" s="805"/>
      <c r="AH13" s="805"/>
      <c r="AI13" s="805"/>
      <c r="AJ13" s="822" t="s">
        <v>706</v>
      </c>
      <c r="AK13" s="823"/>
      <c r="AL13" s="823"/>
      <c r="AM13" s="801" t="s">
        <v>1029</v>
      </c>
      <c r="AN13" s="801"/>
      <c r="AO13" s="802"/>
      <c r="AQ13" s="261" t="s">
        <v>1000</v>
      </c>
      <c r="AR13" s="205" t="s">
        <v>1001</v>
      </c>
      <c r="AS13" s="205" t="s">
        <v>1002</v>
      </c>
      <c r="AT13" s="205"/>
      <c r="AU13" s="205"/>
      <c r="AV13" s="143"/>
      <c r="AW13" s="143"/>
      <c r="AX13" s="143"/>
      <c r="AY13" s="143"/>
      <c r="AZ13" s="143"/>
      <c r="BA13" s="143"/>
      <c r="BB13" s="143"/>
      <c r="BC13" s="143"/>
      <c r="BD13" s="143"/>
      <c r="BE13" s="143"/>
      <c r="BF13" s="143"/>
      <c r="BG13" s="143"/>
      <c r="BH13" s="143"/>
    </row>
    <row r="14" spans="2:69" ht="12.75" customHeight="1" x14ac:dyDescent="0.2">
      <c r="B14" s="223">
        <v>3</v>
      </c>
      <c r="C14" s="761"/>
      <c r="D14" s="803" t="s">
        <v>683</v>
      </c>
      <c r="E14" s="803"/>
      <c r="F14" s="803"/>
      <c r="G14" s="803"/>
      <c r="H14" s="803"/>
      <c r="I14" s="803"/>
      <c r="J14" s="803"/>
      <c r="K14" s="803"/>
      <c r="L14" s="807" t="s">
        <v>639</v>
      </c>
      <c r="M14" s="808"/>
      <c r="N14" s="808"/>
      <c r="O14" s="808"/>
      <c r="P14" s="808" t="s">
        <v>632</v>
      </c>
      <c r="Q14" s="837"/>
      <c r="R14" s="759">
        <v>20</v>
      </c>
      <c r="S14" s="759"/>
      <c r="T14" s="759"/>
      <c r="U14" s="759"/>
      <c r="V14" s="759"/>
      <c r="W14" s="759"/>
      <c r="X14" s="759">
        <v>15</v>
      </c>
      <c r="Y14" s="759"/>
      <c r="Z14" s="759"/>
      <c r="AA14" s="759"/>
      <c r="AB14" s="759"/>
      <c r="AC14" s="759"/>
      <c r="AD14" s="759">
        <v>20</v>
      </c>
      <c r="AE14" s="759"/>
      <c r="AF14" s="759"/>
      <c r="AG14" s="759"/>
      <c r="AH14" s="759"/>
      <c r="AI14" s="807"/>
      <c r="AJ14" s="821"/>
      <c r="AK14" s="773"/>
      <c r="AL14" s="773"/>
      <c r="AM14" s="773"/>
      <c r="AN14" s="773"/>
      <c r="AO14" s="773"/>
      <c r="AQ14" s="261" t="s">
        <v>682</v>
      </c>
      <c r="AR14" s="205" t="s">
        <v>537</v>
      </c>
      <c r="AS14" s="205" t="s">
        <v>681</v>
      </c>
      <c r="AT14" s="205" t="s">
        <v>680</v>
      </c>
      <c r="AU14" s="205" t="s">
        <v>679</v>
      </c>
      <c r="AV14" s="205" t="s">
        <v>678</v>
      </c>
      <c r="AW14" s="143" t="s">
        <v>677</v>
      </c>
      <c r="AX14" s="143" t="s">
        <v>676</v>
      </c>
      <c r="AY14" s="143"/>
      <c r="AZ14" s="143"/>
      <c r="BA14" s="143"/>
      <c r="BB14" s="143"/>
      <c r="BC14" s="143"/>
      <c r="BD14" s="143"/>
      <c r="BE14" s="143"/>
      <c r="BF14" s="143"/>
      <c r="BG14" s="143"/>
      <c r="BH14" s="143"/>
    </row>
    <row r="15" spans="2:69" ht="12.75" customHeight="1" x14ac:dyDescent="0.2">
      <c r="B15" s="223">
        <v>4</v>
      </c>
      <c r="C15" s="761"/>
      <c r="D15" s="803" t="s">
        <v>675</v>
      </c>
      <c r="E15" s="803"/>
      <c r="F15" s="803"/>
      <c r="G15" s="803"/>
      <c r="H15" s="803"/>
      <c r="I15" s="803"/>
      <c r="J15" s="803"/>
      <c r="K15" s="803"/>
      <c r="L15" s="804" t="str">
        <f>L14</f>
        <v>Bar</v>
      </c>
      <c r="M15" s="805"/>
      <c r="N15" s="805"/>
      <c r="O15" s="805"/>
      <c r="P15" s="805" t="str">
        <f>P14</f>
        <v>(a)</v>
      </c>
      <c r="Q15" s="806"/>
      <c r="R15" s="759">
        <v>19</v>
      </c>
      <c r="S15" s="759"/>
      <c r="T15" s="759"/>
      <c r="U15" s="759"/>
      <c r="V15" s="759"/>
      <c r="W15" s="759"/>
      <c r="X15" s="759">
        <v>12</v>
      </c>
      <c r="Y15" s="759"/>
      <c r="Z15" s="759"/>
      <c r="AA15" s="759"/>
      <c r="AB15" s="759"/>
      <c r="AC15" s="759"/>
      <c r="AD15" s="759">
        <v>12</v>
      </c>
      <c r="AE15" s="759"/>
      <c r="AF15" s="759"/>
      <c r="AG15" s="759"/>
      <c r="AH15" s="759"/>
      <c r="AI15" s="807"/>
      <c r="AJ15" s="821"/>
      <c r="AK15" s="773"/>
      <c r="AL15" s="773"/>
      <c r="AM15" s="773"/>
      <c r="AN15" s="773"/>
      <c r="AO15" s="773"/>
      <c r="AQ15" s="261" t="s">
        <v>674</v>
      </c>
      <c r="AR15" s="143">
        <v>12</v>
      </c>
      <c r="AS15" s="143">
        <v>16</v>
      </c>
      <c r="AT15" s="143">
        <v>20</v>
      </c>
      <c r="AU15" s="143"/>
      <c r="AV15" s="143"/>
      <c r="AW15" s="143"/>
      <c r="AX15" s="143"/>
      <c r="AY15" s="143"/>
      <c r="AZ15" s="143"/>
      <c r="BA15" s="143"/>
      <c r="BB15" s="143"/>
      <c r="BC15" s="143"/>
      <c r="BD15" s="143"/>
      <c r="BE15" s="143"/>
      <c r="BF15" s="143"/>
      <c r="BG15" s="143"/>
      <c r="BH15" s="143"/>
    </row>
    <row r="16" spans="2:69" ht="12.75" customHeight="1" x14ac:dyDescent="0.2">
      <c r="B16" s="223">
        <v>5</v>
      </c>
      <c r="C16" s="761"/>
      <c r="D16" s="792" t="s">
        <v>673</v>
      </c>
      <c r="E16" s="792"/>
      <c r="F16" s="792"/>
      <c r="G16" s="792"/>
      <c r="H16" s="792"/>
      <c r="I16" s="792"/>
      <c r="J16" s="792"/>
      <c r="K16" s="792"/>
      <c r="L16" s="759" t="s">
        <v>1197</v>
      </c>
      <c r="M16" s="759"/>
      <c r="N16" s="759"/>
      <c r="O16" s="759"/>
      <c r="P16" s="759"/>
      <c r="Q16" s="759"/>
      <c r="R16" s="759">
        <v>34</v>
      </c>
      <c r="S16" s="759"/>
      <c r="T16" s="759"/>
      <c r="U16" s="759"/>
      <c r="V16" s="759"/>
      <c r="W16" s="759"/>
      <c r="X16" s="759">
        <v>35</v>
      </c>
      <c r="Y16" s="759"/>
      <c r="Z16" s="759"/>
      <c r="AA16" s="759"/>
      <c r="AB16" s="759"/>
      <c r="AC16" s="759"/>
      <c r="AD16" s="759">
        <v>35</v>
      </c>
      <c r="AE16" s="759"/>
      <c r="AF16" s="759"/>
      <c r="AG16" s="759"/>
      <c r="AH16" s="759"/>
      <c r="AI16" s="807"/>
      <c r="AJ16" s="689"/>
      <c r="AK16" s="686"/>
      <c r="AL16" s="686"/>
      <c r="AM16" s="686"/>
      <c r="AN16" s="686"/>
      <c r="AO16" s="686"/>
      <c r="AQ16" s="261" t="s">
        <v>672</v>
      </c>
      <c r="AR16" s="205" t="s">
        <v>583</v>
      </c>
      <c r="AS16" s="205" t="s">
        <v>586</v>
      </c>
      <c r="AT16" s="205" t="s">
        <v>671</v>
      </c>
      <c r="AU16" s="205" t="s">
        <v>670</v>
      </c>
      <c r="AV16" s="205"/>
      <c r="AW16" s="205"/>
      <c r="AX16" s="205"/>
      <c r="AY16" s="205"/>
      <c r="AZ16" s="205"/>
      <c r="BA16" s="205"/>
      <c r="BB16" s="205"/>
      <c r="BC16" s="205"/>
      <c r="BD16" s="205"/>
      <c r="BE16" s="205"/>
      <c r="BF16" s="143"/>
      <c r="BG16" s="143"/>
      <c r="BH16" s="143"/>
    </row>
    <row r="17" spans="2:83" ht="12.75" customHeight="1" x14ac:dyDescent="0.2">
      <c r="B17" s="377" t="s">
        <v>767</v>
      </c>
      <c r="C17" s="761"/>
      <c r="D17" s="803" t="s">
        <v>766</v>
      </c>
      <c r="E17" s="803"/>
      <c r="F17" s="803"/>
      <c r="G17" s="803"/>
      <c r="H17" s="803"/>
      <c r="I17" s="803"/>
      <c r="J17" s="803"/>
      <c r="K17" s="803"/>
      <c r="L17" s="759" t="s">
        <v>1197</v>
      </c>
      <c r="M17" s="759"/>
      <c r="N17" s="759"/>
      <c r="O17" s="759"/>
      <c r="P17" s="759"/>
      <c r="Q17" s="759"/>
      <c r="R17" s="819" t="str">
        <f>IF($T$10=$AS$2,SteamProperties!$C$34,"-")</f>
        <v>-</v>
      </c>
      <c r="S17" s="819"/>
      <c r="T17" s="819"/>
      <c r="U17" s="819"/>
      <c r="V17" s="819"/>
      <c r="W17" s="819"/>
      <c r="X17" s="819" t="str">
        <f>IF($T$10=$AS$2,SteamProperties!$G$34,"-")</f>
        <v>-</v>
      </c>
      <c r="Y17" s="819"/>
      <c r="Z17" s="819"/>
      <c r="AA17" s="819"/>
      <c r="AB17" s="819"/>
      <c r="AC17" s="819"/>
      <c r="AD17" s="819" t="str">
        <f>IF($T$10=$AS$2,SteamProperties!$K$34,"-")</f>
        <v>-</v>
      </c>
      <c r="AE17" s="819"/>
      <c r="AF17" s="819"/>
      <c r="AG17" s="819"/>
      <c r="AH17" s="819"/>
      <c r="AI17" s="820"/>
      <c r="AJ17" s="818"/>
      <c r="AK17" s="805"/>
      <c r="AL17" s="805"/>
      <c r="AM17" s="805"/>
      <c r="AN17" s="805"/>
      <c r="AO17" s="806"/>
      <c r="AQ17" s="261" t="s">
        <v>1401</v>
      </c>
      <c r="AR17" s="205" t="s">
        <v>1402</v>
      </c>
      <c r="AS17" s="205" t="s">
        <v>1403</v>
      </c>
      <c r="AT17" s="205" t="s">
        <v>1404</v>
      </c>
      <c r="AU17" s="205" t="s">
        <v>1405</v>
      </c>
      <c r="AV17" s="205" t="s">
        <v>1406</v>
      </c>
      <c r="AW17" s="205" t="s">
        <v>1407</v>
      </c>
      <c r="AX17" s="205"/>
      <c r="AY17" s="205"/>
      <c r="AZ17" s="205"/>
      <c r="BA17" s="205"/>
      <c r="BB17" s="205"/>
      <c r="BC17" s="205"/>
      <c r="BD17" s="205"/>
      <c r="BE17" s="205"/>
      <c r="BF17" s="143"/>
      <c r="BG17" s="143"/>
      <c r="BH17" s="143"/>
    </row>
    <row r="18" spans="2:83" ht="12.75" customHeight="1" x14ac:dyDescent="0.2">
      <c r="B18" s="223">
        <v>6</v>
      </c>
      <c r="C18" s="761"/>
      <c r="D18" s="712" t="s">
        <v>831</v>
      </c>
      <c r="E18" s="713"/>
      <c r="F18" s="713"/>
      <c r="G18" s="713"/>
      <c r="H18" s="713"/>
      <c r="I18" s="713"/>
      <c r="J18" s="713"/>
      <c r="K18" s="714"/>
      <c r="L18" s="795" t="s">
        <v>833</v>
      </c>
      <c r="M18" s="796"/>
      <c r="N18" s="797"/>
      <c r="O18" s="686" t="s">
        <v>832</v>
      </c>
      <c r="P18" s="686"/>
      <c r="Q18" s="686"/>
      <c r="R18" s="841">
        <f>IF(T10="Liquid",VLOOKUP(E10,'FLUID Data'!H3:AH37,12,FALSE),SELECTION!X18)</f>
        <v>17.03</v>
      </c>
      <c r="S18" s="842"/>
      <c r="T18" s="842"/>
      <c r="U18" s="805">
        <f>'Property Examples'!F62*16.08</f>
        <v>13.153986719999999</v>
      </c>
      <c r="V18" s="805"/>
      <c r="W18" s="805"/>
      <c r="X18" s="815">
        <f>VLOOKUP($E$10,'FLUID Data'!H3:AH39,7,FALSE)</f>
        <v>17.03</v>
      </c>
      <c r="Y18" s="815"/>
      <c r="Z18" s="815"/>
      <c r="AA18" s="805" t="s">
        <v>1029</v>
      </c>
      <c r="AB18" s="805"/>
      <c r="AC18" s="805"/>
      <c r="AD18" s="795" t="s">
        <v>705</v>
      </c>
      <c r="AE18" s="796"/>
      <c r="AF18" s="796"/>
      <c r="AG18" s="796"/>
      <c r="AH18" s="796"/>
      <c r="AI18" s="816"/>
      <c r="AJ18" s="817" t="s">
        <v>1029</v>
      </c>
      <c r="AK18" s="786"/>
      <c r="AL18" s="786"/>
      <c r="AM18" s="786"/>
      <c r="AN18" s="786"/>
      <c r="AO18" s="786"/>
      <c r="AQ18" s="261" t="s">
        <v>669</v>
      </c>
      <c r="AR18" s="143">
        <v>127</v>
      </c>
      <c r="AS18" s="143">
        <v>252</v>
      </c>
      <c r="AT18" s="143">
        <v>502</v>
      </c>
      <c r="AU18" s="143">
        <v>700</v>
      </c>
      <c r="AV18" s="143">
        <v>1502</v>
      </c>
      <c r="AW18" s="143">
        <v>3002</v>
      </c>
      <c r="AX18" s="143"/>
      <c r="AY18" s="143"/>
      <c r="AZ18" s="143"/>
      <c r="BA18" s="143"/>
      <c r="BB18" s="143"/>
      <c r="BC18" s="143"/>
      <c r="BD18" s="143"/>
      <c r="BE18" s="143"/>
      <c r="BF18" s="143"/>
      <c r="BG18" s="143"/>
      <c r="BH18" s="143"/>
    </row>
    <row r="19" spans="2:83" ht="12.75" customHeight="1" x14ac:dyDescent="0.2">
      <c r="B19" s="223">
        <v>7</v>
      </c>
      <c r="C19" s="761"/>
      <c r="D19" s="712" t="s">
        <v>668</v>
      </c>
      <c r="E19" s="713"/>
      <c r="F19" s="713"/>
      <c r="G19" s="713"/>
      <c r="H19" s="713"/>
      <c r="I19" s="713"/>
      <c r="J19" s="713"/>
      <c r="K19" s="714"/>
      <c r="L19" s="686" t="s">
        <v>619</v>
      </c>
      <c r="M19" s="686"/>
      <c r="N19" s="686"/>
      <c r="O19" s="686"/>
      <c r="P19" s="686"/>
      <c r="Q19" s="686"/>
      <c r="R19" s="795">
        <v>1.36</v>
      </c>
      <c r="S19" s="796"/>
      <c r="T19" s="796"/>
      <c r="U19" s="796"/>
      <c r="V19" s="796"/>
      <c r="W19" s="796"/>
      <c r="X19" s="815">
        <f>VLOOKUP($E$10,'FLUID Data'!H3:AH39,9,FALSE)</f>
        <v>1.3169999999999999</v>
      </c>
      <c r="Y19" s="815"/>
      <c r="Z19" s="815"/>
      <c r="AA19" s="805" t="s">
        <v>1029</v>
      </c>
      <c r="AB19" s="805"/>
      <c r="AC19" s="805"/>
      <c r="AD19" s="686"/>
      <c r="AE19" s="686"/>
      <c r="AF19" s="686"/>
      <c r="AG19" s="686"/>
      <c r="AH19" s="686"/>
      <c r="AI19" s="795"/>
      <c r="AJ19" s="687"/>
      <c r="AK19" s="688"/>
      <c r="AL19" s="688"/>
      <c r="AM19" s="688"/>
      <c r="AN19" s="688"/>
      <c r="AO19" s="688"/>
      <c r="AQ19" s="261" t="s">
        <v>667</v>
      </c>
      <c r="AR19" s="261" t="s">
        <v>666</v>
      </c>
      <c r="AS19" s="143">
        <v>0.2</v>
      </c>
      <c r="AT19" s="143">
        <v>0.4</v>
      </c>
      <c r="AU19" s="143">
        <v>0.5</v>
      </c>
      <c r="AV19" s="143">
        <v>0.75</v>
      </c>
      <c r="AW19" s="143">
        <v>0.8</v>
      </c>
      <c r="AX19" s="143">
        <v>0.9</v>
      </c>
      <c r="AY19" s="262">
        <v>1</v>
      </c>
      <c r="AZ19" s="143">
        <v>1.2</v>
      </c>
      <c r="BA19" s="143">
        <v>1.3</v>
      </c>
      <c r="BB19" s="143">
        <v>1.4</v>
      </c>
      <c r="BC19" s="143">
        <v>1.5</v>
      </c>
      <c r="BD19" s="143">
        <v>1.8</v>
      </c>
      <c r="BE19" s="262">
        <v>2</v>
      </c>
      <c r="BF19" s="143">
        <v>2.2999999999999998</v>
      </c>
      <c r="BG19" s="262">
        <v>2.6</v>
      </c>
      <c r="BH19" s="143">
        <v>2.7</v>
      </c>
      <c r="BI19" s="262">
        <v>3</v>
      </c>
      <c r="BJ19" s="261" t="s">
        <v>665</v>
      </c>
      <c r="BK19" s="262">
        <v>1</v>
      </c>
      <c r="BL19" s="143">
        <v>1.4</v>
      </c>
      <c r="BM19" s="262">
        <v>1.6</v>
      </c>
      <c r="BN19" s="143">
        <v>1.9</v>
      </c>
      <c r="BO19" s="262">
        <v>2</v>
      </c>
      <c r="BP19" s="143">
        <v>2.1</v>
      </c>
      <c r="BQ19" s="143">
        <v>2.4</v>
      </c>
      <c r="BR19" s="143">
        <v>2.6</v>
      </c>
      <c r="BS19" s="143">
        <v>2.7</v>
      </c>
      <c r="BT19" s="143">
        <v>3.4</v>
      </c>
      <c r="BU19" s="143">
        <v>3.5</v>
      </c>
      <c r="BV19" s="143">
        <v>3.8</v>
      </c>
      <c r="BW19" s="143">
        <v>4.0999999999999996</v>
      </c>
      <c r="BX19" s="143">
        <v>4.2</v>
      </c>
      <c r="BY19" s="143">
        <v>4.3</v>
      </c>
      <c r="BZ19" s="143">
        <v>4.8</v>
      </c>
    </row>
    <row r="20" spans="2:83" ht="12.75" customHeight="1" x14ac:dyDescent="0.2">
      <c r="B20" s="223">
        <v>8</v>
      </c>
      <c r="C20" s="761"/>
      <c r="D20" s="792" t="s">
        <v>664</v>
      </c>
      <c r="E20" s="792"/>
      <c r="F20" s="792"/>
      <c r="G20" s="792"/>
      <c r="H20" s="792"/>
      <c r="I20" s="792"/>
      <c r="J20" s="792"/>
      <c r="K20" s="792"/>
      <c r="L20" s="795" t="str">
        <f>L14</f>
        <v>Bar</v>
      </c>
      <c r="M20" s="796"/>
      <c r="N20" s="796"/>
      <c r="O20" s="796"/>
      <c r="P20" s="796" t="str">
        <f>P14</f>
        <v>(a)</v>
      </c>
      <c r="Q20" s="797"/>
      <c r="R20" s="814" t="e">
        <f>vapor!N6/750</f>
        <v>#N/A</v>
      </c>
      <c r="S20" s="814"/>
      <c r="T20" s="814"/>
      <c r="U20" s="814"/>
      <c r="V20" s="814"/>
      <c r="W20" s="814"/>
      <c r="X20" s="686"/>
      <c r="Y20" s="686"/>
      <c r="Z20" s="686"/>
      <c r="AA20" s="686"/>
      <c r="AB20" s="686"/>
      <c r="AC20" s="686"/>
      <c r="AD20" s="686"/>
      <c r="AE20" s="686"/>
      <c r="AF20" s="686"/>
      <c r="AG20" s="686"/>
      <c r="AH20" s="686"/>
      <c r="AI20" s="795"/>
      <c r="AJ20" s="687"/>
      <c r="AK20" s="688"/>
      <c r="AL20" s="688"/>
      <c r="AM20" s="688"/>
      <c r="AN20" s="688"/>
      <c r="AO20" s="688"/>
      <c r="AQ20" s="261" t="s">
        <v>663</v>
      </c>
      <c r="AR20" s="143">
        <v>10</v>
      </c>
      <c r="AS20" s="143">
        <v>20</v>
      </c>
      <c r="AT20" s="143">
        <v>40</v>
      </c>
      <c r="AU20" s="143">
        <v>60</v>
      </c>
      <c r="AV20" s="143">
        <v>80</v>
      </c>
      <c r="AX20" s="143"/>
      <c r="AY20" s="143"/>
      <c r="AZ20" s="143"/>
      <c r="BA20" s="143"/>
      <c r="BB20" s="143"/>
      <c r="BC20" s="143"/>
      <c r="BD20" s="143"/>
      <c r="BE20" s="143"/>
      <c r="BF20" s="143"/>
      <c r="BG20" s="143"/>
      <c r="BH20" s="143"/>
    </row>
    <row r="21" spans="2:83" ht="12.75" customHeight="1" thickBot="1" x14ac:dyDescent="0.25">
      <c r="B21" s="223">
        <v>9</v>
      </c>
      <c r="C21" s="761"/>
      <c r="D21" s="791" t="s">
        <v>662</v>
      </c>
      <c r="E21" s="792"/>
      <c r="F21" s="792"/>
      <c r="G21" s="792"/>
      <c r="H21" s="792"/>
      <c r="I21" s="792"/>
      <c r="J21" s="792"/>
      <c r="K21" s="792"/>
      <c r="L21" s="686" t="s">
        <v>614</v>
      </c>
      <c r="M21" s="686"/>
      <c r="N21" s="686"/>
      <c r="O21" s="686"/>
      <c r="P21" s="686"/>
      <c r="Q21" s="686"/>
      <c r="R21" s="799">
        <f>ValveSIZING!$F$162</f>
        <v>4.6934804114279931</v>
      </c>
      <c r="S21" s="799"/>
      <c r="T21" s="799"/>
      <c r="U21" s="799"/>
      <c r="V21" s="799"/>
      <c r="W21" s="799"/>
      <c r="X21" s="799">
        <f>ValveSIZING!$F$164</f>
        <v>0.24219253178313968</v>
      </c>
      <c r="Y21" s="799"/>
      <c r="Z21" s="799"/>
      <c r="AA21" s="799"/>
      <c r="AB21" s="799"/>
      <c r="AC21" s="799"/>
      <c r="AD21" s="772">
        <f>ValveSIZING!$F$166</f>
        <v>2.883659536414496E-2</v>
      </c>
      <c r="AE21" s="772"/>
      <c r="AF21" s="772"/>
      <c r="AG21" s="772"/>
      <c r="AH21" s="772"/>
      <c r="AI21" s="772"/>
      <c r="AJ21" s="687"/>
      <c r="AK21" s="688"/>
      <c r="AL21" s="688"/>
      <c r="AM21" s="688"/>
      <c r="AN21" s="688"/>
      <c r="AO21" s="688"/>
      <c r="AQ21" s="260" t="s">
        <v>661</v>
      </c>
      <c r="AR21" s="332" t="s">
        <v>660</v>
      </c>
      <c r="AS21" s="259" t="s">
        <v>967</v>
      </c>
      <c r="AT21" s="259" t="s">
        <v>969</v>
      </c>
      <c r="AU21" s="340" t="s">
        <v>1005</v>
      </c>
    </row>
    <row r="22" spans="2:83" ht="12.75" customHeight="1" thickBot="1" x14ac:dyDescent="0.25">
      <c r="B22" s="223">
        <v>10</v>
      </c>
      <c r="C22" s="761"/>
      <c r="D22" s="791" t="s">
        <v>610</v>
      </c>
      <c r="E22" s="792"/>
      <c r="F22" s="792"/>
      <c r="G22" s="792"/>
      <c r="H22" s="792"/>
      <c r="I22" s="792"/>
      <c r="J22" s="792"/>
      <c r="K22" s="792"/>
      <c r="L22" s="793" t="s">
        <v>1226</v>
      </c>
      <c r="M22" s="793"/>
      <c r="N22" s="793"/>
      <c r="O22" s="793"/>
      <c r="P22" s="793"/>
      <c r="Q22" s="793"/>
      <c r="R22" s="774"/>
      <c r="S22" s="774"/>
      <c r="T22" s="774"/>
      <c r="U22" s="774"/>
      <c r="V22" s="774"/>
      <c r="W22" s="774"/>
      <c r="X22" s="774"/>
      <c r="Y22" s="774"/>
      <c r="Z22" s="774"/>
      <c r="AA22" s="774"/>
      <c r="AB22" s="774"/>
      <c r="AC22" s="774"/>
      <c r="AD22" s="774"/>
      <c r="AE22" s="774"/>
      <c r="AF22" s="774"/>
      <c r="AG22" s="774"/>
      <c r="AH22" s="774"/>
      <c r="AI22" s="813"/>
      <c r="AJ22" s="687"/>
      <c r="AK22" s="688"/>
      <c r="AL22" s="688"/>
      <c r="AM22" s="688"/>
      <c r="AN22" s="688"/>
      <c r="AO22" s="688"/>
      <c r="AQ22" s="102">
        <v>300</v>
      </c>
      <c r="AR22" s="110" t="str">
        <f>T10</f>
        <v>Gas</v>
      </c>
      <c r="AS22" s="111">
        <f>R18</f>
        <v>17.03</v>
      </c>
      <c r="AT22" s="111" t="str">
        <f>L12</f>
        <v>m3/h</v>
      </c>
      <c r="AU22" s="334">
        <f>$R$49</f>
        <v>0.72</v>
      </c>
      <c r="AW22" s="258" t="s">
        <v>659</v>
      </c>
      <c r="AX22" s="258" t="s">
        <v>659</v>
      </c>
      <c r="AY22" s="257" t="s">
        <v>658</v>
      </c>
      <c r="BB22" s="690" t="s">
        <v>657</v>
      </c>
      <c r="BC22" s="691"/>
      <c r="BD22" s="691"/>
      <c r="BE22" s="691"/>
      <c r="BF22" s="691"/>
      <c r="BG22" s="691"/>
      <c r="BH22" s="691"/>
      <c r="BI22" s="691"/>
      <c r="BJ22" s="691"/>
      <c r="BK22" s="691"/>
      <c r="BL22" s="691"/>
      <c r="BM22" s="691"/>
      <c r="BN22" s="691"/>
      <c r="BO22" s="691"/>
      <c r="BP22" s="692"/>
      <c r="BS22" s="46" t="s">
        <v>656</v>
      </c>
      <c r="BT22" s="43" t="s">
        <v>655</v>
      </c>
      <c r="BU22" s="43" t="s">
        <v>654</v>
      </c>
      <c r="BV22" s="253" t="s">
        <v>653</v>
      </c>
      <c r="BW22" s="253" t="s">
        <v>652</v>
      </c>
      <c r="BX22" s="253" t="s">
        <v>651</v>
      </c>
      <c r="BY22" s="253" t="s">
        <v>650</v>
      </c>
      <c r="BZ22" s="253" t="s">
        <v>649</v>
      </c>
      <c r="CA22" s="253" t="s">
        <v>648</v>
      </c>
    </row>
    <row r="23" spans="2:83" ht="12.75" customHeight="1" thickBot="1" x14ac:dyDescent="0.25">
      <c r="B23" s="223">
        <v>11</v>
      </c>
      <c r="C23" s="761"/>
      <c r="D23" s="792" t="s">
        <v>647</v>
      </c>
      <c r="E23" s="792"/>
      <c r="F23" s="792"/>
      <c r="G23" s="792"/>
      <c r="H23" s="792"/>
      <c r="I23" s="792"/>
      <c r="J23" s="792"/>
      <c r="K23" s="792"/>
      <c r="L23" s="786" t="s">
        <v>646</v>
      </c>
      <c r="M23" s="786"/>
      <c r="N23" s="786"/>
      <c r="O23" s="786"/>
      <c r="P23" s="786"/>
      <c r="Q23" s="786"/>
      <c r="R23" s="774">
        <v>85</v>
      </c>
      <c r="S23" s="774"/>
      <c r="T23" s="774"/>
      <c r="U23" s="773">
        <f>CV!Y4</f>
        <v>58.05598678390745</v>
      </c>
      <c r="V23" s="773"/>
      <c r="W23" s="773"/>
      <c r="X23" s="774">
        <v>85</v>
      </c>
      <c r="Y23" s="774"/>
      <c r="Z23" s="774"/>
      <c r="AA23" s="686"/>
      <c r="AB23" s="686"/>
      <c r="AC23" s="686"/>
      <c r="AD23" s="774">
        <v>85</v>
      </c>
      <c r="AE23" s="774"/>
      <c r="AF23" s="774"/>
      <c r="AG23" s="686"/>
      <c r="AH23" s="686"/>
      <c r="AI23" s="795"/>
      <c r="AJ23" s="687"/>
      <c r="AK23" s="688"/>
      <c r="AL23" s="688"/>
      <c r="AM23" s="688"/>
      <c r="AN23" s="688"/>
      <c r="AO23" s="688"/>
      <c r="AQ23" s="102">
        <v>250</v>
      </c>
      <c r="AR23" s="143"/>
      <c r="AS23" s="143"/>
      <c r="AT23" s="143"/>
      <c r="AW23" s="256" t="s">
        <v>645</v>
      </c>
      <c r="AX23" s="256" t="s">
        <v>644</v>
      </c>
      <c r="AY23" s="353" t="s">
        <v>643</v>
      </c>
      <c r="BB23" s="112" t="s">
        <v>550</v>
      </c>
      <c r="BC23" s="245" t="s">
        <v>549</v>
      </c>
      <c r="BD23" s="245" t="s">
        <v>605</v>
      </c>
      <c r="BE23" s="245" t="s">
        <v>642</v>
      </c>
      <c r="BF23" s="245" t="s">
        <v>641</v>
      </c>
      <c r="BG23" s="245">
        <v>10</v>
      </c>
      <c r="BH23" s="245">
        <v>20</v>
      </c>
      <c r="BI23" s="245">
        <v>30</v>
      </c>
      <c r="BJ23" s="245">
        <v>40</v>
      </c>
      <c r="BK23" s="245">
        <v>60</v>
      </c>
      <c r="BL23" s="245">
        <v>80</v>
      </c>
      <c r="BM23" s="245">
        <v>100</v>
      </c>
      <c r="BN23" s="245">
        <v>120</v>
      </c>
      <c r="BO23" s="245">
        <v>140</v>
      </c>
      <c r="BP23" s="244">
        <v>160</v>
      </c>
      <c r="BS23" s="46" t="s">
        <v>640</v>
      </c>
      <c r="BT23" s="43" t="s">
        <v>639</v>
      </c>
      <c r="BU23" s="253" t="s">
        <v>638</v>
      </c>
      <c r="BV23" s="253" t="s">
        <v>637</v>
      </c>
      <c r="BW23" s="253" t="s">
        <v>636</v>
      </c>
      <c r="BX23" s="253" t="s">
        <v>635</v>
      </c>
      <c r="BY23" s="253" t="s">
        <v>634</v>
      </c>
      <c r="BZ23" s="255" t="s">
        <v>633</v>
      </c>
      <c r="CA23" s="253" t="s">
        <v>632</v>
      </c>
      <c r="CB23" s="253" t="s">
        <v>631</v>
      </c>
      <c r="CC23" s="253"/>
      <c r="CD23" s="253"/>
      <c r="CE23" s="253"/>
    </row>
    <row r="24" spans="2:83" ht="12.75" customHeight="1" x14ac:dyDescent="0.2">
      <c r="B24" s="223">
        <v>12</v>
      </c>
      <c r="C24" s="798"/>
      <c r="D24" s="794" t="s">
        <v>630</v>
      </c>
      <c r="E24" s="794"/>
      <c r="F24" s="794"/>
      <c r="G24" s="794"/>
      <c r="H24" s="794"/>
      <c r="I24" s="794"/>
      <c r="J24" s="794"/>
      <c r="K24" s="794"/>
      <c r="L24" s="795" t="s">
        <v>629</v>
      </c>
      <c r="M24" s="796"/>
      <c r="N24" s="796"/>
      <c r="O24" s="796"/>
      <c r="P24" s="796"/>
      <c r="Q24" s="797"/>
      <c r="R24" s="772">
        <f>ValveSIZING!$E$28</f>
        <v>1.4795743132758863</v>
      </c>
      <c r="S24" s="772"/>
      <c r="T24" s="772"/>
      <c r="U24" s="772"/>
      <c r="V24" s="772"/>
      <c r="W24" s="772"/>
      <c r="X24" s="772">
        <f>ValveSIZING!$E$29</f>
        <v>0.12549960692965104</v>
      </c>
      <c r="Y24" s="772"/>
      <c r="Z24" s="772"/>
      <c r="AA24" s="772"/>
      <c r="AB24" s="772"/>
      <c r="AC24" s="772"/>
      <c r="AD24" s="772">
        <f>ValveSIZING!$E$30</f>
        <v>3.3466561847906945E-2</v>
      </c>
      <c r="AE24" s="772"/>
      <c r="AF24" s="772"/>
      <c r="AG24" s="772"/>
      <c r="AH24" s="772"/>
      <c r="AI24" s="772"/>
      <c r="AJ24" s="811">
        <v>4</v>
      </c>
      <c r="AK24" s="812"/>
      <c r="AL24" s="809" t="s">
        <v>628</v>
      </c>
      <c r="AM24" s="809"/>
      <c r="AN24" s="809"/>
      <c r="AO24" s="810"/>
      <c r="AQ24" s="102">
        <v>200</v>
      </c>
      <c r="AR24" s="143"/>
      <c r="AS24" s="143"/>
      <c r="AT24" s="143"/>
      <c r="AW24" s="214" t="str">
        <f>IF(SchmidtTheory!AZ7=SchmidtTheory!AW7,SchmidtTheory!BA7,"")</f>
        <v/>
      </c>
      <c r="AX24" s="214" t="str">
        <f>IF(SchmidtTheory!BE7=TRUE,SchmidtTheory!BF7,"")</f>
        <v/>
      </c>
      <c r="AY24" s="214" t="str">
        <f t="shared" ref="AY24:AY55" si="0">IF($AC$37=$AS$16,AW24,IF($AC$37=$AR$16,AX24,IF($AC$37=$AU$16,AW24,IF($AC$37=$AT$16,AX24,"Special"))))</f>
        <v/>
      </c>
      <c r="BB24" s="236" t="s">
        <v>500</v>
      </c>
      <c r="BC24" s="219">
        <v>21.34</v>
      </c>
      <c r="BD24" s="219">
        <v>2.77</v>
      </c>
      <c r="BE24" s="219">
        <v>3.73</v>
      </c>
      <c r="BF24" s="219">
        <v>7.47</v>
      </c>
      <c r="BG24" s="219"/>
      <c r="BH24" s="219"/>
      <c r="BI24" s="219"/>
      <c r="BJ24" s="219">
        <v>2.77</v>
      </c>
      <c r="BK24" s="219"/>
      <c r="BL24" s="219">
        <v>3.73</v>
      </c>
      <c r="BM24" s="219"/>
      <c r="BN24" s="219"/>
      <c r="BO24" s="219"/>
      <c r="BP24" s="218">
        <v>4.75</v>
      </c>
      <c r="BS24" s="46" t="s">
        <v>627</v>
      </c>
      <c r="BT24" s="43" t="s">
        <v>1197</v>
      </c>
      <c r="BU24" s="43" t="s">
        <v>626</v>
      </c>
      <c r="BV24" s="253" t="s">
        <v>625</v>
      </c>
    </row>
    <row r="25" spans="2:83" ht="12.75" customHeight="1" x14ac:dyDescent="0.2">
      <c r="B25" s="223">
        <v>13</v>
      </c>
      <c r="C25" s="723" t="s">
        <v>624</v>
      </c>
      <c r="D25" s="778" t="s">
        <v>623</v>
      </c>
      <c r="E25" s="779"/>
      <c r="F25" s="779"/>
      <c r="G25" s="780"/>
      <c r="H25" s="254" t="s">
        <v>595</v>
      </c>
      <c r="I25" s="759" t="s">
        <v>488</v>
      </c>
      <c r="J25" s="759"/>
      <c r="K25" s="759" t="s">
        <v>605</v>
      </c>
      <c r="L25" s="759"/>
      <c r="M25" s="775" t="s">
        <v>622</v>
      </c>
      <c r="N25" s="776"/>
      <c r="O25" s="776"/>
      <c r="P25" s="776"/>
      <c r="Q25" s="776"/>
      <c r="R25" s="776"/>
      <c r="S25" s="776"/>
      <c r="T25" s="776"/>
      <c r="U25" s="777"/>
      <c r="V25" s="225">
        <v>53</v>
      </c>
      <c r="W25" s="760" t="s">
        <v>621</v>
      </c>
      <c r="X25" s="684" t="s">
        <v>558</v>
      </c>
      <c r="Y25" s="685"/>
      <c r="Z25" s="707"/>
      <c r="AA25" s="707"/>
      <c r="AB25" s="707"/>
      <c r="AC25" s="707"/>
      <c r="AD25" s="707"/>
      <c r="AE25" s="707"/>
      <c r="AF25" s="707"/>
      <c r="AG25" s="707"/>
      <c r="AH25" s="707"/>
      <c r="AI25" s="707"/>
      <c r="AJ25" s="707"/>
      <c r="AK25" s="707"/>
      <c r="AL25" s="707"/>
      <c r="AM25" s="707"/>
      <c r="AN25" s="707"/>
      <c r="AO25" s="708"/>
      <c r="AQ25" s="102">
        <v>150</v>
      </c>
      <c r="AR25" s="143"/>
      <c r="AS25" s="143"/>
      <c r="AT25" s="143"/>
      <c r="AW25" s="214" t="str">
        <f>IF(SchmidtTheory!AZ8=SchmidtTheory!AW8,SchmidtTheory!BA8,"")</f>
        <v/>
      </c>
      <c r="AX25" s="214" t="str">
        <f>IF(SchmidtTheory!BE8=TRUE,SchmidtTheory!BF8,"")</f>
        <v/>
      </c>
      <c r="AY25" s="214" t="str">
        <f t="shared" si="0"/>
        <v/>
      </c>
      <c r="BB25" s="220" t="s">
        <v>494</v>
      </c>
      <c r="BC25" s="219">
        <v>26.67</v>
      </c>
      <c r="BD25" s="219">
        <v>2.87</v>
      </c>
      <c r="BE25" s="219">
        <v>3.91</v>
      </c>
      <c r="BF25" s="219">
        <v>7.82</v>
      </c>
      <c r="BG25" s="219"/>
      <c r="BH25" s="219"/>
      <c r="BI25" s="219"/>
      <c r="BJ25" s="219">
        <v>2.87</v>
      </c>
      <c r="BK25" s="219"/>
      <c r="BL25" s="219">
        <v>3.91</v>
      </c>
      <c r="BM25" s="219"/>
      <c r="BN25" s="219"/>
      <c r="BO25" s="219"/>
      <c r="BP25" s="218">
        <v>5.54</v>
      </c>
      <c r="BS25" s="46" t="s">
        <v>620</v>
      </c>
      <c r="BT25" s="43" t="s">
        <v>619</v>
      </c>
      <c r="BU25" s="43" t="s">
        <v>618</v>
      </c>
      <c r="BV25" s="253" t="s">
        <v>617</v>
      </c>
      <c r="BW25" s="253" t="s">
        <v>616</v>
      </c>
    </row>
    <row r="26" spans="2:83" ht="12.75" customHeight="1" x14ac:dyDescent="0.2">
      <c r="B26" s="223">
        <v>14</v>
      </c>
      <c r="C26" s="723"/>
      <c r="D26" s="781"/>
      <c r="E26" s="782"/>
      <c r="F26" s="782"/>
      <c r="G26" s="783"/>
      <c r="H26" s="252" t="s">
        <v>592</v>
      </c>
      <c r="I26" s="787" t="s">
        <v>488</v>
      </c>
      <c r="J26" s="759"/>
      <c r="K26" s="759" t="s">
        <v>605</v>
      </c>
      <c r="L26" s="759"/>
      <c r="M26" s="788">
        <f>ValveSIZING!$F$26</f>
        <v>5.6595929577157131E-2</v>
      </c>
      <c r="N26" s="789"/>
      <c r="O26" s="789"/>
      <c r="P26" s="789"/>
      <c r="Q26" s="789"/>
      <c r="R26" s="789"/>
      <c r="S26" s="789"/>
      <c r="T26" s="789"/>
      <c r="U26" s="790"/>
      <c r="V26" s="225">
        <v>54</v>
      </c>
      <c r="W26" s="761"/>
      <c r="X26" s="704" t="s">
        <v>521</v>
      </c>
      <c r="Y26" s="705"/>
      <c r="Z26" s="705"/>
      <c r="AA26" s="705"/>
      <c r="AB26" s="762" t="str">
        <f>'Pressure Drop'!R28</f>
        <v>S200B-130 (20) 0,4 - 2,0  (6 - 30)</v>
      </c>
      <c r="AC26" s="762"/>
      <c r="AD26" s="762"/>
      <c r="AE26" s="762"/>
      <c r="AF26" s="762"/>
      <c r="AG26" s="762"/>
      <c r="AH26" s="762"/>
      <c r="AI26" s="762"/>
      <c r="AJ26" s="762"/>
      <c r="AK26" s="762"/>
      <c r="AL26" s="762"/>
      <c r="AM26" s="762"/>
      <c r="AN26" s="762"/>
      <c r="AO26" s="763"/>
      <c r="AQ26" s="102">
        <v>125</v>
      </c>
      <c r="AR26" s="143"/>
      <c r="AS26" s="143"/>
      <c r="AT26" s="143"/>
      <c r="AW26" s="214" t="str">
        <f>IF(SchmidtTheory!AZ9=SchmidtTheory!AW9,SchmidtTheory!BA9,"")</f>
        <v/>
      </c>
      <c r="AX26" s="214" t="str">
        <f>IF(SchmidtTheory!BE9=TRUE,SchmidtTheory!BF9,"")</f>
        <v/>
      </c>
      <c r="AY26" s="214" t="str">
        <f t="shared" si="0"/>
        <v/>
      </c>
      <c r="BB26" s="220" t="s">
        <v>492</v>
      </c>
      <c r="BC26" s="219">
        <v>33.4</v>
      </c>
      <c r="BD26" s="219">
        <v>3.38</v>
      </c>
      <c r="BE26" s="219">
        <v>4.55</v>
      </c>
      <c r="BF26" s="219">
        <v>9.09</v>
      </c>
      <c r="BG26" s="219"/>
      <c r="BH26" s="219"/>
      <c r="BI26" s="219"/>
      <c r="BJ26" s="219">
        <v>3.38</v>
      </c>
      <c r="BK26" s="219"/>
      <c r="BL26" s="219">
        <v>4.55</v>
      </c>
      <c r="BM26" s="219"/>
      <c r="BN26" s="219"/>
      <c r="BO26" s="219"/>
      <c r="BP26" s="218">
        <v>6.35</v>
      </c>
      <c r="BS26" s="46" t="s">
        <v>615</v>
      </c>
      <c r="BT26" s="43" t="s">
        <v>614</v>
      </c>
      <c r="BU26" s="43" t="s">
        <v>613</v>
      </c>
    </row>
    <row r="27" spans="2:83" ht="12.75" customHeight="1" x14ac:dyDescent="0.2">
      <c r="B27" s="223">
        <v>15</v>
      </c>
      <c r="C27" s="723"/>
      <c r="D27" s="784" t="s">
        <v>612</v>
      </c>
      <c r="E27" s="785"/>
      <c r="F27" s="785"/>
      <c r="G27" s="785"/>
      <c r="H27" s="785"/>
      <c r="I27" s="766"/>
      <c r="J27" s="766"/>
      <c r="K27" s="766"/>
      <c r="L27" s="766"/>
      <c r="M27" s="766"/>
      <c r="N27" s="766"/>
      <c r="O27" s="766"/>
      <c r="P27" s="766"/>
      <c r="Q27" s="766"/>
      <c r="R27" s="766"/>
      <c r="S27" s="766"/>
      <c r="T27" s="766"/>
      <c r="U27" s="767"/>
      <c r="V27" s="225">
        <v>55</v>
      </c>
      <c r="W27" s="761"/>
      <c r="X27" s="704" t="s">
        <v>552</v>
      </c>
      <c r="Y27" s="696"/>
      <c r="Z27" s="728">
        <v>502</v>
      </c>
      <c r="AA27" s="728"/>
      <c r="AB27" s="728"/>
      <c r="AC27" s="728"/>
      <c r="AD27" s="728"/>
      <c r="AE27" s="728"/>
      <c r="AF27" s="770" t="s">
        <v>611</v>
      </c>
      <c r="AG27" s="770"/>
      <c r="AH27" s="770"/>
      <c r="AI27" s="770"/>
      <c r="AJ27" s="768" t="str">
        <f>IF(Z27=AR18,"125",IF(Z27=AS18,"250",IF(Z27=AT18,"500",IF(Z27=AU18,"700",IF(Z27=AV18,"1500",IF(Z27=AW18,"3000","Special"))))))</f>
        <v>500</v>
      </c>
      <c r="AK27" s="768"/>
      <c r="AL27" s="768"/>
      <c r="AM27" s="768"/>
      <c r="AN27" s="768"/>
      <c r="AO27" s="769"/>
      <c r="AQ27" s="102">
        <v>100</v>
      </c>
      <c r="AR27" s="143"/>
      <c r="AS27" s="143"/>
      <c r="AT27" s="143"/>
      <c r="AW27" s="214" t="e">
        <f>IF(SchmidtTheory!AZ10=SchmidtTheory!AW10,SchmidtTheory!BA10,"")</f>
        <v>#VALUE!</v>
      </c>
      <c r="AX27" s="214" t="str">
        <f>IF(SchmidtTheory!BE10=TRUE,SchmidtTheory!BF10,"")</f>
        <v/>
      </c>
      <c r="AY27" s="214" t="e">
        <f t="shared" si="0"/>
        <v>#VALUE!</v>
      </c>
      <c r="BB27" s="220" t="s">
        <v>516</v>
      </c>
      <c r="BC27" s="219">
        <v>42.16</v>
      </c>
      <c r="BD27" s="219">
        <v>3.56</v>
      </c>
      <c r="BE27" s="219">
        <v>4.8499999999999996</v>
      </c>
      <c r="BF27" s="219">
        <v>9.6999999999999993</v>
      </c>
      <c r="BG27" s="219"/>
      <c r="BH27" s="219"/>
      <c r="BI27" s="219"/>
      <c r="BJ27" s="219">
        <v>3.56</v>
      </c>
      <c r="BK27" s="219"/>
      <c r="BL27" s="219">
        <v>4.8499999999999996</v>
      </c>
      <c r="BM27" s="219"/>
      <c r="BN27" s="219"/>
      <c r="BO27" s="219"/>
      <c r="BP27" s="218">
        <v>6.35</v>
      </c>
      <c r="BS27" s="46" t="s">
        <v>610</v>
      </c>
      <c r="BT27" s="43" t="s">
        <v>1226</v>
      </c>
      <c r="BU27" s="43" t="s">
        <v>609</v>
      </c>
    </row>
    <row r="28" spans="2:83" ht="12.75" customHeight="1" x14ac:dyDescent="0.2">
      <c r="B28" s="223">
        <v>16</v>
      </c>
      <c r="C28" s="723" t="s">
        <v>608</v>
      </c>
      <c r="D28" s="704" t="s">
        <v>558</v>
      </c>
      <c r="E28" s="696"/>
      <c r="F28" s="677"/>
      <c r="G28" s="677"/>
      <c r="H28" s="677"/>
      <c r="I28" s="677"/>
      <c r="J28" s="677"/>
      <c r="K28" s="677"/>
      <c r="L28" s="677"/>
      <c r="M28" s="677"/>
      <c r="N28" s="677"/>
      <c r="O28" s="677"/>
      <c r="P28" s="677"/>
      <c r="Q28" s="677"/>
      <c r="R28" s="677"/>
      <c r="S28" s="677"/>
      <c r="T28" s="677"/>
      <c r="U28" s="678"/>
      <c r="V28" s="225">
        <v>56</v>
      </c>
      <c r="W28" s="761"/>
      <c r="X28" s="704" t="s">
        <v>607</v>
      </c>
      <c r="Y28" s="705"/>
      <c r="Z28" s="705"/>
      <c r="AA28" s="677"/>
      <c r="AB28" s="677"/>
      <c r="AC28" s="677"/>
      <c r="AD28" s="677"/>
      <c r="AE28" s="677"/>
      <c r="AF28" s="739" t="s">
        <v>606</v>
      </c>
      <c r="AG28" s="739"/>
      <c r="AH28" s="739"/>
      <c r="AI28" s="739"/>
      <c r="AJ28" s="677"/>
      <c r="AK28" s="677"/>
      <c r="AL28" s="677"/>
      <c r="AM28" s="677"/>
      <c r="AN28" s="677"/>
      <c r="AO28" s="701"/>
      <c r="AQ28" s="102">
        <v>80</v>
      </c>
      <c r="AR28" s="143"/>
      <c r="AS28" s="143"/>
      <c r="AT28" s="143"/>
      <c r="AW28" s="214" t="e">
        <f>IF(SchmidtTheory!AZ11=SchmidtTheory!AW11,SchmidtTheory!BA11,"")</f>
        <v>#VALUE!</v>
      </c>
      <c r="AX28" s="214" t="str">
        <f>IF(SchmidtTheory!BE11=TRUE,SchmidtTheory!BF11,"")</f>
        <v/>
      </c>
      <c r="AY28" s="214" t="e">
        <f t="shared" si="0"/>
        <v>#VALUE!</v>
      </c>
      <c r="BB28" s="220" t="s">
        <v>512</v>
      </c>
      <c r="BC28" s="219">
        <v>48.26</v>
      </c>
      <c r="BD28" s="219">
        <v>3.68</v>
      </c>
      <c r="BE28" s="219">
        <v>5.08</v>
      </c>
      <c r="BF28" s="219">
        <v>10.199999999999999</v>
      </c>
      <c r="BG28" s="219"/>
      <c r="BH28" s="219"/>
      <c r="BI28" s="219"/>
      <c r="BJ28" s="219">
        <v>3.68</v>
      </c>
      <c r="BK28" s="219"/>
      <c r="BL28" s="219">
        <v>5.08</v>
      </c>
      <c r="BM28" s="219"/>
      <c r="BN28" s="219"/>
      <c r="BO28" s="219"/>
      <c r="BP28" s="218">
        <v>7.14</v>
      </c>
    </row>
    <row r="29" spans="2:83" ht="12.75" customHeight="1" x14ac:dyDescent="0.2">
      <c r="B29" s="223">
        <v>17</v>
      </c>
      <c r="C29" s="723"/>
      <c r="D29" s="764" t="s">
        <v>605</v>
      </c>
      <c r="E29" s="718"/>
      <c r="F29" s="728" t="s">
        <v>604</v>
      </c>
      <c r="G29" s="703"/>
      <c r="H29" s="717" t="s">
        <v>552</v>
      </c>
      <c r="I29" s="718"/>
      <c r="J29" s="728">
        <v>20</v>
      </c>
      <c r="K29" s="728"/>
      <c r="L29" s="771" t="str">
        <f>IF(F29="ANSI",AQ8,AQ7)</f>
        <v>Rating PN</v>
      </c>
      <c r="M29" s="770"/>
      <c r="N29" s="770"/>
      <c r="O29" s="770"/>
      <c r="P29" s="747" t="str">
        <f>'Valve body'!K7</f>
        <v>PN25</v>
      </c>
      <c r="Q29" s="747"/>
      <c r="R29" s="747"/>
      <c r="S29" s="747"/>
      <c r="T29" s="747"/>
      <c r="U29" s="748"/>
      <c r="V29" s="225">
        <v>57</v>
      </c>
      <c r="W29" s="761"/>
      <c r="X29" s="704" t="s">
        <v>603</v>
      </c>
      <c r="Y29" s="705"/>
      <c r="Z29" s="705"/>
      <c r="AA29" s="705"/>
      <c r="AB29" s="705"/>
      <c r="AC29" s="705"/>
      <c r="AD29" s="705"/>
      <c r="AE29" s="698"/>
      <c r="AF29" s="698"/>
      <c r="AG29" s="698"/>
      <c r="AH29" s="698"/>
      <c r="AI29" s="698"/>
      <c r="AJ29" s="698"/>
      <c r="AK29" s="698"/>
      <c r="AL29" s="698"/>
      <c r="AM29" s="698"/>
      <c r="AN29" s="698"/>
      <c r="AO29" s="699"/>
      <c r="AQ29" s="102">
        <v>65</v>
      </c>
      <c r="AR29" s="143"/>
      <c r="AS29" s="143"/>
      <c r="AT29" s="143"/>
      <c r="AW29" s="214" t="e">
        <f>IF(SchmidtTheory!AZ12=SchmidtTheory!AW12,SchmidtTheory!BA12,"")</f>
        <v>#VALUE!</v>
      </c>
      <c r="AX29" s="214" t="str">
        <f>IF(SchmidtTheory!BE12=TRUE,SchmidtTheory!BF12,"")</f>
        <v/>
      </c>
      <c r="AY29" s="214" t="e">
        <f t="shared" si="0"/>
        <v>#VALUE!</v>
      </c>
      <c r="BB29" s="220" t="s">
        <v>490</v>
      </c>
      <c r="BC29" s="219">
        <v>60.32</v>
      </c>
      <c r="BD29" s="219">
        <v>3.91</v>
      </c>
      <c r="BE29" s="219">
        <v>5.54</v>
      </c>
      <c r="BF29" s="219">
        <v>11.1</v>
      </c>
      <c r="BG29" s="219"/>
      <c r="BH29" s="219"/>
      <c r="BI29" s="219"/>
      <c r="BJ29" s="219">
        <v>3.91</v>
      </c>
      <c r="BK29" s="219"/>
      <c r="BL29" s="219">
        <v>5.54</v>
      </c>
      <c r="BM29" s="219"/>
      <c r="BN29" s="219"/>
      <c r="BO29" s="219"/>
      <c r="BP29" s="218">
        <v>8.7100000000000009</v>
      </c>
    </row>
    <row r="30" spans="2:83" ht="12.75" customHeight="1" x14ac:dyDescent="0.2">
      <c r="B30" s="223">
        <v>18</v>
      </c>
      <c r="C30" s="723"/>
      <c r="D30" s="704" t="s">
        <v>602</v>
      </c>
      <c r="E30" s="696"/>
      <c r="F30" s="696"/>
      <c r="G30" s="696"/>
      <c r="H30" s="696"/>
      <c r="I30" s="677"/>
      <c r="J30" s="677"/>
      <c r="K30" s="677"/>
      <c r="L30" s="677"/>
      <c r="M30" s="677"/>
      <c r="N30" s="677"/>
      <c r="O30" s="677"/>
      <c r="P30" s="677"/>
      <c r="Q30" s="677"/>
      <c r="R30" s="677"/>
      <c r="S30" s="677"/>
      <c r="T30" s="677"/>
      <c r="U30" s="678"/>
      <c r="V30" s="225">
        <v>58</v>
      </c>
      <c r="W30" s="761"/>
      <c r="X30" s="704" t="s">
        <v>601</v>
      </c>
      <c r="Y30" s="696"/>
      <c r="Z30" s="696"/>
      <c r="AA30" s="696"/>
      <c r="AB30" s="696"/>
      <c r="AC30" s="696"/>
      <c r="AD30" s="696"/>
      <c r="AE30" s="677"/>
      <c r="AF30" s="677"/>
      <c r="AG30" s="677"/>
      <c r="AH30" s="677"/>
      <c r="AI30" s="677"/>
      <c r="AJ30" s="677"/>
      <c r="AK30" s="677"/>
      <c r="AL30" s="677"/>
      <c r="AM30" s="677"/>
      <c r="AN30" s="677"/>
      <c r="AO30" s="701"/>
      <c r="AQ30" s="102">
        <v>50</v>
      </c>
      <c r="AR30" s="143"/>
      <c r="AS30" s="143"/>
      <c r="AT30" s="143"/>
      <c r="AW30" s="214" t="e">
        <f>IF(SchmidtTheory!AZ13=SchmidtTheory!AW13,SchmidtTheory!BA13,"")</f>
        <v>#VALUE!</v>
      </c>
      <c r="AX30" s="214" t="str">
        <f>IF(SchmidtTheory!BE13=TRUE,SchmidtTheory!BF13,"")</f>
        <v/>
      </c>
      <c r="AY30" s="214" t="e">
        <f t="shared" si="0"/>
        <v>#VALUE!</v>
      </c>
      <c r="BB30" s="220" t="s">
        <v>503</v>
      </c>
      <c r="BC30" s="219">
        <v>73.02</v>
      </c>
      <c r="BD30" s="219">
        <v>5.16</v>
      </c>
      <c r="BE30" s="219">
        <v>7.01</v>
      </c>
      <c r="BF30" s="219">
        <v>14</v>
      </c>
      <c r="BG30" s="219"/>
      <c r="BH30" s="219"/>
      <c r="BI30" s="219"/>
      <c r="BJ30" s="219">
        <v>5.16</v>
      </c>
      <c r="BK30" s="219"/>
      <c r="BL30" s="219">
        <v>7.01</v>
      </c>
      <c r="BM30" s="219"/>
      <c r="BN30" s="219"/>
      <c r="BO30" s="219"/>
      <c r="BP30" s="218">
        <v>9.52</v>
      </c>
    </row>
    <row r="31" spans="2:83" ht="12.75" customHeight="1" x14ac:dyDescent="0.2">
      <c r="B31" s="223">
        <v>19</v>
      </c>
      <c r="C31" s="723"/>
      <c r="D31" s="704" t="s">
        <v>521</v>
      </c>
      <c r="E31" s="696"/>
      <c r="F31" s="696"/>
      <c r="G31" s="696"/>
      <c r="H31" s="677"/>
      <c r="I31" s="677"/>
      <c r="J31" s="677"/>
      <c r="K31" s="677"/>
      <c r="L31" s="677"/>
      <c r="M31" s="677"/>
      <c r="N31" s="677"/>
      <c r="O31" s="677"/>
      <c r="P31" s="677"/>
      <c r="Q31" s="677"/>
      <c r="R31" s="677"/>
      <c r="S31" s="677"/>
      <c r="T31" s="677"/>
      <c r="U31" s="678"/>
      <c r="V31" s="225">
        <v>59</v>
      </c>
      <c r="W31" s="761"/>
      <c r="X31" s="704" t="s">
        <v>600</v>
      </c>
      <c r="Y31" s="705"/>
      <c r="Z31" s="705"/>
      <c r="AA31" s="705"/>
      <c r="AB31" s="705"/>
      <c r="AC31" s="705"/>
      <c r="AD31" s="697"/>
      <c r="AE31" s="698"/>
      <c r="AF31" s="698"/>
      <c r="AG31" s="698"/>
      <c r="AH31" s="698"/>
      <c r="AI31" s="698"/>
      <c r="AJ31" s="698"/>
      <c r="AK31" s="698"/>
      <c r="AL31" s="698"/>
      <c r="AM31" s="698"/>
      <c r="AN31" s="698"/>
      <c r="AO31" s="699"/>
      <c r="AQ31" s="102">
        <v>40</v>
      </c>
      <c r="AR31" s="143"/>
      <c r="AS31" s="143"/>
      <c r="AT31" s="143"/>
      <c r="AW31" s="214" t="str">
        <f>IF(SchmidtTheory!AZ14=SchmidtTheory!AW14,SchmidtTheory!BA14,"")</f>
        <v/>
      </c>
      <c r="AX31" s="214" t="str">
        <f>IF(SchmidtTheory!BE14=TRUE,SchmidtTheory!BF14,"")</f>
        <v/>
      </c>
      <c r="AY31" s="214" t="str">
        <f t="shared" si="0"/>
        <v/>
      </c>
      <c r="BB31" s="220" t="s">
        <v>489</v>
      </c>
      <c r="BC31" s="219">
        <v>88.9</v>
      </c>
      <c r="BD31" s="219">
        <v>5.49</v>
      </c>
      <c r="BE31" s="219">
        <v>7.62</v>
      </c>
      <c r="BF31" s="219">
        <v>15.2</v>
      </c>
      <c r="BG31" s="219"/>
      <c r="BH31" s="219"/>
      <c r="BI31" s="219"/>
      <c r="BJ31" s="219">
        <v>5.49</v>
      </c>
      <c r="BK31" s="219"/>
      <c r="BL31" s="219">
        <v>7.62</v>
      </c>
      <c r="BM31" s="219"/>
      <c r="BN31" s="219"/>
      <c r="BO31" s="219"/>
      <c r="BP31" s="218">
        <v>11.1</v>
      </c>
    </row>
    <row r="32" spans="2:83" ht="12.75" customHeight="1" x14ac:dyDescent="0.2">
      <c r="B32" s="223">
        <v>20</v>
      </c>
      <c r="C32" s="723"/>
      <c r="D32" s="228" t="s">
        <v>599</v>
      </c>
      <c r="E32" s="227"/>
      <c r="F32" s="227"/>
      <c r="G32" s="227"/>
      <c r="H32" s="227"/>
      <c r="I32" s="698" t="str">
        <f>'Valve body'!K6</f>
        <v>Standard</v>
      </c>
      <c r="J32" s="698"/>
      <c r="K32" s="698"/>
      <c r="L32" s="698"/>
      <c r="M32" s="698"/>
      <c r="N32" s="698"/>
      <c r="O32" s="698"/>
      <c r="P32" s="698"/>
      <c r="Q32" s="698"/>
      <c r="R32" s="698"/>
      <c r="S32" s="698"/>
      <c r="T32" s="698"/>
      <c r="U32" s="756"/>
      <c r="V32" s="225">
        <v>60</v>
      </c>
      <c r="W32" s="761"/>
      <c r="X32" s="704" t="s">
        <v>598</v>
      </c>
      <c r="Y32" s="696"/>
      <c r="Z32" s="696"/>
      <c r="AA32" s="696"/>
      <c r="AB32" s="696"/>
      <c r="AC32" s="696"/>
      <c r="AD32" s="696"/>
      <c r="AE32" s="696"/>
      <c r="AF32" s="696"/>
      <c r="AG32" s="696"/>
      <c r="AH32" s="696"/>
      <c r="AI32" s="696"/>
      <c r="AJ32" s="696"/>
      <c r="AK32" s="696"/>
      <c r="AL32" s="696"/>
      <c r="AM32" s="696"/>
      <c r="AN32" s="696"/>
      <c r="AO32" s="757"/>
      <c r="AQ32" s="102">
        <v>32</v>
      </c>
      <c r="AR32" s="143"/>
      <c r="AS32" s="143"/>
      <c r="AT32" s="143"/>
      <c r="AW32" s="214" t="str">
        <f>IF(SchmidtTheory!AZ15=SchmidtTheory!AW15,SchmidtTheory!BA15,"")</f>
        <v/>
      </c>
      <c r="AX32" s="214" t="str">
        <f>IF(SchmidtTheory!BE15=TRUE,SchmidtTheory!BF15,"")</f>
        <v/>
      </c>
      <c r="AY32" s="214" t="str">
        <f t="shared" si="0"/>
        <v/>
      </c>
      <c r="BB32" s="220" t="s">
        <v>501</v>
      </c>
      <c r="BC32" s="219">
        <v>101.6</v>
      </c>
      <c r="BD32" s="219">
        <v>5.74</v>
      </c>
      <c r="BE32" s="219">
        <v>8.08</v>
      </c>
      <c r="BF32" s="219">
        <v>16.149999999999999</v>
      </c>
      <c r="BG32" s="219"/>
      <c r="BH32" s="219"/>
      <c r="BI32" s="219"/>
      <c r="BJ32" s="219">
        <v>5.74</v>
      </c>
      <c r="BK32" s="219"/>
      <c r="BL32" s="219">
        <v>8.08</v>
      </c>
      <c r="BM32" s="219"/>
      <c r="BN32" s="219"/>
      <c r="BO32" s="219"/>
      <c r="BP32" s="218"/>
    </row>
    <row r="33" spans="2:68" ht="12.75" customHeight="1" x14ac:dyDescent="0.2">
      <c r="B33" s="223">
        <v>21</v>
      </c>
      <c r="C33" s="723"/>
      <c r="D33" s="704" t="s">
        <v>597</v>
      </c>
      <c r="E33" s="696"/>
      <c r="F33" s="696"/>
      <c r="G33" s="696"/>
      <c r="H33" s="696"/>
      <c r="I33" s="677"/>
      <c r="J33" s="677"/>
      <c r="K33" s="677"/>
      <c r="L33" s="677"/>
      <c r="M33" s="677"/>
      <c r="N33" s="677"/>
      <c r="O33" s="677"/>
      <c r="P33" s="677"/>
      <c r="Q33" s="677"/>
      <c r="R33" s="677"/>
      <c r="S33" s="677"/>
      <c r="T33" s="677"/>
      <c r="U33" s="678"/>
      <c r="V33" s="225">
        <v>61</v>
      </c>
      <c r="W33" s="761"/>
      <c r="X33" s="704" t="s">
        <v>334</v>
      </c>
      <c r="Y33" s="705"/>
      <c r="Z33" s="677"/>
      <c r="AA33" s="677"/>
      <c r="AB33" s="677"/>
      <c r="AC33" s="677"/>
      <c r="AD33" s="677"/>
      <c r="AE33" s="677"/>
      <c r="AF33" s="677"/>
      <c r="AG33" s="739" t="s">
        <v>329</v>
      </c>
      <c r="AH33" s="739"/>
      <c r="AI33" s="697"/>
      <c r="AJ33" s="698"/>
      <c r="AK33" s="698"/>
      <c r="AL33" s="698"/>
      <c r="AM33" s="698"/>
      <c r="AN33" s="698"/>
      <c r="AO33" s="699"/>
      <c r="AQ33" s="102">
        <v>25</v>
      </c>
      <c r="AR33" s="143"/>
      <c r="AS33" s="143"/>
      <c r="AT33" s="143"/>
      <c r="AW33" s="214" t="str">
        <f>IF(SchmidtTheory!AZ16=SchmidtTheory!AW16,SchmidtTheory!BA16,"")</f>
        <v/>
      </c>
      <c r="AX33" s="214" t="str">
        <f>IF(SchmidtTheory!BE16=TRUE,SchmidtTheory!BF16,"")</f>
        <v/>
      </c>
      <c r="AY33" s="214" t="str">
        <f t="shared" si="0"/>
        <v/>
      </c>
      <c r="BB33" s="220" t="s">
        <v>488</v>
      </c>
      <c r="BC33" s="219">
        <v>114.3</v>
      </c>
      <c r="BD33" s="219">
        <v>6.02</v>
      </c>
      <c r="BE33" s="219">
        <v>8.56</v>
      </c>
      <c r="BF33" s="219">
        <v>17.100000000000001</v>
      </c>
      <c r="BG33" s="219"/>
      <c r="BH33" s="219"/>
      <c r="BI33" s="219"/>
      <c r="BJ33" s="219">
        <v>6.02</v>
      </c>
      <c r="BK33" s="219"/>
      <c r="BL33" s="219">
        <v>8.56</v>
      </c>
      <c r="BM33" s="219"/>
      <c r="BN33" s="219">
        <v>11.1</v>
      </c>
      <c r="BO33" s="219"/>
      <c r="BP33" s="218">
        <v>13.5</v>
      </c>
    </row>
    <row r="34" spans="2:68" ht="12.75" customHeight="1" x14ac:dyDescent="0.2">
      <c r="B34" s="223">
        <v>22</v>
      </c>
      <c r="C34" s="723"/>
      <c r="D34" s="733" t="s">
        <v>596</v>
      </c>
      <c r="E34" s="734"/>
      <c r="F34" s="734"/>
      <c r="G34" s="735"/>
      <c r="H34" s="237" t="s">
        <v>595</v>
      </c>
      <c r="I34" s="677"/>
      <c r="J34" s="700"/>
      <c r="K34" s="700"/>
      <c r="L34" s="700"/>
      <c r="M34" s="700"/>
      <c r="N34" s="700"/>
      <c r="O34" s="700"/>
      <c r="P34" s="700"/>
      <c r="Q34" s="700"/>
      <c r="R34" s="700"/>
      <c r="S34" s="700"/>
      <c r="T34" s="700"/>
      <c r="U34" s="678"/>
      <c r="V34" s="225">
        <v>62</v>
      </c>
      <c r="W34" s="761"/>
      <c r="X34" s="717" t="s">
        <v>594</v>
      </c>
      <c r="Y34" s="718"/>
      <c r="Z34" s="718"/>
      <c r="AA34" s="718"/>
      <c r="AB34" s="728">
        <v>1.5</v>
      </c>
      <c r="AC34" s="728"/>
      <c r="AD34" s="728"/>
      <c r="AE34" s="728"/>
      <c r="AF34" s="728"/>
      <c r="AG34" s="728"/>
      <c r="AH34" s="728"/>
      <c r="AI34" s="251" t="s">
        <v>593</v>
      </c>
      <c r="AJ34" s="702">
        <v>2.7</v>
      </c>
      <c r="AK34" s="702"/>
      <c r="AL34" s="702"/>
      <c r="AM34" s="702"/>
      <c r="AN34" s="702"/>
      <c r="AO34" s="703"/>
      <c r="AQ34" s="102">
        <v>20</v>
      </c>
      <c r="AR34" s="143"/>
      <c r="AS34" s="143"/>
      <c r="AT34" s="143"/>
      <c r="AW34" s="214" t="str">
        <f>IF(SchmidtTheory!AZ17=SchmidtTheory!AW17,SchmidtTheory!BA17,"")</f>
        <v/>
      </c>
      <c r="AX34" s="214" t="str">
        <f>IF(SchmidtTheory!BE17=TRUE,SchmidtTheory!BF17,"")</f>
        <v/>
      </c>
      <c r="AY34" s="214" t="str">
        <f t="shared" si="0"/>
        <v/>
      </c>
      <c r="BB34" s="220" t="s">
        <v>493</v>
      </c>
      <c r="BC34" s="219">
        <v>141.30000000000001</v>
      </c>
      <c r="BD34" s="219">
        <v>6.55</v>
      </c>
      <c r="BE34" s="219">
        <v>9.52</v>
      </c>
      <c r="BF34" s="219">
        <v>19</v>
      </c>
      <c r="BG34" s="219"/>
      <c r="BH34" s="219"/>
      <c r="BI34" s="219"/>
      <c r="BJ34" s="219">
        <v>6.55</v>
      </c>
      <c r="BK34" s="219"/>
      <c r="BL34" s="219">
        <v>9.52</v>
      </c>
      <c r="BM34" s="219"/>
      <c r="BN34" s="219">
        <v>12.7</v>
      </c>
      <c r="BO34" s="219"/>
      <c r="BP34" s="218">
        <v>15.9</v>
      </c>
    </row>
    <row r="35" spans="2:68" ht="12.75" customHeight="1" x14ac:dyDescent="0.2">
      <c r="B35" s="223">
        <v>23</v>
      </c>
      <c r="C35" s="723"/>
      <c r="D35" s="733"/>
      <c r="E35" s="734"/>
      <c r="F35" s="734"/>
      <c r="G35" s="735"/>
      <c r="H35" s="237" t="s">
        <v>592</v>
      </c>
      <c r="I35" s="677"/>
      <c r="J35" s="700"/>
      <c r="K35" s="700"/>
      <c r="L35" s="700"/>
      <c r="M35" s="700"/>
      <c r="N35" s="700"/>
      <c r="O35" s="700"/>
      <c r="P35" s="700"/>
      <c r="Q35" s="700"/>
      <c r="R35" s="700"/>
      <c r="S35" s="700"/>
      <c r="T35" s="700"/>
      <c r="U35" s="678"/>
      <c r="V35" s="225">
        <v>63</v>
      </c>
      <c r="W35" s="761"/>
      <c r="X35" s="704" t="s">
        <v>591</v>
      </c>
      <c r="Y35" s="705"/>
      <c r="Z35" s="705"/>
      <c r="AA35" s="705"/>
      <c r="AB35" s="705"/>
      <c r="AC35" s="697"/>
      <c r="AD35" s="698"/>
      <c r="AE35" s="698"/>
      <c r="AF35" s="698"/>
      <c r="AG35" s="698"/>
      <c r="AH35" s="698"/>
      <c r="AI35" s="698"/>
      <c r="AJ35" s="698"/>
      <c r="AK35" s="698"/>
      <c r="AL35" s="698"/>
      <c r="AM35" s="698"/>
      <c r="AN35" s="698"/>
      <c r="AO35" s="699"/>
      <c r="AQ35" s="102">
        <v>15</v>
      </c>
      <c r="AR35" s="143"/>
      <c r="AS35" s="143"/>
      <c r="AT35" s="143"/>
      <c r="AW35" s="214" t="str">
        <f>IF(SchmidtTheory!AZ18=SchmidtTheory!AW18,SchmidtTheory!BA18,"")</f>
        <v/>
      </c>
      <c r="AX35" s="214" t="str">
        <f>IF(SchmidtTheory!BE18=TRUE,SchmidtTheory!BF18,"")</f>
        <v/>
      </c>
      <c r="AY35" s="214" t="str">
        <f t="shared" si="0"/>
        <v/>
      </c>
      <c r="BB35" s="220" t="s">
        <v>485</v>
      </c>
      <c r="BC35" s="219">
        <v>168.3</v>
      </c>
      <c r="BD35" s="219">
        <v>7.11</v>
      </c>
      <c r="BE35" s="219">
        <v>11</v>
      </c>
      <c r="BF35" s="219">
        <v>21.9</v>
      </c>
      <c r="BG35" s="219"/>
      <c r="BH35" s="219"/>
      <c r="BI35" s="219"/>
      <c r="BJ35" s="219">
        <v>7.11</v>
      </c>
      <c r="BK35" s="219"/>
      <c r="BL35" s="219">
        <v>11</v>
      </c>
      <c r="BM35" s="219"/>
      <c r="BN35" s="219">
        <v>14.3</v>
      </c>
      <c r="BO35" s="219"/>
      <c r="BP35" s="218">
        <v>18.2</v>
      </c>
    </row>
    <row r="36" spans="2:68" ht="12.75" customHeight="1" x14ac:dyDescent="0.2">
      <c r="B36" s="223">
        <v>24</v>
      </c>
      <c r="C36" s="723"/>
      <c r="D36" s="765" t="s">
        <v>590</v>
      </c>
      <c r="E36" s="705"/>
      <c r="F36" s="705"/>
      <c r="G36" s="705"/>
      <c r="H36" s="697"/>
      <c r="I36" s="698"/>
      <c r="J36" s="698"/>
      <c r="K36" s="698"/>
      <c r="L36" s="698"/>
      <c r="M36" s="698"/>
      <c r="N36" s="698"/>
      <c r="O36" s="698"/>
      <c r="P36" s="698"/>
      <c r="Q36" s="698"/>
      <c r="R36" s="698"/>
      <c r="S36" s="698"/>
      <c r="T36" s="698"/>
      <c r="U36" s="756"/>
      <c r="V36" s="225">
        <v>64</v>
      </c>
      <c r="W36" s="761"/>
      <c r="X36" s="704" t="s">
        <v>589</v>
      </c>
      <c r="Y36" s="705"/>
      <c r="Z36" s="705"/>
      <c r="AA36" s="705"/>
      <c r="AB36" s="705"/>
      <c r="AC36" s="677"/>
      <c r="AD36" s="677"/>
      <c r="AE36" s="677"/>
      <c r="AF36" s="677"/>
      <c r="AG36" s="677"/>
      <c r="AH36" s="677"/>
      <c r="AI36" s="677"/>
      <c r="AJ36" s="677"/>
      <c r="AK36" s="677"/>
      <c r="AL36" s="677"/>
      <c r="AM36" s="677"/>
      <c r="AN36" s="677"/>
      <c r="AO36" s="701"/>
      <c r="AQ36" s="102">
        <v>10</v>
      </c>
      <c r="AR36" s="143"/>
      <c r="AS36" s="143"/>
      <c r="AT36" s="143"/>
      <c r="AW36" s="214" t="e">
        <f>IF(SchmidtTheory!AZ19=SchmidtTheory!AW19,SchmidtTheory!BA19,"")</f>
        <v>#VALUE!</v>
      </c>
      <c r="AX36" s="214" t="str">
        <f>IF(SchmidtTheory!BE19=TRUE,SchmidtTheory!BF19,"")</f>
        <v/>
      </c>
      <c r="AY36" s="214" t="e">
        <f t="shared" si="0"/>
        <v>#VALUE!</v>
      </c>
      <c r="BB36" s="220" t="s">
        <v>480</v>
      </c>
      <c r="BC36" s="219">
        <v>219.1</v>
      </c>
      <c r="BD36" s="219">
        <v>8.18</v>
      </c>
      <c r="BE36" s="219">
        <v>12.7</v>
      </c>
      <c r="BF36" s="219">
        <v>22.2</v>
      </c>
      <c r="BG36" s="219"/>
      <c r="BH36" s="219">
        <v>6.35</v>
      </c>
      <c r="BI36" s="219">
        <v>7.04</v>
      </c>
      <c r="BJ36" s="219">
        <v>8.18</v>
      </c>
      <c r="BK36" s="219">
        <v>10.3</v>
      </c>
      <c r="BL36" s="219">
        <v>12.7</v>
      </c>
      <c r="BM36" s="219">
        <v>15.1</v>
      </c>
      <c r="BN36" s="219">
        <v>18.2</v>
      </c>
      <c r="BO36" s="219">
        <v>20.6</v>
      </c>
      <c r="BP36" s="218">
        <v>23</v>
      </c>
    </row>
    <row r="37" spans="2:68" ht="12.75" customHeight="1" x14ac:dyDescent="0.2">
      <c r="B37" s="223">
        <v>25</v>
      </c>
      <c r="C37" s="723"/>
      <c r="D37" s="704" t="s">
        <v>588</v>
      </c>
      <c r="E37" s="696"/>
      <c r="F37" s="696"/>
      <c r="G37" s="696"/>
      <c r="H37" s="677"/>
      <c r="I37" s="677"/>
      <c r="J37" s="677"/>
      <c r="K37" s="677"/>
      <c r="L37" s="677"/>
      <c r="M37" s="677"/>
      <c r="N37" s="677"/>
      <c r="O37" s="677"/>
      <c r="P37" s="677"/>
      <c r="Q37" s="677"/>
      <c r="R37" s="677"/>
      <c r="S37" s="677"/>
      <c r="T37" s="677"/>
      <c r="U37" s="678"/>
      <c r="V37" s="225">
        <v>65</v>
      </c>
      <c r="W37" s="761"/>
      <c r="X37" s="717" t="s">
        <v>587</v>
      </c>
      <c r="Y37" s="732"/>
      <c r="Z37" s="732"/>
      <c r="AA37" s="732"/>
      <c r="AB37" s="732"/>
      <c r="AC37" s="738" t="s">
        <v>586</v>
      </c>
      <c r="AD37" s="728"/>
      <c r="AE37" s="728"/>
      <c r="AF37" s="728"/>
      <c r="AG37" s="728"/>
      <c r="AH37" s="739" t="s">
        <v>585</v>
      </c>
      <c r="AI37" s="739"/>
      <c r="AJ37" s="739"/>
      <c r="AK37" s="677"/>
      <c r="AL37" s="677"/>
      <c r="AM37" s="677"/>
      <c r="AN37" s="677"/>
      <c r="AO37" s="701"/>
      <c r="AQ37" s="102">
        <v>5</v>
      </c>
      <c r="AR37" s="143"/>
      <c r="AS37" s="143"/>
      <c r="AT37" s="143"/>
      <c r="AW37" s="214" t="e">
        <f>IF(SchmidtTheory!AZ20=SchmidtTheory!AW20,SchmidtTheory!BA20,"")</f>
        <v>#VALUE!</v>
      </c>
      <c r="AX37" s="214" t="str">
        <f>IF(SchmidtTheory!BE20=TRUE,SchmidtTheory!BF20,"")</f>
        <v/>
      </c>
      <c r="AY37" s="214" t="e">
        <f t="shared" si="0"/>
        <v>#VALUE!</v>
      </c>
      <c r="BB37" s="220" t="s">
        <v>478</v>
      </c>
      <c r="BC37" s="219">
        <v>273</v>
      </c>
      <c r="BD37" s="219">
        <v>9.27</v>
      </c>
      <c r="BE37" s="219">
        <v>12.7</v>
      </c>
      <c r="BF37" s="219"/>
      <c r="BG37" s="219"/>
      <c r="BH37" s="219">
        <v>6.35</v>
      </c>
      <c r="BI37" s="219">
        <v>7.8</v>
      </c>
      <c r="BJ37" s="219">
        <v>9.27</v>
      </c>
      <c r="BK37" s="219">
        <v>12.7</v>
      </c>
      <c r="BL37" s="219">
        <v>15.1</v>
      </c>
      <c r="BM37" s="219">
        <v>18.2</v>
      </c>
      <c r="BN37" s="219">
        <v>21.4</v>
      </c>
      <c r="BO37" s="219">
        <v>25.4</v>
      </c>
      <c r="BP37" s="218">
        <v>28.6</v>
      </c>
    </row>
    <row r="38" spans="2:68" ht="12.75" customHeight="1" x14ac:dyDescent="0.2">
      <c r="B38" s="223">
        <v>26</v>
      </c>
      <c r="C38" s="723"/>
      <c r="D38" s="717" t="s">
        <v>584</v>
      </c>
      <c r="E38" s="718"/>
      <c r="F38" s="718"/>
      <c r="G38" s="718"/>
      <c r="H38" s="728" t="s">
        <v>583</v>
      </c>
      <c r="I38" s="728"/>
      <c r="J38" s="728"/>
      <c r="K38" s="728"/>
      <c r="L38" s="728"/>
      <c r="M38" s="728"/>
      <c r="N38" s="728"/>
      <c r="O38" s="728"/>
      <c r="P38" s="728"/>
      <c r="Q38" s="728"/>
      <c r="R38" s="728"/>
      <c r="S38" s="728"/>
      <c r="T38" s="728"/>
      <c r="U38" s="729"/>
      <c r="V38" s="225">
        <v>66</v>
      </c>
      <c r="W38" s="761"/>
      <c r="X38" s="679"/>
      <c r="Y38" s="680"/>
      <c r="Z38" s="680"/>
      <c r="AA38" s="680"/>
      <c r="AB38" s="680"/>
      <c r="AC38" s="680"/>
      <c r="AD38" s="680"/>
      <c r="AE38" s="680"/>
      <c r="AF38" s="680"/>
      <c r="AG38" s="680"/>
      <c r="AH38" s="680"/>
      <c r="AI38" s="680"/>
      <c r="AJ38" s="680"/>
      <c r="AK38" s="680"/>
      <c r="AL38" s="680"/>
      <c r="AM38" s="680"/>
      <c r="AN38" s="680"/>
      <c r="AO38" s="681"/>
      <c r="AQ38" s="102">
        <v>3</v>
      </c>
      <c r="AR38" s="143"/>
      <c r="AS38" s="143"/>
      <c r="AT38" s="143"/>
      <c r="AW38" s="214" t="e">
        <f>IF(SchmidtTheory!AZ21=SchmidtTheory!AW21,SchmidtTheory!BA21,"")</f>
        <v>#VALUE!</v>
      </c>
      <c r="AX38" s="214" t="str">
        <f>IF(SchmidtTheory!BE21=TRUE,SchmidtTheory!BF21,"")</f>
        <v/>
      </c>
      <c r="AY38" s="214" t="e">
        <f t="shared" si="0"/>
        <v>#VALUE!</v>
      </c>
      <c r="BB38" s="220" t="s">
        <v>476</v>
      </c>
      <c r="BC38" s="219">
        <v>323.8</v>
      </c>
      <c r="BD38" s="219">
        <v>9.52</v>
      </c>
      <c r="BE38" s="219">
        <v>12.7</v>
      </c>
      <c r="BF38" s="219"/>
      <c r="BG38" s="219"/>
      <c r="BH38" s="226">
        <v>6.35</v>
      </c>
      <c r="BI38" s="219">
        <v>8.3800000000000008</v>
      </c>
      <c r="BJ38" s="219">
        <v>10.3</v>
      </c>
      <c r="BK38" s="219">
        <v>14.3</v>
      </c>
      <c r="BL38" s="219">
        <v>17.399999999999999</v>
      </c>
      <c r="BM38" s="219">
        <v>21.4</v>
      </c>
      <c r="BN38" s="219">
        <v>25.4</v>
      </c>
      <c r="BO38" s="219">
        <v>28.6</v>
      </c>
      <c r="BP38" s="218">
        <v>33.299999999999997</v>
      </c>
    </row>
    <row r="39" spans="2:68" ht="12.75" customHeight="1" x14ac:dyDescent="0.2">
      <c r="B39" s="753">
        <v>27</v>
      </c>
      <c r="C39" s="723"/>
      <c r="D39" s="704" t="s">
        <v>582</v>
      </c>
      <c r="E39" s="705"/>
      <c r="F39" s="705"/>
      <c r="G39" s="705"/>
      <c r="H39" s="698"/>
      <c r="I39" s="698"/>
      <c r="J39" s="698"/>
      <c r="K39" s="698"/>
      <c r="L39" s="698"/>
      <c r="M39" s="698"/>
      <c r="N39" s="698"/>
      <c r="O39" s="698"/>
      <c r="P39" s="698"/>
      <c r="Q39" s="698"/>
      <c r="R39" s="698"/>
      <c r="S39" s="698"/>
      <c r="T39" s="698"/>
      <c r="U39" s="756"/>
      <c r="V39" s="758">
        <v>67</v>
      </c>
      <c r="W39" s="749" t="s">
        <v>581</v>
      </c>
      <c r="X39" s="724" t="s">
        <v>580</v>
      </c>
      <c r="Y39" s="740"/>
      <c r="Z39" s="740"/>
      <c r="AA39" s="743"/>
      <c r="AB39" s="743"/>
      <c r="AC39" s="743"/>
      <c r="AD39" s="743"/>
      <c r="AE39" s="743"/>
      <c r="AF39" s="743"/>
      <c r="AG39" s="743"/>
      <c r="AH39" s="743"/>
      <c r="AI39" s="743"/>
      <c r="AJ39" s="743"/>
      <c r="AK39" s="743"/>
      <c r="AL39" s="743"/>
      <c r="AM39" s="743"/>
      <c r="AN39" s="743"/>
      <c r="AO39" s="744"/>
      <c r="AQ39" s="143"/>
      <c r="AR39" s="143"/>
      <c r="AS39" s="143"/>
      <c r="AT39" s="143"/>
      <c r="AU39" s="143"/>
      <c r="AV39" s="143"/>
      <c r="AW39" s="214" t="e">
        <f>IF(SchmidtTheory!AZ22=SchmidtTheory!AW22,SchmidtTheory!BA22,"")</f>
        <v>#VALUE!</v>
      </c>
      <c r="AX39" s="214" t="str">
        <f>IF(SchmidtTheory!BE22=TRUE,SchmidtTheory!BF22,"")</f>
        <v/>
      </c>
      <c r="AY39" s="214" t="e">
        <f t="shared" si="0"/>
        <v>#VALUE!</v>
      </c>
      <c r="AZ39" s="143"/>
      <c r="BA39" s="143"/>
      <c r="BB39" s="220" t="s">
        <v>487</v>
      </c>
      <c r="BC39" s="219">
        <v>355.6</v>
      </c>
      <c r="BD39" s="219">
        <v>9.52</v>
      </c>
      <c r="BE39" s="219">
        <v>12.7</v>
      </c>
      <c r="BF39" s="219"/>
      <c r="BG39" s="219">
        <v>6.35</v>
      </c>
      <c r="BH39" s="219">
        <v>7.92</v>
      </c>
      <c r="BI39" s="219">
        <v>9.52</v>
      </c>
      <c r="BJ39" s="219">
        <v>11.1</v>
      </c>
      <c r="BK39" s="219">
        <v>15.1</v>
      </c>
      <c r="BL39" s="219">
        <v>19</v>
      </c>
      <c r="BM39" s="219">
        <v>23.8</v>
      </c>
      <c r="BN39" s="219">
        <v>27.8</v>
      </c>
      <c r="BO39" s="219">
        <v>31.8</v>
      </c>
      <c r="BP39" s="218">
        <v>35.700000000000003</v>
      </c>
    </row>
    <row r="40" spans="2:68" ht="12.75" customHeight="1" x14ac:dyDescent="0.2">
      <c r="B40" s="754"/>
      <c r="C40" s="723"/>
      <c r="D40" s="755"/>
      <c r="E40" s="705"/>
      <c r="F40" s="705"/>
      <c r="G40" s="705"/>
      <c r="H40" s="698"/>
      <c r="I40" s="698"/>
      <c r="J40" s="698"/>
      <c r="K40" s="698"/>
      <c r="L40" s="698"/>
      <c r="M40" s="698"/>
      <c r="N40" s="698"/>
      <c r="O40" s="698"/>
      <c r="P40" s="698"/>
      <c r="Q40" s="698"/>
      <c r="R40" s="698"/>
      <c r="S40" s="698"/>
      <c r="T40" s="698"/>
      <c r="U40" s="756"/>
      <c r="V40" s="758"/>
      <c r="W40" s="749"/>
      <c r="X40" s="741"/>
      <c r="Y40" s="742"/>
      <c r="Z40" s="742"/>
      <c r="AA40" s="745"/>
      <c r="AB40" s="745"/>
      <c r="AC40" s="745"/>
      <c r="AD40" s="745"/>
      <c r="AE40" s="745"/>
      <c r="AF40" s="745"/>
      <c r="AG40" s="745"/>
      <c r="AH40" s="745"/>
      <c r="AI40" s="745"/>
      <c r="AJ40" s="745"/>
      <c r="AK40" s="745"/>
      <c r="AL40" s="745"/>
      <c r="AM40" s="745"/>
      <c r="AN40" s="745"/>
      <c r="AO40" s="746"/>
      <c r="AQ40" s="250" t="s">
        <v>579</v>
      </c>
      <c r="AR40" s="250" t="s">
        <v>578</v>
      </c>
      <c r="AS40" s="250" t="s">
        <v>577</v>
      </c>
      <c r="AT40" s="247" t="s">
        <v>576</v>
      </c>
      <c r="AU40" s="250" t="s">
        <v>575</v>
      </c>
      <c r="AV40" s="247" t="s">
        <v>574</v>
      </c>
      <c r="AW40" s="248" t="str">
        <f>IF(SchmidtTheory!AZ23=SchmidtTheory!AW23,SchmidtTheory!BA23,"")</f>
        <v/>
      </c>
      <c r="AX40" s="214" t="str">
        <f>IF(SchmidtTheory!BE23=TRUE,SchmidtTheory!BF23,"")</f>
        <v/>
      </c>
      <c r="AY40" s="214" t="str">
        <f t="shared" si="0"/>
        <v/>
      </c>
      <c r="AZ40" s="143"/>
      <c r="BA40" s="143"/>
      <c r="BB40" s="220" t="s">
        <v>484</v>
      </c>
      <c r="BC40" s="219">
        <v>406.4</v>
      </c>
      <c r="BD40" s="219">
        <v>9.52</v>
      </c>
      <c r="BE40" s="219">
        <v>12.7</v>
      </c>
      <c r="BF40" s="219"/>
      <c r="BG40" s="219">
        <v>6.35</v>
      </c>
      <c r="BH40" s="219">
        <v>7.92</v>
      </c>
      <c r="BI40" s="219">
        <v>9.52</v>
      </c>
      <c r="BJ40" s="219">
        <v>12.7</v>
      </c>
      <c r="BK40" s="219">
        <v>16.7</v>
      </c>
      <c r="BL40" s="219">
        <v>21.4</v>
      </c>
      <c r="BM40" s="219">
        <v>26.2</v>
      </c>
      <c r="BN40" s="219">
        <v>30.9</v>
      </c>
      <c r="BO40" s="219">
        <v>36.5</v>
      </c>
      <c r="BP40" s="218">
        <v>40.5</v>
      </c>
    </row>
    <row r="41" spans="2:68" ht="12.75" customHeight="1" x14ac:dyDescent="0.2">
      <c r="B41" s="223">
        <v>28</v>
      </c>
      <c r="C41" s="723"/>
      <c r="D41" s="704" t="s">
        <v>573</v>
      </c>
      <c r="E41" s="705"/>
      <c r="F41" s="705"/>
      <c r="G41" s="705"/>
      <c r="H41" s="697"/>
      <c r="I41" s="698"/>
      <c r="J41" s="698"/>
      <c r="K41" s="698"/>
      <c r="L41" s="698"/>
      <c r="M41" s="698"/>
      <c r="N41" s="721" t="s">
        <v>572</v>
      </c>
      <c r="O41" s="722"/>
      <c r="P41" s="697"/>
      <c r="Q41" s="698"/>
      <c r="R41" s="698"/>
      <c r="S41" s="698"/>
      <c r="T41" s="698"/>
      <c r="U41" s="756"/>
      <c r="V41" s="225">
        <v>68</v>
      </c>
      <c r="W41" s="749"/>
      <c r="X41" s="724" t="s">
        <v>558</v>
      </c>
      <c r="Y41" s="725"/>
      <c r="Z41" s="736" t="s">
        <v>571</v>
      </c>
      <c r="AA41" s="736"/>
      <c r="AB41" s="736"/>
      <c r="AC41" s="736"/>
      <c r="AD41" s="736"/>
      <c r="AE41" s="736"/>
      <c r="AF41" s="736"/>
      <c r="AG41" s="736"/>
      <c r="AH41" s="736"/>
      <c r="AI41" s="736"/>
      <c r="AJ41" s="736"/>
      <c r="AK41" s="736"/>
      <c r="AL41" s="736"/>
      <c r="AM41" s="736"/>
      <c r="AN41" s="736"/>
      <c r="AO41" s="737"/>
      <c r="AQ41" s="111">
        <f>F46</f>
        <v>50</v>
      </c>
      <c r="AR41" s="111">
        <f>J29</f>
        <v>20</v>
      </c>
      <c r="AS41" s="111" t="str">
        <f>J48</f>
        <v>Unbalanced</v>
      </c>
      <c r="AT41" s="249">
        <v>0.05</v>
      </c>
      <c r="AU41" s="111" t="str">
        <f>P29</f>
        <v>PN25</v>
      </c>
      <c r="AV41" s="111" t="str">
        <f>H43</f>
        <v>Standard</v>
      </c>
      <c r="AW41" s="248" t="str">
        <f>IF(SchmidtTheory!AZ24=SchmidtTheory!AW24,SchmidtTheory!BA24,"")</f>
        <v/>
      </c>
      <c r="AX41" s="214" t="str">
        <f>IF(SchmidtTheory!BE24=TRUE,SchmidtTheory!BF24,"")</f>
        <v/>
      </c>
      <c r="AY41" s="214" t="str">
        <f t="shared" si="0"/>
        <v/>
      </c>
      <c r="AZ41" s="143"/>
      <c r="BA41" s="143"/>
      <c r="BB41" s="220" t="s">
        <v>479</v>
      </c>
      <c r="BC41" s="219">
        <v>457.2</v>
      </c>
      <c r="BD41" s="219">
        <v>9.52</v>
      </c>
      <c r="BE41" s="219">
        <v>12.7</v>
      </c>
      <c r="BF41" s="219"/>
      <c r="BG41" s="219">
        <v>6.35</v>
      </c>
      <c r="BH41" s="219">
        <v>7.92</v>
      </c>
      <c r="BI41" s="219">
        <v>11.1</v>
      </c>
      <c r="BJ41" s="219">
        <v>14.3</v>
      </c>
      <c r="BK41" s="219">
        <v>19</v>
      </c>
      <c r="BL41" s="219">
        <v>23.8</v>
      </c>
      <c r="BM41" s="219">
        <v>29.4</v>
      </c>
      <c r="BN41" s="219">
        <v>34.9</v>
      </c>
      <c r="BO41" s="219">
        <v>39.700000000000003</v>
      </c>
      <c r="BP41" s="218">
        <v>45.2</v>
      </c>
    </row>
    <row r="42" spans="2:68" ht="12.75" customHeight="1" x14ac:dyDescent="0.2">
      <c r="B42" s="223">
        <v>29</v>
      </c>
      <c r="C42" s="723"/>
      <c r="D42" s="717" t="s">
        <v>570</v>
      </c>
      <c r="E42" s="718"/>
      <c r="F42" s="718"/>
      <c r="G42" s="718"/>
      <c r="H42" s="718"/>
      <c r="I42" s="747" t="str">
        <f>'Valve body'!K8</f>
        <v>ASTM A395</v>
      </c>
      <c r="J42" s="747"/>
      <c r="K42" s="747"/>
      <c r="L42" s="747"/>
      <c r="M42" s="747"/>
      <c r="N42" s="747"/>
      <c r="O42" s="747"/>
      <c r="P42" s="747"/>
      <c r="Q42" s="747"/>
      <c r="R42" s="747"/>
      <c r="S42" s="747"/>
      <c r="T42" s="747"/>
      <c r="U42" s="748"/>
      <c r="V42" s="225">
        <v>69</v>
      </c>
      <c r="W42" s="749"/>
      <c r="X42" s="704" t="s">
        <v>521</v>
      </c>
      <c r="Y42" s="696"/>
      <c r="Z42" s="696"/>
      <c r="AA42" s="696"/>
      <c r="AB42" s="697"/>
      <c r="AC42" s="697"/>
      <c r="AD42" s="697"/>
      <c r="AE42" s="697"/>
      <c r="AF42" s="697"/>
      <c r="AG42" s="697"/>
      <c r="AH42" s="697"/>
      <c r="AI42" s="697"/>
      <c r="AJ42" s="697"/>
      <c r="AK42" s="697"/>
      <c r="AL42" s="697"/>
      <c r="AM42" s="697"/>
      <c r="AN42" s="697"/>
      <c r="AO42" s="699"/>
      <c r="AQ42" s="143"/>
      <c r="AR42" s="143"/>
      <c r="AS42" s="143"/>
      <c r="AT42" s="111">
        <v>0.1</v>
      </c>
      <c r="AU42" s="143"/>
      <c r="AV42" s="143"/>
      <c r="AW42" s="214" t="e">
        <f>IF(SchmidtTheory!AZ25=SchmidtTheory!AW25,SchmidtTheory!BA25,"")</f>
        <v>#VALUE!</v>
      </c>
      <c r="AX42" s="214" t="str">
        <f>IF(SchmidtTheory!BE25=TRUE,SchmidtTheory!BF25,"")</f>
        <v/>
      </c>
      <c r="AY42" s="214" t="e">
        <f t="shared" si="0"/>
        <v>#VALUE!</v>
      </c>
      <c r="AZ42" s="143"/>
      <c r="BA42" s="143"/>
      <c r="BB42" s="220" t="s">
        <v>477</v>
      </c>
      <c r="BC42" s="219">
        <v>508</v>
      </c>
      <c r="BD42" s="219">
        <v>9.52</v>
      </c>
      <c r="BE42" s="219">
        <v>12.7</v>
      </c>
      <c r="BF42" s="219"/>
      <c r="BG42" s="219">
        <v>6.35</v>
      </c>
      <c r="BH42" s="219">
        <v>9.52</v>
      </c>
      <c r="BI42" s="219">
        <v>12.7</v>
      </c>
      <c r="BJ42" s="219">
        <v>15.1</v>
      </c>
      <c r="BK42" s="219">
        <v>20.6</v>
      </c>
      <c r="BL42" s="219">
        <v>26.2</v>
      </c>
      <c r="BM42" s="219">
        <v>32.5</v>
      </c>
      <c r="BN42" s="219">
        <v>38.1</v>
      </c>
      <c r="BO42" s="219">
        <v>44.4</v>
      </c>
      <c r="BP42" s="218">
        <v>50</v>
      </c>
    </row>
    <row r="43" spans="2:68" ht="12.75" customHeight="1" thickBot="1" x14ac:dyDescent="0.25">
      <c r="B43" s="223">
        <v>30</v>
      </c>
      <c r="C43" s="723"/>
      <c r="D43" s="717" t="s">
        <v>568</v>
      </c>
      <c r="E43" s="718"/>
      <c r="F43" s="718"/>
      <c r="G43" s="718"/>
      <c r="H43" s="747" t="str">
        <f>'Valve body'!K5</f>
        <v>Standard</v>
      </c>
      <c r="I43" s="747"/>
      <c r="J43" s="747"/>
      <c r="K43" s="747"/>
      <c r="L43" s="747"/>
      <c r="M43" s="747"/>
      <c r="N43" s="747"/>
      <c r="O43" s="747"/>
      <c r="P43" s="747"/>
      <c r="Q43" s="747"/>
      <c r="R43" s="747"/>
      <c r="S43" s="747"/>
      <c r="T43" s="747"/>
      <c r="U43" s="748"/>
      <c r="V43" s="225">
        <v>70</v>
      </c>
      <c r="W43" s="749"/>
      <c r="X43" s="704" t="s">
        <v>566</v>
      </c>
      <c r="Y43" s="696"/>
      <c r="Z43" s="696"/>
      <c r="AA43" s="696"/>
      <c r="AB43" s="696"/>
      <c r="AC43" s="696"/>
      <c r="AD43" s="696"/>
      <c r="AE43" s="696"/>
      <c r="AF43" s="696"/>
      <c r="AG43" s="677"/>
      <c r="AH43" s="677"/>
      <c r="AI43" s="677"/>
      <c r="AJ43" s="677"/>
      <c r="AK43" s="677"/>
      <c r="AL43" s="677"/>
      <c r="AM43" s="677"/>
      <c r="AN43" s="677"/>
      <c r="AO43" s="701"/>
      <c r="AQ43" s="143"/>
      <c r="AR43" s="143"/>
      <c r="AS43" s="143"/>
      <c r="AT43" s="143"/>
      <c r="AU43" s="143"/>
      <c r="AV43" s="143"/>
      <c r="AW43" s="214" t="e">
        <f>IF(SchmidtTheory!AZ26=SchmidtTheory!AW26,SchmidtTheory!BA26,"")</f>
        <v>#VALUE!</v>
      </c>
      <c r="AX43" s="214" t="str">
        <f>IF(SchmidtTheory!BE26=TRUE,SchmidtTheory!BF26,"")</f>
        <v/>
      </c>
      <c r="AY43" s="214" t="e">
        <f t="shared" si="0"/>
        <v>#VALUE!</v>
      </c>
      <c r="AZ43" s="143"/>
      <c r="BA43" s="143"/>
      <c r="BB43" s="217" t="s">
        <v>475</v>
      </c>
      <c r="BC43" s="216">
        <v>609.6</v>
      </c>
      <c r="BD43" s="216">
        <v>9.52</v>
      </c>
      <c r="BE43" s="216">
        <v>12.7</v>
      </c>
      <c r="BF43" s="216"/>
      <c r="BG43" s="216">
        <v>6.35</v>
      </c>
      <c r="BH43" s="216">
        <v>9.52</v>
      </c>
      <c r="BI43" s="216">
        <v>14.3</v>
      </c>
      <c r="BJ43" s="216">
        <v>17.399999999999999</v>
      </c>
      <c r="BK43" s="216">
        <v>24.6</v>
      </c>
      <c r="BL43" s="216">
        <v>30.9</v>
      </c>
      <c r="BM43" s="216">
        <v>38.9</v>
      </c>
      <c r="BN43" s="216">
        <v>46</v>
      </c>
      <c r="BO43" s="216">
        <v>52.4</v>
      </c>
      <c r="BP43" s="215">
        <v>59.5</v>
      </c>
    </row>
    <row r="44" spans="2:68" ht="12.75" customHeight="1" thickBot="1" x14ac:dyDescent="0.25">
      <c r="B44" s="223">
        <v>31</v>
      </c>
      <c r="C44" s="723"/>
      <c r="D44" s="679"/>
      <c r="E44" s="680"/>
      <c r="F44" s="680"/>
      <c r="G44" s="680"/>
      <c r="H44" s="680"/>
      <c r="I44" s="680"/>
      <c r="J44" s="680"/>
      <c r="K44" s="680"/>
      <c r="L44" s="680"/>
      <c r="M44" s="680"/>
      <c r="N44" s="680"/>
      <c r="O44" s="680"/>
      <c r="P44" s="680"/>
      <c r="Q44" s="680"/>
      <c r="R44" s="680"/>
      <c r="S44" s="680"/>
      <c r="T44" s="680"/>
      <c r="U44" s="706"/>
      <c r="V44" s="225">
        <v>71</v>
      </c>
      <c r="W44" s="749"/>
      <c r="X44" s="704" t="s">
        <v>565</v>
      </c>
      <c r="Y44" s="705"/>
      <c r="Z44" s="697"/>
      <c r="AA44" s="698"/>
      <c r="AB44" s="698"/>
      <c r="AC44" s="698"/>
      <c r="AD44" s="698"/>
      <c r="AE44" s="698"/>
      <c r="AF44" s="698"/>
      <c r="AG44" s="227"/>
      <c r="AH44" s="696" t="s">
        <v>564</v>
      </c>
      <c r="AI44" s="696"/>
      <c r="AJ44" s="696"/>
      <c r="AK44" s="677"/>
      <c r="AL44" s="677"/>
      <c r="AM44" s="677"/>
      <c r="AN44" s="677"/>
      <c r="AO44" s="701"/>
      <c r="AQ44" s="143" t="s">
        <v>563</v>
      </c>
      <c r="AR44" s="143" t="s">
        <v>562</v>
      </c>
      <c r="AS44" s="247" t="s">
        <v>561</v>
      </c>
      <c r="AT44" s="247" t="s">
        <v>560</v>
      </c>
      <c r="AU44" s="143"/>
      <c r="AV44" s="143"/>
      <c r="AW44" s="214" t="e">
        <f>IF(SchmidtTheory!AZ27=SchmidtTheory!AW27,SchmidtTheory!BA27,"")</f>
        <v>#VALUE!</v>
      </c>
      <c r="AX44" s="214" t="str">
        <f>IF(SchmidtTheory!BE27=TRUE,SchmidtTheory!BF27,"")</f>
        <v/>
      </c>
      <c r="AY44" s="214" t="e">
        <f t="shared" si="0"/>
        <v>#VALUE!</v>
      </c>
      <c r="AZ44" s="143"/>
      <c r="BA44" s="143"/>
      <c r="BB44" s="188"/>
      <c r="BC44" s="188"/>
      <c r="BD44" s="188"/>
      <c r="BE44" s="188"/>
      <c r="BF44" s="188"/>
      <c r="BG44" s="188"/>
      <c r="BH44" s="188"/>
      <c r="BI44" s="188"/>
      <c r="BJ44" s="188"/>
      <c r="BK44" s="188"/>
      <c r="BL44" s="188"/>
      <c r="BM44" s="188"/>
      <c r="BN44" s="188"/>
      <c r="BO44" s="188"/>
      <c r="BP44" s="188"/>
    </row>
    <row r="45" spans="2:68" ht="12.75" customHeight="1" thickBot="1" x14ac:dyDescent="0.25">
      <c r="B45" s="223">
        <v>32</v>
      </c>
      <c r="C45" s="723" t="s">
        <v>559</v>
      </c>
      <c r="D45" s="724" t="s">
        <v>558</v>
      </c>
      <c r="E45" s="725"/>
      <c r="F45" s="726" t="s">
        <v>557</v>
      </c>
      <c r="G45" s="726"/>
      <c r="H45" s="726"/>
      <c r="I45" s="726"/>
      <c r="J45" s="726"/>
      <c r="K45" s="726"/>
      <c r="L45" s="726"/>
      <c r="M45" s="726"/>
      <c r="N45" s="726"/>
      <c r="O45" s="726"/>
      <c r="P45" s="726"/>
      <c r="Q45" s="726"/>
      <c r="R45" s="726"/>
      <c r="S45" s="726"/>
      <c r="T45" s="726"/>
      <c r="U45" s="727"/>
      <c r="V45" s="225">
        <v>72</v>
      </c>
      <c r="W45" s="749"/>
      <c r="X45" s="704" t="s">
        <v>556</v>
      </c>
      <c r="Y45" s="705"/>
      <c r="Z45" s="705"/>
      <c r="AA45" s="705"/>
      <c r="AB45" s="705"/>
      <c r="AC45" s="697"/>
      <c r="AD45" s="698"/>
      <c r="AE45" s="698"/>
      <c r="AF45" s="698"/>
      <c r="AG45" s="698"/>
      <c r="AH45" s="698"/>
      <c r="AI45" s="698"/>
      <c r="AJ45" s="698"/>
      <c r="AK45" s="698"/>
      <c r="AL45" s="698"/>
      <c r="AM45" s="698"/>
      <c r="AN45" s="698"/>
      <c r="AO45" s="699"/>
      <c r="AQ45" s="143">
        <v>15</v>
      </c>
      <c r="AR45" s="143">
        <v>16</v>
      </c>
      <c r="AS45" s="246" t="s">
        <v>555</v>
      </c>
      <c r="AT45" s="246" t="s">
        <v>554</v>
      </c>
      <c r="AU45" s="143"/>
      <c r="AV45" s="143"/>
      <c r="AW45" s="214" t="e">
        <f>IF(SchmidtTheory!AZ28=SchmidtTheory!AW28,SchmidtTheory!BA28,"")</f>
        <v>#VALUE!</v>
      </c>
      <c r="AX45" s="214" t="str">
        <f>IF(SchmidtTheory!BE28=TRUE,SchmidtTheory!BF28,"")</f>
        <v/>
      </c>
      <c r="AY45" s="214" t="e">
        <f t="shared" si="0"/>
        <v>#VALUE!</v>
      </c>
      <c r="AZ45" s="143"/>
      <c r="BA45" s="143"/>
      <c r="BB45" s="693" t="s">
        <v>553</v>
      </c>
      <c r="BC45" s="694"/>
      <c r="BD45" s="694"/>
      <c r="BE45" s="694"/>
      <c r="BF45" s="694"/>
      <c r="BG45" s="695"/>
    </row>
    <row r="46" spans="2:68" ht="12.75" customHeight="1" x14ac:dyDescent="0.2">
      <c r="B46" s="223">
        <v>33</v>
      </c>
      <c r="C46" s="723"/>
      <c r="D46" s="717" t="s">
        <v>552</v>
      </c>
      <c r="E46" s="718"/>
      <c r="F46" s="728">
        <v>50</v>
      </c>
      <c r="G46" s="728"/>
      <c r="H46" s="728"/>
      <c r="I46" s="728"/>
      <c r="J46" s="728"/>
      <c r="K46" s="728"/>
      <c r="L46" s="719" t="s">
        <v>551</v>
      </c>
      <c r="M46" s="720"/>
      <c r="N46" s="720"/>
      <c r="O46" s="720"/>
      <c r="P46" s="751">
        <f>IF(F46&lt;AQ37,AR20,IF(F46&lt;AQ29,AS20,IF(F46&lt;AQ26,AT20,IF(F46&lt;AQ24,AU20,IF(F46&lt;AQ22,AV20,"Other")))))</f>
        <v>20</v>
      </c>
      <c r="Q46" s="751"/>
      <c r="R46" s="751"/>
      <c r="S46" s="751"/>
      <c r="T46" s="751"/>
      <c r="U46" s="752"/>
      <c r="V46" s="225">
        <v>73</v>
      </c>
      <c r="W46" s="750"/>
      <c r="X46" s="679"/>
      <c r="Y46" s="680"/>
      <c r="Z46" s="680"/>
      <c r="AA46" s="680"/>
      <c r="AB46" s="680"/>
      <c r="AC46" s="680"/>
      <c r="AD46" s="680"/>
      <c r="AE46" s="680"/>
      <c r="AF46" s="680"/>
      <c r="AG46" s="680"/>
      <c r="AH46" s="680"/>
      <c r="AI46" s="680"/>
      <c r="AJ46" s="680"/>
      <c r="AK46" s="680"/>
      <c r="AL46" s="680"/>
      <c r="AM46" s="680"/>
      <c r="AN46" s="680"/>
      <c r="AO46" s="681"/>
      <c r="AQ46" s="143">
        <v>20</v>
      </c>
      <c r="AR46" s="143">
        <v>40</v>
      </c>
      <c r="AS46" s="111">
        <f>AB34</f>
        <v>1.5</v>
      </c>
      <c r="AT46" s="111">
        <f>AJ34</f>
        <v>2.7</v>
      </c>
      <c r="AU46" s="143"/>
      <c r="AV46" s="143"/>
      <c r="AW46" s="214" t="str">
        <f>IF(SchmidtTheory!AZ29=SchmidtTheory!AW29,SchmidtTheory!BA29,"")</f>
        <v/>
      </c>
      <c r="AX46" s="214" t="str">
        <f>IF(SchmidtTheory!BE29=TRUE,SchmidtTheory!BF29,"")</f>
        <v/>
      </c>
      <c r="AY46" s="214" t="str">
        <f t="shared" si="0"/>
        <v/>
      </c>
      <c r="AZ46" s="143"/>
      <c r="BA46" s="143"/>
      <c r="BB46" s="112" t="s">
        <v>550</v>
      </c>
      <c r="BC46" s="245" t="s">
        <v>549</v>
      </c>
      <c r="BD46" s="245" t="s">
        <v>548</v>
      </c>
      <c r="BE46" s="245" t="s">
        <v>547</v>
      </c>
      <c r="BF46" s="245" t="s">
        <v>546</v>
      </c>
      <c r="BG46" s="244" t="s">
        <v>545</v>
      </c>
      <c r="BI46" s="243" t="s">
        <v>544</v>
      </c>
      <c r="BJ46" s="242"/>
      <c r="BK46" s="242"/>
      <c r="BL46" s="241"/>
    </row>
    <row r="47" spans="2:68" ht="12.75" customHeight="1" x14ac:dyDescent="0.2">
      <c r="B47" s="223">
        <v>34</v>
      </c>
      <c r="C47" s="723"/>
      <c r="D47" s="704" t="s">
        <v>543</v>
      </c>
      <c r="E47" s="696"/>
      <c r="F47" s="696"/>
      <c r="G47" s="696"/>
      <c r="H47" s="728" t="s">
        <v>1402</v>
      </c>
      <c r="I47" s="728"/>
      <c r="J47" s="728"/>
      <c r="K47" s="728"/>
      <c r="L47" s="728"/>
      <c r="M47" s="728"/>
      <c r="N47" s="728"/>
      <c r="O47" s="728"/>
      <c r="P47" s="728"/>
      <c r="Q47" s="728"/>
      <c r="R47" s="728"/>
      <c r="S47" s="728"/>
      <c r="T47" s="728"/>
      <c r="U47" s="729"/>
      <c r="V47" s="225">
        <v>74</v>
      </c>
      <c r="W47" s="675" t="s">
        <v>542</v>
      </c>
      <c r="X47" s="684" t="s">
        <v>541</v>
      </c>
      <c r="Y47" s="685"/>
      <c r="Z47" s="707"/>
      <c r="AA47" s="707"/>
      <c r="AB47" s="707"/>
      <c r="AC47" s="707"/>
      <c r="AD47" s="707"/>
      <c r="AE47" s="707"/>
      <c r="AF47" s="221"/>
      <c r="AG47" s="685" t="s">
        <v>540</v>
      </c>
      <c r="AH47" s="685"/>
      <c r="AI47" s="685"/>
      <c r="AJ47" s="707"/>
      <c r="AK47" s="707"/>
      <c r="AL47" s="707"/>
      <c r="AM47" s="707"/>
      <c r="AN47" s="707"/>
      <c r="AO47" s="708"/>
      <c r="AQ47" s="143">
        <v>25</v>
      </c>
      <c r="AR47" s="143">
        <v>100</v>
      </c>
      <c r="AS47" s="143"/>
      <c r="AT47" s="143"/>
      <c r="AU47" s="143"/>
      <c r="AV47" s="143"/>
      <c r="AW47" s="214" t="str">
        <f>IF(SchmidtTheory!AZ30=SchmidtTheory!AW30,SchmidtTheory!BA30,"")</f>
        <v/>
      </c>
      <c r="AX47" s="214" t="str">
        <f>IF(SchmidtTheory!BE30=TRUE,SchmidtTheory!BF30,"")</f>
        <v/>
      </c>
      <c r="AY47" s="214" t="str">
        <f t="shared" si="0"/>
        <v/>
      </c>
      <c r="AZ47" s="143"/>
      <c r="BA47" s="143"/>
      <c r="BB47" s="236" t="s">
        <v>539</v>
      </c>
      <c r="BC47" s="219">
        <v>10.3</v>
      </c>
      <c r="BD47" s="219"/>
      <c r="BE47" s="219">
        <v>1.24</v>
      </c>
      <c r="BF47" s="219">
        <v>1.73</v>
      </c>
      <c r="BG47" s="218">
        <v>2.41</v>
      </c>
      <c r="BI47" s="672">
        <f t="shared" ref="BI47:BI69" si="1">BC47-(BF47*2)</f>
        <v>6.8400000000000007</v>
      </c>
      <c r="BJ47" s="673"/>
      <c r="BK47" s="673"/>
      <c r="BL47" s="674"/>
    </row>
    <row r="48" spans="2:68" ht="12.75" customHeight="1" x14ac:dyDescent="0.2">
      <c r="B48" s="223">
        <v>35</v>
      </c>
      <c r="C48" s="723"/>
      <c r="D48" s="717" t="s">
        <v>538</v>
      </c>
      <c r="E48" s="732"/>
      <c r="F48" s="732"/>
      <c r="G48" s="732"/>
      <c r="H48" s="732"/>
      <c r="I48" s="732"/>
      <c r="J48" s="728" t="s">
        <v>537</v>
      </c>
      <c r="K48" s="702"/>
      <c r="L48" s="702"/>
      <c r="M48" s="702"/>
      <c r="N48" s="702"/>
      <c r="O48" s="702"/>
      <c r="P48" s="702"/>
      <c r="Q48" s="702"/>
      <c r="R48" s="702"/>
      <c r="S48" s="702"/>
      <c r="T48" s="702"/>
      <c r="U48" s="729"/>
      <c r="V48" s="225">
        <v>75</v>
      </c>
      <c r="W48" s="675"/>
      <c r="X48" s="704" t="s">
        <v>521</v>
      </c>
      <c r="Y48" s="696"/>
      <c r="Z48" s="696"/>
      <c r="AA48" s="696"/>
      <c r="AB48" s="677"/>
      <c r="AC48" s="700"/>
      <c r="AD48" s="700"/>
      <c r="AE48" s="700"/>
      <c r="AF48" s="700"/>
      <c r="AG48" s="700"/>
      <c r="AH48" s="700"/>
      <c r="AI48" s="700"/>
      <c r="AJ48" s="700"/>
      <c r="AK48" s="700"/>
      <c r="AL48" s="700"/>
      <c r="AM48" s="700"/>
      <c r="AN48" s="700"/>
      <c r="AO48" s="701"/>
      <c r="AQ48" s="143">
        <v>32</v>
      </c>
      <c r="AR48" s="143">
        <v>150</v>
      </c>
      <c r="AS48" s="240" t="s">
        <v>536</v>
      </c>
      <c r="AT48" s="239"/>
      <c r="AU48" s="238"/>
      <c r="AV48" s="143"/>
      <c r="AW48" s="214" t="str">
        <f>IF(SchmidtTheory!AZ31=SchmidtTheory!AW31,SchmidtTheory!BA31,"")</f>
        <v/>
      </c>
      <c r="AX48" s="214" t="str">
        <f>IF(SchmidtTheory!BE31=TRUE,SchmidtTheory!BF31,"")</f>
        <v/>
      </c>
      <c r="AY48" s="214" t="str">
        <f t="shared" si="0"/>
        <v/>
      </c>
      <c r="AZ48" s="143"/>
      <c r="BA48" s="143"/>
      <c r="BB48" s="220" t="s">
        <v>535</v>
      </c>
      <c r="BC48" s="219">
        <v>13.7</v>
      </c>
      <c r="BD48" s="219"/>
      <c r="BE48" s="219">
        <v>1.65</v>
      </c>
      <c r="BF48" s="219">
        <v>2.2400000000000002</v>
      </c>
      <c r="BG48" s="218">
        <v>3.02</v>
      </c>
      <c r="BI48" s="672">
        <f t="shared" si="1"/>
        <v>9.2199999999999989</v>
      </c>
      <c r="BJ48" s="673"/>
      <c r="BK48" s="673"/>
      <c r="BL48" s="674"/>
    </row>
    <row r="49" spans="2:64" ht="12.75" customHeight="1" x14ac:dyDescent="0.2">
      <c r="B49" s="223">
        <v>36</v>
      </c>
      <c r="C49" s="723"/>
      <c r="D49" s="704" t="s">
        <v>534</v>
      </c>
      <c r="E49" s="696"/>
      <c r="F49" s="227"/>
      <c r="G49" s="237" t="s">
        <v>1002</v>
      </c>
      <c r="H49" s="677"/>
      <c r="I49" s="677"/>
      <c r="J49" s="677"/>
      <c r="K49" s="227"/>
      <c r="L49" s="237" t="s">
        <v>533</v>
      </c>
      <c r="M49" s="730">
        <v>0.9</v>
      </c>
      <c r="N49" s="730"/>
      <c r="O49" s="730"/>
      <c r="P49" s="227"/>
      <c r="Q49" s="237" t="s">
        <v>532</v>
      </c>
      <c r="R49" s="728">
        <v>0.72</v>
      </c>
      <c r="S49" s="728"/>
      <c r="T49" s="728"/>
      <c r="U49" s="729"/>
      <c r="V49" s="225">
        <v>76</v>
      </c>
      <c r="W49" s="675"/>
      <c r="X49" s="704" t="s">
        <v>531</v>
      </c>
      <c r="Y49" s="696"/>
      <c r="Z49" s="696"/>
      <c r="AA49" s="696"/>
      <c r="AB49" s="696"/>
      <c r="AC49" s="697"/>
      <c r="AD49" s="698"/>
      <c r="AE49" s="698"/>
      <c r="AF49" s="698"/>
      <c r="AG49" s="698"/>
      <c r="AH49" s="698"/>
      <c r="AI49" s="698"/>
      <c r="AJ49" s="698"/>
      <c r="AK49" s="698"/>
      <c r="AL49" s="698"/>
      <c r="AM49" s="698"/>
      <c r="AN49" s="698"/>
      <c r="AO49" s="699"/>
      <c r="AQ49" s="143">
        <v>40</v>
      </c>
      <c r="AR49" s="143">
        <v>300</v>
      </c>
      <c r="AS49" s="235" t="s">
        <v>530</v>
      </c>
      <c r="AT49" s="150"/>
      <c r="AU49" s="234"/>
      <c r="AV49" s="143"/>
      <c r="AW49" s="214" t="str">
        <f>IF(SchmidtTheory!AZ32=SchmidtTheory!AW32,SchmidtTheory!BA32,"")</f>
        <v/>
      </c>
      <c r="AX49" s="214" t="str">
        <f>IF(SchmidtTheory!BE32=TRUE,SchmidtTheory!BF32,"")</f>
        <v/>
      </c>
      <c r="AY49" s="214" t="str">
        <f t="shared" si="0"/>
        <v/>
      </c>
      <c r="AZ49" s="143"/>
      <c r="BA49" s="143"/>
      <c r="BB49" s="220" t="s">
        <v>529</v>
      </c>
      <c r="BC49" s="219">
        <v>17.100000000000001</v>
      </c>
      <c r="BD49" s="219"/>
      <c r="BE49" s="219">
        <v>1.65</v>
      </c>
      <c r="BF49" s="219">
        <v>2.31</v>
      </c>
      <c r="BG49" s="218">
        <v>3.2</v>
      </c>
      <c r="BI49" s="672">
        <f t="shared" si="1"/>
        <v>12.48</v>
      </c>
      <c r="BJ49" s="673"/>
      <c r="BK49" s="673"/>
      <c r="BL49" s="674"/>
    </row>
    <row r="50" spans="2:64" ht="12.75" customHeight="1" x14ac:dyDescent="0.2">
      <c r="B50" s="223">
        <v>37</v>
      </c>
      <c r="C50" s="723"/>
      <c r="D50" s="704" t="s">
        <v>528</v>
      </c>
      <c r="E50" s="696"/>
      <c r="F50" s="696"/>
      <c r="G50" s="696"/>
      <c r="H50" s="696"/>
      <c r="I50" s="696"/>
      <c r="J50" s="731"/>
      <c r="K50" s="677"/>
      <c r="L50" s="700"/>
      <c r="M50" s="700"/>
      <c r="N50" s="700"/>
      <c r="O50" s="700"/>
      <c r="P50" s="700"/>
      <c r="Q50" s="700"/>
      <c r="R50" s="700"/>
      <c r="S50" s="700"/>
      <c r="T50" s="700"/>
      <c r="U50" s="678"/>
      <c r="V50" s="225">
        <v>77</v>
      </c>
      <c r="W50" s="675"/>
      <c r="X50" s="704" t="s">
        <v>527</v>
      </c>
      <c r="Y50" s="696"/>
      <c r="Z50" s="696"/>
      <c r="AA50" s="696"/>
      <c r="AB50" s="696"/>
      <c r="AC50" s="697"/>
      <c r="AD50" s="698"/>
      <c r="AE50" s="698"/>
      <c r="AF50" s="698"/>
      <c r="AG50" s="698"/>
      <c r="AH50" s="698"/>
      <c r="AI50" s="698"/>
      <c r="AJ50" s="698"/>
      <c r="AK50" s="698"/>
      <c r="AL50" s="698"/>
      <c r="AM50" s="698"/>
      <c r="AN50" s="698"/>
      <c r="AO50" s="699"/>
      <c r="AQ50" s="143">
        <v>50</v>
      </c>
      <c r="AR50" s="143">
        <v>600</v>
      </c>
      <c r="AS50" s="235" t="s">
        <v>526</v>
      </c>
      <c r="AT50" s="150"/>
      <c r="AU50" s="234"/>
      <c r="AV50" s="143"/>
      <c r="AW50" s="214" t="str">
        <f>IF(SchmidtTheory!AZ33=SchmidtTheory!AW33,SchmidtTheory!BA33,"")</f>
        <v/>
      </c>
      <c r="AX50" s="214" t="str">
        <f>IF(SchmidtTheory!BE33=TRUE,SchmidtTheory!BF33,"")</f>
        <v/>
      </c>
      <c r="AY50" s="214" t="str">
        <f t="shared" si="0"/>
        <v/>
      </c>
      <c r="AZ50" s="143"/>
      <c r="BA50" s="143"/>
      <c r="BB50" s="236" t="s">
        <v>500</v>
      </c>
      <c r="BC50" s="219">
        <v>21.3</v>
      </c>
      <c r="BD50" s="219">
        <v>1.65</v>
      </c>
      <c r="BE50" s="219">
        <v>2.1</v>
      </c>
      <c r="BF50" s="219">
        <v>2.77</v>
      </c>
      <c r="BG50" s="218">
        <v>3.73</v>
      </c>
      <c r="BI50" s="672">
        <f t="shared" si="1"/>
        <v>15.760000000000002</v>
      </c>
      <c r="BJ50" s="673"/>
      <c r="BK50" s="673"/>
      <c r="BL50" s="674"/>
    </row>
    <row r="51" spans="2:64" ht="12.75" customHeight="1" x14ac:dyDescent="0.2">
      <c r="B51" s="223">
        <v>38</v>
      </c>
      <c r="C51" s="723"/>
      <c r="D51" s="704" t="s">
        <v>525</v>
      </c>
      <c r="E51" s="696"/>
      <c r="F51" s="696"/>
      <c r="G51" s="696"/>
      <c r="H51" s="677"/>
      <c r="I51" s="677"/>
      <c r="J51" s="677"/>
      <c r="K51" s="677"/>
      <c r="L51" s="677"/>
      <c r="M51" s="677"/>
      <c r="N51" s="677"/>
      <c r="O51" s="677"/>
      <c r="P51" s="677"/>
      <c r="Q51" s="677"/>
      <c r="R51" s="677"/>
      <c r="S51" s="677"/>
      <c r="T51" s="677"/>
      <c r="U51" s="678"/>
      <c r="V51" s="225">
        <v>78</v>
      </c>
      <c r="W51" s="675"/>
      <c r="X51" s="679"/>
      <c r="Y51" s="680"/>
      <c r="Z51" s="680"/>
      <c r="AA51" s="680"/>
      <c r="AB51" s="680"/>
      <c r="AC51" s="680"/>
      <c r="AD51" s="680"/>
      <c r="AE51" s="680"/>
      <c r="AF51" s="680"/>
      <c r="AG51" s="680"/>
      <c r="AH51" s="680"/>
      <c r="AI51" s="680"/>
      <c r="AJ51" s="680"/>
      <c r="AK51" s="680"/>
      <c r="AL51" s="680"/>
      <c r="AM51" s="680"/>
      <c r="AN51" s="680"/>
      <c r="AO51" s="681"/>
      <c r="AQ51" s="143">
        <v>65</v>
      </c>
      <c r="AR51" s="143">
        <v>900</v>
      </c>
      <c r="AS51" s="235" t="s">
        <v>524</v>
      </c>
      <c r="AT51" s="150"/>
      <c r="AU51" s="234"/>
      <c r="AV51" s="143"/>
      <c r="AW51" s="214" t="str">
        <f>IF(SchmidtTheory!AZ34=SchmidtTheory!AW34,SchmidtTheory!BA34,"")</f>
        <v/>
      </c>
      <c r="AX51" s="214" t="str">
        <f>IF(SchmidtTheory!BE34=TRUE,SchmidtTheory!BF34,"")</f>
        <v/>
      </c>
      <c r="AY51" s="214" t="str">
        <f t="shared" si="0"/>
        <v/>
      </c>
      <c r="AZ51" s="143"/>
      <c r="BA51" s="143"/>
      <c r="BB51" s="220" t="s">
        <v>494</v>
      </c>
      <c r="BC51" s="219">
        <v>26.7</v>
      </c>
      <c r="BD51" s="219">
        <v>1.65</v>
      </c>
      <c r="BE51" s="219">
        <v>2.1</v>
      </c>
      <c r="BF51" s="219">
        <v>2.87</v>
      </c>
      <c r="BG51" s="218">
        <v>3.91</v>
      </c>
      <c r="BI51" s="672">
        <f t="shared" si="1"/>
        <v>20.96</v>
      </c>
      <c r="BJ51" s="673"/>
      <c r="BK51" s="673"/>
      <c r="BL51" s="674"/>
    </row>
    <row r="52" spans="2:64" ht="12.75" customHeight="1" x14ac:dyDescent="0.2">
      <c r="B52" s="223">
        <v>39</v>
      </c>
      <c r="C52" s="723"/>
      <c r="D52" s="704" t="s">
        <v>523</v>
      </c>
      <c r="E52" s="696"/>
      <c r="F52" s="696"/>
      <c r="G52" s="696"/>
      <c r="H52" s="696"/>
      <c r="I52" s="696"/>
      <c r="J52" s="677"/>
      <c r="K52" s="677"/>
      <c r="L52" s="677"/>
      <c r="M52" s="677"/>
      <c r="N52" s="677"/>
      <c r="O52" s="677"/>
      <c r="P52" s="677"/>
      <c r="Q52" s="677"/>
      <c r="R52" s="677"/>
      <c r="S52" s="677"/>
      <c r="T52" s="677"/>
      <c r="U52" s="678"/>
      <c r="V52" s="225">
        <v>79</v>
      </c>
      <c r="W52" s="675" t="s">
        <v>522</v>
      </c>
      <c r="X52" s="684" t="s">
        <v>521</v>
      </c>
      <c r="Y52" s="685"/>
      <c r="Z52" s="685"/>
      <c r="AA52" s="685"/>
      <c r="AB52" s="707"/>
      <c r="AC52" s="707"/>
      <c r="AD52" s="707"/>
      <c r="AE52" s="707"/>
      <c r="AF52" s="707"/>
      <c r="AG52" s="707"/>
      <c r="AH52" s="707"/>
      <c r="AI52" s="707"/>
      <c r="AJ52" s="707"/>
      <c r="AK52" s="707"/>
      <c r="AL52" s="707"/>
      <c r="AM52" s="707"/>
      <c r="AN52" s="707"/>
      <c r="AO52" s="708"/>
      <c r="AQ52" s="143">
        <v>80</v>
      </c>
      <c r="AR52" s="143">
        <v>1500</v>
      </c>
      <c r="AS52" s="235" t="s">
        <v>520</v>
      </c>
      <c r="AT52" s="150"/>
      <c r="AU52" s="234"/>
      <c r="AV52" s="143"/>
      <c r="AW52" s="214" t="str">
        <f>IF(SchmidtTheory!AZ35=SchmidtTheory!AW35,SchmidtTheory!BA35,"")</f>
        <v/>
      </c>
      <c r="AX52" s="214" t="str">
        <f>IF(SchmidtTheory!BE35=TRUE,SchmidtTheory!BF35,"")</f>
        <v/>
      </c>
      <c r="AY52" s="214" t="str">
        <f t="shared" si="0"/>
        <v/>
      </c>
      <c r="AZ52" s="143"/>
      <c r="BA52" s="143"/>
      <c r="BB52" s="220" t="s">
        <v>492</v>
      </c>
      <c r="BC52" s="219">
        <v>33.4</v>
      </c>
      <c r="BD52" s="219">
        <v>1.65</v>
      </c>
      <c r="BE52" s="219">
        <v>2.77</v>
      </c>
      <c r="BF52" s="219">
        <v>3.38</v>
      </c>
      <c r="BG52" s="218">
        <v>4.55</v>
      </c>
      <c r="BI52" s="672">
        <f t="shared" si="1"/>
        <v>26.64</v>
      </c>
      <c r="BJ52" s="673"/>
      <c r="BK52" s="673"/>
      <c r="BL52" s="674"/>
    </row>
    <row r="53" spans="2:64" ht="12.75" customHeight="1" x14ac:dyDescent="0.2">
      <c r="B53" s="223">
        <v>40</v>
      </c>
      <c r="C53" s="723"/>
      <c r="D53" s="704" t="s">
        <v>519</v>
      </c>
      <c r="E53" s="696"/>
      <c r="F53" s="696"/>
      <c r="G53" s="696"/>
      <c r="H53" s="677"/>
      <c r="I53" s="677"/>
      <c r="J53" s="677"/>
      <c r="K53" s="677"/>
      <c r="L53" s="677"/>
      <c r="M53" s="677"/>
      <c r="N53" s="677"/>
      <c r="O53" s="677"/>
      <c r="P53" s="677"/>
      <c r="Q53" s="677"/>
      <c r="R53" s="677"/>
      <c r="S53" s="677"/>
      <c r="T53" s="677"/>
      <c r="U53" s="678"/>
      <c r="V53" s="225">
        <v>80</v>
      </c>
      <c r="W53" s="675"/>
      <c r="X53" s="704" t="s">
        <v>518</v>
      </c>
      <c r="Y53" s="696"/>
      <c r="Z53" s="696"/>
      <c r="AA53" s="696"/>
      <c r="AB53" s="677"/>
      <c r="AC53" s="677"/>
      <c r="AD53" s="677"/>
      <c r="AE53" s="677"/>
      <c r="AF53" s="677"/>
      <c r="AG53" s="677"/>
      <c r="AH53" s="677"/>
      <c r="AI53" s="677"/>
      <c r="AJ53" s="677"/>
      <c r="AK53" s="677"/>
      <c r="AL53" s="677"/>
      <c r="AM53" s="677"/>
      <c r="AN53" s="677"/>
      <c r="AO53" s="701"/>
      <c r="AQ53" s="143">
        <v>100</v>
      </c>
      <c r="AR53" s="143"/>
      <c r="AS53" s="235" t="s">
        <v>517</v>
      </c>
      <c r="AT53" s="150"/>
      <c r="AU53" s="234"/>
      <c r="AV53" s="143"/>
      <c r="AW53" s="214" t="str">
        <f>IF(SchmidtTheory!AZ36=SchmidtTheory!AW36,SchmidtTheory!BA36,"")</f>
        <v/>
      </c>
      <c r="AX53" s="214" t="str">
        <f>IF(SchmidtTheory!BE36=TRUE,SchmidtTheory!BF36,"")</f>
        <v/>
      </c>
      <c r="AY53" s="214" t="str">
        <f t="shared" si="0"/>
        <v/>
      </c>
      <c r="AZ53" s="143"/>
      <c r="BA53" s="143"/>
      <c r="BB53" s="220" t="s">
        <v>516</v>
      </c>
      <c r="BC53" s="219">
        <v>42.2</v>
      </c>
      <c r="BD53" s="219">
        <v>1.65</v>
      </c>
      <c r="BE53" s="219">
        <v>2.77</v>
      </c>
      <c r="BF53" s="219">
        <v>3.56</v>
      </c>
      <c r="BG53" s="218">
        <v>4.8499999999999996</v>
      </c>
      <c r="BI53" s="672">
        <f t="shared" si="1"/>
        <v>35.080000000000005</v>
      </c>
      <c r="BJ53" s="673"/>
      <c r="BK53" s="673"/>
      <c r="BL53" s="674"/>
    </row>
    <row r="54" spans="2:64" ht="12.75" customHeight="1" x14ac:dyDescent="0.2">
      <c r="B54" s="223">
        <v>41</v>
      </c>
      <c r="C54" s="723"/>
      <c r="D54" s="676"/>
      <c r="E54" s="677"/>
      <c r="F54" s="677"/>
      <c r="G54" s="677"/>
      <c r="H54" s="677"/>
      <c r="I54" s="677"/>
      <c r="J54" s="677"/>
      <c r="K54" s="677"/>
      <c r="L54" s="677"/>
      <c r="M54" s="677"/>
      <c r="N54" s="677"/>
      <c r="O54" s="677"/>
      <c r="P54" s="677"/>
      <c r="Q54" s="677"/>
      <c r="R54" s="677"/>
      <c r="S54" s="677"/>
      <c r="T54" s="677"/>
      <c r="U54" s="678"/>
      <c r="V54" s="225">
        <v>81</v>
      </c>
      <c r="W54" s="675"/>
      <c r="X54" s="704" t="s">
        <v>515</v>
      </c>
      <c r="Y54" s="696"/>
      <c r="Z54" s="677"/>
      <c r="AA54" s="677"/>
      <c r="AB54" s="677"/>
      <c r="AC54" s="677"/>
      <c r="AD54" s="677"/>
      <c r="AE54" s="677"/>
      <c r="AF54" s="227"/>
      <c r="AG54" s="696" t="s">
        <v>514</v>
      </c>
      <c r="AH54" s="696"/>
      <c r="AI54" s="677"/>
      <c r="AJ54" s="677"/>
      <c r="AK54" s="677"/>
      <c r="AL54" s="677"/>
      <c r="AM54" s="677"/>
      <c r="AN54" s="677"/>
      <c r="AO54" s="701"/>
      <c r="AQ54" s="143">
        <v>125</v>
      </c>
      <c r="AR54" s="143"/>
      <c r="AS54" s="235" t="s">
        <v>513</v>
      </c>
      <c r="AT54" s="150"/>
      <c r="AU54" s="234"/>
      <c r="AV54" s="143"/>
      <c r="AW54" s="214" t="e">
        <f>IF(SchmidtTheory!AZ37=SchmidtTheory!AW37,SchmidtTheory!BA37,"")</f>
        <v>#VALUE!</v>
      </c>
      <c r="AX54" s="214" t="str">
        <f>IF(SchmidtTheory!BE37=TRUE,SchmidtTheory!BF37,"")</f>
        <v/>
      </c>
      <c r="AY54" s="214" t="e">
        <f t="shared" si="0"/>
        <v>#VALUE!</v>
      </c>
      <c r="AZ54" s="143"/>
      <c r="BA54" s="143"/>
      <c r="BB54" s="220" t="s">
        <v>512</v>
      </c>
      <c r="BC54" s="219">
        <v>48.3</v>
      </c>
      <c r="BD54" s="219">
        <v>1.65</v>
      </c>
      <c r="BE54" s="219">
        <v>2.77</v>
      </c>
      <c r="BF54" s="219">
        <v>3.68</v>
      </c>
      <c r="BG54" s="218">
        <v>5.08</v>
      </c>
      <c r="BI54" s="672">
        <f t="shared" si="1"/>
        <v>40.94</v>
      </c>
      <c r="BJ54" s="673"/>
      <c r="BK54" s="673"/>
      <c r="BL54" s="674"/>
    </row>
    <row r="55" spans="2:64" ht="12.75" customHeight="1" x14ac:dyDescent="0.2">
      <c r="B55" s="223">
        <v>42</v>
      </c>
      <c r="C55" s="723"/>
      <c r="D55" s="679"/>
      <c r="E55" s="680"/>
      <c r="F55" s="680"/>
      <c r="G55" s="680"/>
      <c r="H55" s="680"/>
      <c r="I55" s="680"/>
      <c r="J55" s="680"/>
      <c r="K55" s="680"/>
      <c r="L55" s="680"/>
      <c r="M55" s="680"/>
      <c r="N55" s="680"/>
      <c r="O55" s="680"/>
      <c r="P55" s="680"/>
      <c r="Q55" s="680"/>
      <c r="R55" s="680"/>
      <c r="S55" s="680"/>
      <c r="T55" s="680"/>
      <c r="U55" s="706"/>
      <c r="V55" s="225">
        <v>82</v>
      </c>
      <c r="W55" s="675"/>
      <c r="X55" s="679"/>
      <c r="Y55" s="680"/>
      <c r="Z55" s="680"/>
      <c r="AA55" s="680"/>
      <c r="AB55" s="680"/>
      <c r="AC55" s="680"/>
      <c r="AD55" s="680"/>
      <c r="AE55" s="680"/>
      <c r="AF55" s="680"/>
      <c r="AG55" s="680"/>
      <c r="AH55" s="680"/>
      <c r="AI55" s="680"/>
      <c r="AJ55" s="680"/>
      <c r="AK55" s="680"/>
      <c r="AL55" s="680"/>
      <c r="AM55" s="680"/>
      <c r="AN55" s="680"/>
      <c r="AO55" s="681"/>
      <c r="AQ55" s="143">
        <v>150</v>
      </c>
      <c r="AR55" s="143"/>
      <c r="AS55" s="235" t="s">
        <v>511</v>
      </c>
      <c r="AT55" s="150"/>
      <c r="AU55" s="234"/>
      <c r="AV55" s="143"/>
      <c r="AW55" s="214" t="e">
        <f>IF(SchmidtTheory!AZ38=SchmidtTheory!AW38,SchmidtTheory!BA38,"")</f>
        <v>#VALUE!</v>
      </c>
      <c r="AX55" s="214" t="str">
        <f>IF(SchmidtTheory!BE38=TRUE,SchmidtTheory!BF38,"")</f>
        <v/>
      </c>
      <c r="AY55" s="214" t="e">
        <f t="shared" si="0"/>
        <v>#VALUE!</v>
      </c>
      <c r="AZ55" s="143"/>
      <c r="BA55" s="143"/>
      <c r="BB55" s="220" t="s">
        <v>490</v>
      </c>
      <c r="BC55" s="219">
        <v>60.3</v>
      </c>
      <c r="BD55" s="219">
        <v>1.65</v>
      </c>
      <c r="BE55" s="219">
        <v>2.77</v>
      </c>
      <c r="BF55" s="219">
        <v>3.91</v>
      </c>
      <c r="BG55" s="218">
        <v>5.54</v>
      </c>
      <c r="BI55" s="672">
        <f t="shared" si="1"/>
        <v>52.48</v>
      </c>
      <c r="BJ55" s="673"/>
      <c r="BK55" s="673"/>
      <c r="BL55" s="674"/>
    </row>
    <row r="56" spans="2:64" ht="12.75" customHeight="1" x14ac:dyDescent="0.2">
      <c r="B56" s="223">
        <v>43</v>
      </c>
      <c r="C56" s="715" t="s">
        <v>510</v>
      </c>
      <c r="D56" s="684" t="s">
        <v>509</v>
      </c>
      <c r="E56" s="685"/>
      <c r="F56" s="685"/>
      <c r="G56" s="707"/>
      <c r="H56" s="707"/>
      <c r="I56" s="707"/>
      <c r="J56" s="707"/>
      <c r="K56" s="233"/>
      <c r="L56" s="711" t="s">
        <v>508</v>
      </c>
      <c r="M56" s="711"/>
      <c r="N56" s="707"/>
      <c r="O56" s="707"/>
      <c r="P56" s="707"/>
      <c r="Q56" s="233"/>
      <c r="R56" s="232" t="s">
        <v>507</v>
      </c>
      <c r="S56" s="707"/>
      <c r="T56" s="707"/>
      <c r="U56" s="709"/>
      <c r="V56" s="225">
        <v>83</v>
      </c>
      <c r="W56" s="675" t="s">
        <v>506</v>
      </c>
      <c r="X56" s="684" t="s">
        <v>505</v>
      </c>
      <c r="Y56" s="716"/>
      <c r="Z56" s="716"/>
      <c r="AA56" s="716"/>
      <c r="AB56" s="716"/>
      <c r="AC56" s="682"/>
      <c r="AD56" s="682"/>
      <c r="AE56" s="682"/>
      <c r="AF56" s="682"/>
      <c r="AG56" s="682"/>
      <c r="AH56" s="682"/>
      <c r="AI56" s="682"/>
      <c r="AJ56" s="682"/>
      <c r="AK56" s="682"/>
      <c r="AL56" s="682"/>
      <c r="AM56" s="682"/>
      <c r="AN56" s="682"/>
      <c r="AO56" s="683"/>
      <c r="AQ56" s="143">
        <v>200</v>
      </c>
      <c r="AR56" s="143"/>
      <c r="AS56" s="231" t="s">
        <v>504</v>
      </c>
      <c r="AT56" s="230"/>
      <c r="AU56" s="229"/>
      <c r="AV56" s="143"/>
      <c r="AW56" s="214" t="str">
        <f>IF(SchmidtTheory!AZ39=SchmidtTheory!AW39,SchmidtTheory!BA39,"")</f>
        <v/>
      </c>
      <c r="AX56" s="214" t="str">
        <f>IF(SchmidtTheory!BE39=TRUE,SchmidtTheory!BF39,"")</f>
        <v/>
      </c>
      <c r="AY56" s="214" t="str">
        <f t="shared" ref="AY56:AY87" si="2">IF($AC$37=$AS$16,AW56,IF($AC$37=$AR$16,AX56,IF($AC$37=$AU$16,AW56,IF($AC$37=$AT$16,AX56,"Special"))))</f>
        <v/>
      </c>
      <c r="AZ56" s="143"/>
      <c r="BA56" s="143"/>
      <c r="BB56" s="220" t="s">
        <v>503</v>
      </c>
      <c r="BC56" s="219">
        <v>73</v>
      </c>
      <c r="BD56" s="219">
        <v>2.11</v>
      </c>
      <c r="BE56" s="219">
        <v>3.05</v>
      </c>
      <c r="BF56" s="219">
        <v>5.16</v>
      </c>
      <c r="BG56" s="218">
        <v>7.01</v>
      </c>
      <c r="BI56" s="672">
        <f t="shared" si="1"/>
        <v>62.68</v>
      </c>
      <c r="BJ56" s="673"/>
      <c r="BK56" s="673"/>
      <c r="BL56" s="674"/>
    </row>
    <row r="57" spans="2:64" ht="12.75" customHeight="1" x14ac:dyDescent="0.2">
      <c r="B57" s="223">
        <v>44</v>
      </c>
      <c r="C57" s="715"/>
      <c r="D57" s="676"/>
      <c r="E57" s="677"/>
      <c r="F57" s="677"/>
      <c r="G57" s="677"/>
      <c r="H57" s="677"/>
      <c r="I57" s="677"/>
      <c r="J57" s="677"/>
      <c r="K57" s="677"/>
      <c r="L57" s="677"/>
      <c r="M57" s="677"/>
      <c r="N57" s="677"/>
      <c r="O57" s="677"/>
      <c r="P57" s="677"/>
      <c r="Q57" s="677"/>
      <c r="R57" s="677"/>
      <c r="S57" s="677"/>
      <c r="T57" s="677"/>
      <c r="U57" s="678"/>
      <c r="V57" s="225">
        <v>84</v>
      </c>
      <c r="W57" s="675"/>
      <c r="X57" s="704" t="s">
        <v>502</v>
      </c>
      <c r="Y57" s="696"/>
      <c r="Z57" s="696"/>
      <c r="AA57" s="696"/>
      <c r="AB57" s="696"/>
      <c r="AC57" s="696"/>
      <c r="AD57" s="696"/>
      <c r="AE57" s="677"/>
      <c r="AF57" s="677"/>
      <c r="AG57" s="677"/>
      <c r="AH57" s="677"/>
      <c r="AI57" s="677"/>
      <c r="AJ57" s="677"/>
      <c r="AK57" s="677"/>
      <c r="AL57" s="677"/>
      <c r="AM57" s="677"/>
      <c r="AN57" s="677"/>
      <c r="AO57" s="701"/>
      <c r="AQ57" s="143">
        <v>250</v>
      </c>
      <c r="AR57" s="143"/>
      <c r="AS57" s="143"/>
      <c r="AT57" s="143"/>
      <c r="AU57" s="143"/>
      <c r="AV57" s="143"/>
      <c r="AW57" s="214" t="str">
        <f>IF(SchmidtTheory!AZ40=SchmidtTheory!AW40,SchmidtTheory!BA40,"")</f>
        <v/>
      </c>
      <c r="AX57" s="214" t="str">
        <f>IF(SchmidtTheory!BE40=TRUE,SchmidtTheory!BF40,"")</f>
        <v/>
      </c>
      <c r="AY57" s="214" t="str">
        <f t="shared" si="2"/>
        <v/>
      </c>
      <c r="AZ57" s="143"/>
      <c r="BA57" s="143"/>
      <c r="BB57" s="220" t="s">
        <v>489</v>
      </c>
      <c r="BC57" s="219">
        <v>88.9</v>
      </c>
      <c r="BD57" s="226">
        <v>2.11</v>
      </c>
      <c r="BE57" s="219">
        <v>3.05</v>
      </c>
      <c r="BF57" s="219">
        <v>5.49</v>
      </c>
      <c r="BG57" s="218">
        <v>7.62</v>
      </c>
      <c r="BI57" s="672">
        <f t="shared" si="1"/>
        <v>77.92</v>
      </c>
      <c r="BJ57" s="673"/>
      <c r="BK57" s="673"/>
      <c r="BL57" s="674"/>
    </row>
    <row r="58" spans="2:64" ht="12.75" customHeight="1" x14ac:dyDescent="0.2">
      <c r="B58" s="223">
        <v>45</v>
      </c>
      <c r="C58" s="715"/>
      <c r="D58" s="676"/>
      <c r="E58" s="677"/>
      <c r="F58" s="677"/>
      <c r="G58" s="677"/>
      <c r="H58" s="677"/>
      <c r="I58" s="677"/>
      <c r="J58" s="677"/>
      <c r="K58" s="677"/>
      <c r="L58" s="677"/>
      <c r="M58" s="677"/>
      <c r="N58" s="677"/>
      <c r="O58" s="677"/>
      <c r="P58" s="677"/>
      <c r="Q58" s="677"/>
      <c r="R58" s="677"/>
      <c r="S58" s="677"/>
      <c r="T58" s="677"/>
      <c r="U58" s="678"/>
      <c r="V58" s="225">
        <v>85</v>
      </c>
      <c r="W58" s="675"/>
      <c r="X58" s="676"/>
      <c r="Y58" s="677"/>
      <c r="Z58" s="677"/>
      <c r="AA58" s="677"/>
      <c r="AB58" s="677"/>
      <c r="AC58" s="677"/>
      <c r="AD58" s="677"/>
      <c r="AE58" s="677"/>
      <c r="AF58" s="677"/>
      <c r="AG58" s="677"/>
      <c r="AH58" s="677"/>
      <c r="AI58" s="677"/>
      <c r="AJ58" s="677"/>
      <c r="AK58" s="677"/>
      <c r="AL58" s="677"/>
      <c r="AM58" s="677"/>
      <c r="AN58" s="677"/>
      <c r="AO58" s="701"/>
      <c r="AQ58" s="143">
        <v>300</v>
      </c>
      <c r="AR58" s="143"/>
      <c r="AS58" s="317" t="s">
        <v>924</v>
      </c>
      <c r="AT58" s="143"/>
      <c r="AU58" s="143"/>
      <c r="AV58" s="143"/>
      <c r="AW58" s="214" t="str">
        <f>IF(SchmidtTheory!AZ41=SchmidtTheory!AW41,SchmidtTheory!BA41,"")</f>
        <v/>
      </c>
      <c r="AX58" s="214" t="str">
        <f>IF(SchmidtTheory!BE41=TRUE,SchmidtTheory!BF41,"")</f>
        <v/>
      </c>
      <c r="AY58" s="214" t="str">
        <f t="shared" si="2"/>
        <v/>
      </c>
      <c r="AZ58" s="143"/>
      <c r="BA58" s="143"/>
      <c r="BB58" s="220" t="s">
        <v>501</v>
      </c>
      <c r="BC58" s="219">
        <v>101.6</v>
      </c>
      <c r="BD58" s="219">
        <v>2.11</v>
      </c>
      <c r="BE58" s="219">
        <v>3.05</v>
      </c>
      <c r="BF58" s="219">
        <v>5.74</v>
      </c>
      <c r="BG58" s="218">
        <v>8.08</v>
      </c>
      <c r="BI58" s="672">
        <f t="shared" si="1"/>
        <v>90.11999999999999</v>
      </c>
      <c r="BJ58" s="673"/>
      <c r="BK58" s="673"/>
      <c r="BL58" s="674"/>
    </row>
    <row r="59" spans="2:64" ht="12.75" customHeight="1" x14ac:dyDescent="0.2">
      <c r="B59" s="223">
        <v>46</v>
      </c>
      <c r="C59" s="715"/>
      <c r="D59" s="676"/>
      <c r="E59" s="677"/>
      <c r="F59" s="677"/>
      <c r="G59" s="677"/>
      <c r="H59" s="677"/>
      <c r="I59" s="677"/>
      <c r="J59" s="677"/>
      <c r="K59" s="677"/>
      <c r="L59" s="677"/>
      <c r="M59" s="677"/>
      <c r="N59" s="677"/>
      <c r="O59" s="677"/>
      <c r="P59" s="677"/>
      <c r="Q59" s="677"/>
      <c r="R59" s="677"/>
      <c r="S59" s="677"/>
      <c r="T59" s="677"/>
      <c r="U59" s="678"/>
      <c r="V59" s="224">
        <v>86</v>
      </c>
      <c r="W59" s="675"/>
      <c r="X59" s="679"/>
      <c r="Y59" s="680"/>
      <c r="Z59" s="680"/>
      <c r="AA59" s="680"/>
      <c r="AB59" s="680"/>
      <c r="AC59" s="680"/>
      <c r="AD59" s="680"/>
      <c r="AE59" s="680"/>
      <c r="AF59" s="680"/>
      <c r="AG59" s="680"/>
      <c r="AH59" s="680"/>
      <c r="AI59" s="680"/>
      <c r="AJ59" s="680"/>
      <c r="AK59" s="680"/>
      <c r="AL59" s="680"/>
      <c r="AM59" s="680"/>
      <c r="AN59" s="680"/>
      <c r="AO59" s="681"/>
      <c r="AQ59" s="143" t="s">
        <v>500</v>
      </c>
      <c r="AR59" s="143"/>
      <c r="AS59" s="318" t="s">
        <v>758</v>
      </c>
      <c r="AT59" s="143"/>
      <c r="AU59" s="143"/>
      <c r="AV59" s="143"/>
      <c r="AW59" s="214" t="str">
        <f>IF(SchmidtTheory!AZ42=SchmidtTheory!AW42,SchmidtTheory!BA42,"")</f>
        <v/>
      </c>
      <c r="AX59" s="214" t="str">
        <f>IF(SchmidtTheory!BE42=TRUE,SchmidtTheory!BF42,"")</f>
        <v/>
      </c>
      <c r="AY59" s="214" t="str">
        <f t="shared" si="2"/>
        <v/>
      </c>
      <c r="AZ59" s="143"/>
      <c r="BA59" s="143"/>
      <c r="BB59" s="220" t="s">
        <v>488</v>
      </c>
      <c r="BC59" s="219">
        <v>114.3</v>
      </c>
      <c r="BD59" s="219">
        <v>2.11</v>
      </c>
      <c r="BE59" s="219">
        <v>3.05</v>
      </c>
      <c r="BF59" s="219">
        <v>6.02</v>
      </c>
      <c r="BG59" s="218">
        <v>8.56</v>
      </c>
      <c r="BI59" s="672">
        <f t="shared" si="1"/>
        <v>102.25999999999999</v>
      </c>
      <c r="BJ59" s="673"/>
      <c r="BK59" s="673"/>
      <c r="BL59" s="674"/>
    </row>
    <row r="60" spans="2:64" ht="12.75" customHeight="1" x14ac:dyDescent="0.2">
      <c r="B60" s="223">
        <v>47</v>
      </c>
      <c r="C60" s="715"/>
      <c r="D60" s="676"/>
      <c r="E60" s="677"/>
      <c r="F60" s="677"/>
      <c r="G60" s="677"/>
      <c r="H60" s="677"/>
      <c r="I60" s="677"/>
      <c r="J60" s="677"/>
      <c r="K60" s="677"/>
      <c r="L60" s="677"/>
      <c r="M60" s="677"/>
      <c r="N60" s="677"/>
      <c r="O60" s="677"/>
      <c r="P60" s="677"/>
      <c r="Q60" s="677"/>
      <c r="R60" s="677"/>
      <c r="S60" s="677"/>
      <c r="T60" s="677"/>
      <c r="U60" s="678"/>
      <c r="V60" s="687" t="s">
        <v>499</v>
      </c>
      <c r="W60" s="688"/>
      <c r="X60" s="688"/>
      <c r="Y60" s="688" t="s">
        <v>498</v>
      </c>
      <c r="Z60" s="688"/>
      <c r="AA60" s="688"/>
      <c r="AB60" s="688" t="s">
        <v>497</v>
      </c>
      <c r="AC60" s="688"/>
      <c r="AD60" s="688"/>
      <c r="AE60" s="688"/>
      <c r="AF60" s="688"/>
      <c r="AG60" s="688"/>
      <c r="AH60" s="688"/>
      <c r="AI60" s="688"/>
      <c r="AJ60" s="688" t="s">
        <v>496</v>
      </c>
      <c r="AK60" s="688"/>
      <c r="AL60" s="688"/>
      <c r="AM60" s="688" t="s">
        <v>495</v>
      </c>
      <c r="AN60" s="688"/>
      <c r="AO60" s="688"/>
      <c r="AQ60" s="143" t="s">
        <v>494</v>
      </c>
      <c r="AR60" s="143"/>
      <c r="AS60" s="318" t="s">
        <v>873</v>
      </c>
      <c r="AT60" s="143"/>
      <c r="AU60" s="143"/>
      <c r="AV60" s="143"/>
      <c r="AW60" s="214" t="str">
        <f>IF(SchmidtTheory!AZ43=SchmidtTheory!AW43,SchmidtTheory!BA43,"")</f>
        <v/>
      </c>
      <c r="AX60" s="214" t="str">
        <f>IF(SchmidtTheory!BE43=TRUE,SchmidtTheory!BF43,"")</f>
        <v/>
      </c>
      <c r="AY60" s="214" t="str">
        <f t="shared" si="2"/>
        <v/>
      </c>
      <c r="AZ60" s="143"/>
      <c r="BA60" s="143"/>
      <c r="BB60" s="220" t="s">
        <v>493</v>
      </c>
      <c r="BC60" s="219">
        <v>141.30000000000001</v>
      </c>
      <c r="BD60" s="219">
        <v>2.77</v>
      </c>
      <c r="BE60" s="219">
        <v>3.4</v>
      </c>
      <c r="BF60" s="219">
        <v>6.55</v>
      </c>
      <c r="BG60" s="218">
        <v>9.52</v>
      </c>
      <c r="BI60" s="672">
        <f t="shared" si="1"/>
        <v>128.20000000000002</v>
      </c>
      <c r="BJ60" s="673"/>
      <c r="BK60" s="673"/>
      <c r="BL60" s="674"/>
    </row>
    <row r="61" spans="2:64" ht="12.75" customHeight="1" x14ac:dyDescent="0.2">
      <c r="B61" s="223">
        <v>48</v>
      </c>
      <c r="C61" s="715"/>
      <c r="D61" s="676"/>
      <c r="E61" s="677"/>
      <c r="F61" s="677"/>
      <c r="G61" s="677"/>
      <c r="H61" s="677"/>
      <c r="I61" s="677"/>
      <c r="J61" s="677"/>
      <c r="K61" s="677"/>
      <c r="L61" s="677"/>
      <c r="M61" s="677"/>
      <c r="N61" s="677"/>
      <c r="O61" s="677"/>
      <c r="P61" s="677"/>
      <c r="Q61" s="677"/>
      <c r="R61" s="677"/>
      <c r="S61" s="677"/>
      <c r="T61" s="677"/>
      <c r="U61" s="678"/>
      <c r="V61" s="689"/>
      <c r="W61" s="686"/>
      <c r="X61" s="686"/>
      <c r="Y61" s="686"/>
      <c r="Z61" s="686"/>
      <c r="AA61" s="686"/>
      <c r="AB61" s="686"/>
      <c r="AC61" s="686"/>
      <c r="AD61" s="686"/>
      <c r="AE61" s="686"/>
      <c r="AF61" s="686"/>
      <c r="AG61" s="686"/>
      <c r="AH61" s="686"/>
      <c r="AI61" s="686"/>
      <c r="AJ61" s="686"/>
      <c r="AK61" s="686"/>
      <c r="AL61" s="686"/>
      <c r="AM61" s="686"/>
      <c r="AN61" s="686"/>
      <c r="AO61" s="686"/>
      <c r="AQ61" s="143" t="s">
        <v>492</v>
      </c>
      <c r="AR61" s="143"/>
      <c r="AS61" s="318" t="s">
        <v>876</v>
      </c>
      <c r="AT61" s="143"/>
      <c r="AU61" s="143"/>
      <c r="AV61" s="143"/>
      <c r="AW61" s="214" t="str">
        <f>IF(SchmidtTheory!AZ44=SchmidtTheory!AW44,SchmidtTheory!BA44,"")</f>
        <v/>
      </c>
      <c r="AX61" s="214" t="str">
        <f>IF(SchmidtTheory!BE44=TRUE,SchmidtTheory!BF44,"")</f>
        <v/>
      </c>
      <c r="AY61" s="214" t="str">
        <f t="shared" si="2"/>
        <v/>
      </c>
      <c r="AZ61" s="143"/>
      <c r="BA61" s="143"/>
      <c r="BB61" s="220" t="s">
        <v>485</v>
      </c>
      <c r="BC61" s="219">
        <v>168.3</v>
      </c>
      <c r="BD61" s="219">
        <v>2.77</v>
      </c>
      <c r="BE61" s="219">
        <v>3.4</v>
      </c>
      <c r="BF61" s="219">
        <v>7.11</v>
      </c>
      <c r="BG61" s="218">
        <v>10.97</v>
      </c>
      <c r="BI61" s="672">
        <f t="shared" si="1"/>
        <v>154.08000000000001</v>
      </c>
      <c r="BJ61" s="673"/>
      <c r="BK61" s="673"/>
      <c r="BL61" s="674"/>
    </row>
    <row r="62" spans="2:64" ht="12.75" customHeight="1" x14ac:dyDescent="0.2">
      <c r="B62" s="223">
        <v>49</v>
      </c>
      <c r="C62" s="715"/>
      <c r="D62" s="676"/>
      <c r="E62" s="677"/>
      <c r="F62" s="677"/>
      <c r="G62" s="677"/>
      <c r="H62" s="677"/>
      <c r="I62" s="677"/>
      <c r="J62" s="677"/>
      <c r="K62" s="677"/>
      <c r="L62" s="677"/>
      <c r="M62" s="677"/>
      <c r="N62" s="677"/>
      <c r="O62" s="677"/>
      <c r="P62" s="677"/>
      <c r="Q62" s="677"/>
      <c r="R62" s="677"/>
      <c r="S62" s="677"/>
      <c r="T62" s="677"/>
      <c r="U62" s="678"/>
      <c r="V62" s="689"/>
      <c r="W62" s="686"/>
      <c r="X62" s="686"/>
      <c r="Y62" s="686"/>
      <c r="Z62" s="686"/>
      <c r="AA62" s="686"/>
      <c r="AB62" s="686"/>
      <c r="AC62" s="686"/>
      <c r="AD62" s="686"/>
      <c r="AE62" s="686"/>
      <c r="AF62" s="686"/>
      <c r="AG62" s="686"/>
      <c r="AH62" s="686"/>
      <c r="AI62" s="686"/>
      <c r="AJ62" s="686"/>
      <c r="AK62" s="686"/>
      <c r="AL62" s="686"/>
      <c r="AM62" s="686"/>
      <c r="AN62" s="686"/>
      <c r="AO62" s="686"/>
      <c r="AQ62" s="143" t="s">
        <v>491</v>
      </c>
      <c r="AR62" s="143"/>
      <c r="AS62" s="318" t="s">
        <v>877</v>
      </c>
      <c r="AT62" s="143"/>
      <c r="AU62" s="143"/>
      <c r="AV62" s="143"/>
      <c r="AW62" s="214" t="str">
        <f>IF(SchmidtTheory!AZ45=SchmidtTheory!AW45,SchmidtTheory!BA45,"")</f>
        <v/>
      </c>
      <c r="AX62" s="214" t="str">
        <f>IF(SchmidtTheory!BE45=TRUE,SchmidtTheory!BF45,"")</f>
        <v/>
      </c>
      <c r="AY62" s="214" t="str">
        <f t="shared" si="2"/>
        <v/>
      </c>
      <c r="AZ62" s="143"/>
      <c r="BA62" s="143"/>
      <c r="BB62" s="220" t="s">
        <v>480</v>
      </c>
      <c r="BC62" s="219">
        <v>219.1</v>
      </c>
      <c r="BD62" s="219">
        <v>2.77</v>
      </c>
      <c r="BE62" s="219">
        <v>3.76</v>
      </c>
      <c r="BF62" s="219">
        <v>8.18</v>
      </c>
      <c r="BG62" s="218">
        <v>12.7</v>
      </c>
      <c r="BI62" s="672">
        <f t="shared" si="1"/>
        <v>202.74</v>
      </c>
      <c r="BJ62" s="673"/>
      <c r="BK62" s="673"/>
      <c r="BL62" s="674"/>
    </row>
    <row r="63" spans="2:64" ht="12.75" customHeight="1" x14ac:dyDescent="0.2">
      <c r="B63" s="223">
        <v>50</v>
      </c>
      <c r="C63" s="715"/>
      <c r="D63" s="676"/>
      <c r="E63" s="677"/>
      <c r="F63" s="677"/>
      <c r="G63" s="677"/>
      <c r="H63" s="677"/>
      <c r="I63" s="677"/>
      <c r="J63" s="677"/>
      <c r="K63" s="677"/>
      <c r="L63" s="677"/>
      <c r="M63" s="677"/>
      <c r="N63" s="677"/>
      <c r="O63" s="677"/>
      <c r="P63" s="677"/>
      <c r="Q63" s="677"/>
      <c r="R63" s="677"/>
      <c r="S63" s="677"/>
      <c r="T63" s="677"/>
      <c r="U63" s="678"/>
      <c r="V63" s="689"/>
      <c r="W63" s="686"/>
      <c r="X63" s="686"/>
      <c r="Y63" s="686"/>
      <c r="Z63" s="686"/>
      <c r="AA63" s="686"/>
      <c r="AB63" s="686"/>
      <c r="AC63" s="686"/>
      <c r="AD63" s="686"/>
      <c r="AE63" s="686"/>
      <c r="AF63" s="686"/>
      <c r="AG63" s="686"/>
      <c r="AH63" s="686"/>
      <c r="AI63" s="686"/>
      <c r="AJ63" s="686"/>
      <c r="AK63" s="686"/>
      <c r="AL63" s="686"/>
      <c r="AM63" s="686"/>
      <c r="AN63" s="686"/>
      <c r="AO63" s="686"/>
      <c r="AQ63" s="143" t="s">
        <v>490</v>
      </c>
      <c r="AR63" s="143"/>
      <c r="AS63" s="318" t="s">
        <v>879</v>
      </c>
      <c r="AT63" s="143"/>
      <c r="AU63" s="143"/>
      <c r="AV63" s="143"/>
      <c r="AW63" s="214" t="str">
        <f>IF(SchmidtTheory!AZ46=SchmidtTheory!AW46,SchmidtTheory!BA46,"")</f>
        <v/>
      </c>
      <c r="AX63" s="214" t="str">
        <f>IF(SchmidtTheory!BE46=TRUE,SchmidtTheory!BF46,"")</f>
        <v/>
      </c>
      <c r="AY63" s="214" t="str">
        <f t="shared" si="2"/>
        <v/>
      </c>
      <c r="AZ63" s="143"/>
      <c r="BA63" s="143"/>
      <c r="BB63" s="220" t="s">
        <v>478</v>
      </c>
      <c r="BC63" s="219">
        <v>273</v>
      </c>
      <c r="BD63" s="219">
        <v>3.4</v>
      </c>
      <c r="BE63" s="219">
        <v>4.1900000000000004</v>
      </c>
      <c r="BF63" s="219">
        <v>9.27</v>
      </c>
      <c r="BG63" s="218">
        <v>12.7</v>
      </c>
      <c r="BI63" s="672">
        <f t="shared" si="1"/>
        <v>254.46</v>
      </c>
      <c r="BJ63" s="673"/>
      <c r="BK63" s="673"/>
      <c r="BL63" s="674"/>
    </row>
    <row r="64" spans="2:64" ht="12.75" customHeight="1" x14ac:dyDescent="0.2">
      <c r="B64" s="223">
        <v>51</v>
      </c>
      <c r="C64" s="715"/>
      <c r="D64" s="676"/>
      <c r="E64" s="677"/>
      <c r="F64" s="677"/>
      <c r="G64" s="677"/>
      <c r="H64" s="677"/>
      <c r="I64" s="677"/>
      <c r="J64" s="677"/>
      <c r="K64" s="677"/>
      <c r="L64" s="677"/>
      <c r="M64" s="677"/>
      <c r="N64" s="677"/>
      <c r="O64" s="677"/>
      <c r="P64" s="677"/>
      <c r="Q64" s="677"/>
      <c r="R64" s="677"/>
      <c r="S64" s="677"/>
      <c r="T64" s="677"/>
      <c r="U64" s="678"/>
      <c r="V64" s="689"/>
      <c r="W64" s="686"/>
      <c r="X64" s="686"/>
      <c r="Y64" s="686"/>
      <c r="Z64" s="686"/>
      <c r="AA64" s="686"/>
      <c r="AB64" s="686"/>
      <c r="AC64" s="686"/>
      <c r="AD64" s="686"/>
      <c r="AE64" s="686"/>
      <c r="AF64" s="686"/>
      <c r="AG64" s="686"/>
      <c r="AH64" s="686"/>
      <c r="AI64" s="686"/>
      <c r="AJ64" s="686"/>
      <c r="AK64" s="686"/>
      <c r="AL64" s="686"/>
      <c r="AM64" s="686"/>
      <c r="AN64" s="686"/>
      <c r="AO64" s="686"/>
      <c r="AQ64" s="143" t="s">
        <v>489</v>
      </c>
      <c r="AR64" s="143"/>
      <c r="AS64" s="318" t="s">
        <v>881</v>
      </c>
      <c r="AT64" s="143"/>
      <c r="AU64" s="143"/>
      <c r="AV64" s="143"/>
      <c r="AW64" s="214" t="str">
        <f>IF(SchmidtTheory!AZ47=SchmidtTheory!AW47,SchmidtTheory!BA47,"")</f>
        <v/>
      </c>
      <c r="AX64" s="214" t="str">
        <f>IF(SchmidtTheory!BE47=TRUE,SchmidtTheory!BF47,"")</f>
        <v/>
      </c>
      <c r="AY64" s="214" t="str">
        <f t="shared" si="2"/>
        <v/>
      </c>
      <c r="AZ64" s="143"/>
      <c r="BA64" s="143"/>
      <c r="BB64" s="220" t="s">
        <v>476</v>
      </c>
      <c r="BC64" s="219">
        <v>323.8</v>
      </c>
      <c r="BD64" s="219">
        <v>3.96</v>
      </c>
      <c r="BE64" s="219">
        <v>4.57</v>
      </c>
      <c r="BF64" s="219">
        <v>9.52</v>
      </c>
      <c r="BG64" s="218">
        <v>12.7</v>
      </c>
      <c r="BI64" s="672">
        <f t="shared" si="1"/>
        <v>304.76</v>
      </c>
      <c r="BJ64" s="673"/>
      <c r="BK64" s="673"/>
      <c r="BL64" s="674"/>
    </row>
    <row r="65" spans="2:68" ht="12.75" customHeight="1" x14ac:dyDescent="0.2">
      <c r="B65" s="222">
        <v>52</v>
      </c>
      <c r="C65" s="715"/>
      <c r="D65" s="679"/>
      <c r="E65" s="680"/>
      <c r="F65" s="680"/>
      <c r="G65" s="680"/>
      <c r="H65" s="680"/>
      <c r="I65" s="680"/>
      <c r="J65" s="680"/>
      <c r="K65" s="680"/>
      <c r="L65" s="680"/>
      <c r="M65" s="680"/>
      <c r="N65" s="680"/>
      <c r="O65" s="680"/>
      <c r="P65" s="680"/>
      <c r="Q65" s="680"/>
      <c r="R65" s="680"/>
      <c r="S65" s="680"/>
      <c r="T65" s="680"/>
      <c r="U65" s="706"/>
      <c r="V65" s="689"/>
      <c r="W65" s="686"/>
      <c r="X65" s="686"/>
      <c r="Y65" s="686"/>
      <c r="Z65" s="686"/>
      <c r="AA65" s="686"/>
      <c r="AB65" s="686"/>
      <c r="AC65" s="686"/>
      <c r="AD65" s="686"/>
      <c r="AE65" s="686"/>
      <c r="AF65" s="686"/>
      <c r="AG65" s="686"/>
      <c r="AH65" s="686"/>
      <c r="AI65" s="686"/>
      <c r="AJ65" s="686"/>
      <c r="AK65" s="686"/>
      <c r="AL65" s="686"/>
      <c r="AM65" s="686"/>
      <c r="AN65" s="686"/>
      <c r="AO65" s="686"/>
      <c r="AQ65" s="143" t="s">
        <v>488</v>
      </c>
      <c r="AR65" s="143"/>
      <c r="AS65" s="318" t="s">
        <v>882</v>
      </c>
      <c r="AT65" s="143"/>
      <c r="AU65" s="143"/>
      <c r="AV65" s="143"/>
      <c r="AW65" s="214" t="str">
        <f>IF(SchmidtTheory!AZ48=SchmidtTheory!AW48,SchmidtTheory!BA48,"")</f>
        <v/>
      </c>
      <c r="AX65" s="214" t="str">
        <f>IF(SchmidtTheory!BE48=TRUE,SchmidtTheory!BF48,"")</f>
        <v/>
      </c>
      <c r="AY65" s="214" t="str">
        <f t="shared" si="2"/>
        <v/>
      </c>
      <c r="AZ65" s="143"/>
      <c r="BA65" s="143"/>
      <c r="BB65" s="220" t="s">
        <v>487</v>
      </c>
      <c r="BC65" s="219">
        <v>355.6</v>
      </c>
      <c r="BD65" s="219">
        <v>3.96</v>
      </c>
      <c r="BE65" s="219">
        <v>4.78</v>
      </c>
      <c r="BF65" s="219">
        <v>9.52</v>
      </c>
      <c r="BG65" s="218">
        <v>12.7</v>
      </c>
      <c r="BI65" s="672">
        <f t="shared" si="1"/>
        <v>336.56</v>
      </c>
      <c r="BJ65" s="673"/>
      <c r="BK65" s="673"/>
      <c r="BL65" s="674"/>
    </row>
    <row r="66" spans="2:68" ht="12.75" customHeight="1" x14ac:dyDescent="0.2">
      <c r="B66" s="712" t="s">
        <v>486</v>
      </c>
      <c r="C66" s="713"/>
      <c r="D66" s="713"/>
      <c r="E66" s="713"/>
      <c r="F66" s="713"/>
      <c r="G66" s="713"/>
      <c r="H66" s="713"/>
      <c r="I66" s="713"/>
      <c r="J66" s="713"/>
      <c r="K66" s="713"/>
      <c r="L66" s="713"/>
      <c r="M66" s="713"/>
      <c r="N66" s="713"/>
      <c r="O66" s="713"/>
      <c r="P66" s="713"/>
      <c r="Q66" s="713"/>
      <c r="R66" s="713"/>
      <c r="S66" s="713"/>
      <c r="T66" s="713"/>
      <c r="U66" s="713"/>
      <c r="V66" s="713"/>
      <c r="W66" s="713"/>
      <c r="X66" s="713"/>
      <c r="Y66" s="713"/>
      <c r="Z66" s="713"/>
      <c r="AA66" s="713"/>
      <c r="AB66" s="713"/>
      <c r="AC66" s="713"/>
      <c r="AD66" s="713"/>
      <c r="AE66" s="713"/>
      <c r="AF66" s="713"/>
      <c r="AG66" s="713"/>
      <c r="AH66" s="713"/>
      <c r="AI66" s="713"/>
      <c r="AJ66" s="713"/>
      <c r="AK66" s="713"/>
      <c r="AL66" s="713"/>
      <c r="AM66" s="713"/>
      <c r="AN66" s="713"/>
      <c r="AO66" s="714"/>
      <c r="AQ66" s="143" t="s">
        <v>485</v>
      </c>
      <c r="AR66" s="143"/>
      <c r="AS66" s="318" t="s">
        <v>884</v>
      </c>
      <c r="AT66" s="143"/>
      <c r="AU66" s="143"/>
      <c r="AV66" s="143"/>
      <c r="AW66" s="214" t="str">
        <f>IF(SchmidtTheory!AZ49=SchmidtTheory!AW49,SchmidtTheory!BA49,"")</f>
        <v/>
      </c>
      <c r="AX66" s="214" t="str">
        <f>IF(SchmidtTheory!BE49=TRUE,SchmidtTheory!BF49,"")</f>
        <v/>
      </c>
      <c r="AY66" s="214" t="str">
        <f t="shared" si="2"/>
        <v/>
      </c>
      <c r="AZ66" s="143"/>
      <c r="BA66" s="143"/>
      <c r="BB66" s="220" t="s">
        <v>484</v>
      </c>
      <c r="BC66" s="219">
        <v>406.4</v>
      </c>
      <c r="BD66" s="219">
        <v>4.1900000000000004</v>
      </c>
      <c r="BE66" s="219">
        <v>4.78</v>
      </c>
      <c r="BF66" s="219">
        <v>9.52</v>
      </c>
      <c r="BG66" s="218">
        <v>12.7</v>
      </c>
      <c r="BI66" s="672">
        <f t="shared" si="1"/>
        <v>387.35999999999996</v>
      </c>
      <c r="BJ66" s="673"/>
      <c r="BK66" s="673"/>
      <c r="BL66" s="674"/>
    </row>
    <row r="67" spans="2:68" ht="12.75" customHeight="1" x14ac:dyDescent="0.2">
      <c r="B67" s="685" t="s">
        <v>483</v>
      </c>
      <c r="C67" s="685"/>
      <c r="D67" s="685"/>
      <c r="E67" s="685"/>
      <c r="F67" s="685"/>
      <c r="G67" s="685"/>
      <c r="H67" s="685"/>
      <c r="I67" s="685"/>
      <c r="J67" s="685"/>
      <c r="K67" s="685"/>
      <c r="L67" s="685"/>
      <c r="M67" s="685"/>
      <c r="N67" s="685"/>
      <c r="O67" s="685"/>
      <c r="P67" s="685"/>
      <c r="Q67" s="685"/>
      <c r="R67" s="685"/>
      <c r="S67" s="710" t="s">
        <v>482</v>
      </c>
      <c r="T67" s="710"/>
      <c r="U67" s="710"/>
      <c r="V67" s="710"/>
      <c r="W67" s="710"/>
      <c r="X67" s="710"/>
      <c r="Y67" s="711" t="s">
        <v>481</v>
      </c>
      <c r="Z67" s="685"/>
      <c r="AA67" s="685"/>
      <c r="AB67" s="685"/>
      <c r="AC67" s="685"/>
      <c r="AD67" s="685"/>
      <c r="AE67" s="685"/>
      <c r="AF67" s="685"/>
      <c r="AG67" s="685"/>
      <c r="AH67" s="685"/>
      <c r="AI67" s="685"/>
      <c r="AJ67" s="685"/>
      <c r="AK67" s="685"/>
      <c r="AL67" s="685"/>
      <c r="AM67" s="685"/>
      <c r="AN67" s="685"/>
      <c r="AO67" s="685"/>
      <c r="AQ67" s="143" t="s">
        <v>480</v>
      </c>
      <c r="AR67" s="143"/>
      <c r="AS67" s="318" t="s">
        <v>885</v>
      </c>
      <c r="AT67" s="143"/>
      <c r="AU67" s="143"/>
      <c r="AV67" s="143"/>
      <c r="AW67" s="214" t="str">
        <f>IF(SchmidtTheory!AZ50=SchmidtTheory!AW50,SchmidtTheory!BA50,"")</f>
        <v/>
      </c>
      <c r="AX67" s="214" t="str">
        <f>IF(SchmidtTheory!BE50=TRUE,SchmidtTheory!BF50,"")</f>
        <v/>
      </c>
      <c r="AY67" s="214" t="str">
        <f t="shared" si="2"/>
        <v/>
      </c>
      <c r="AZ67" s="143"/>
      <c r="BA67" s="143"/>
      <c r="BB67" s="220" t="s">
        <v>479</v>
      </c>
      <c r="BC67" s="219">
        <v>457.2</v>
      </c>
      <c r="BD67" s="219">
        <v>4.1900000000000004</v>
      </c>
      <c r="BE67" s="219">
        <v>4.78</v>
      </c>
      <c r="BF67" s="219">
        <v>9.52</v>
      </c>
      <c r="BG67" s="218">
        <v>12.7</v>
      </c>
      <c r="BH67" s="188"/>
      <c r="BI67" s="672">
        <f t="shared" si="1"/>
        <v>438.15999999999997</v>
      </c>
      <c r="BJ67" s="673"/>
      <c r="BK67" s="673"/>
      <c r="BL67" s="674"/>
      <c r="BM67" s="188"/>
      <c r="BN67" s="188"/>
      <c r="BO67" s="188"/>
      <c r="BP67" s="188"/>
    </row>
    <row r="68" spans="2:68" x14ac:dyDescent="0.2">
      <c r="B68" s="42" t="s">
        <v>2501</v>
      </c>
      <c r="I68" s="42">
        <f>CV!AW4</f>
        <v>200</v>
      </c>
      <c r="AQ68" s="143" t="s">
        <v>478</v>
      </c>
      <c r="AR68" s="143"/>
      <c r="AS68" s="318" t="s">
        <v>887</v>
      </c>
      <c r="AT68" s="143"/>
      <c r="AU68" s="143"/>
      <c r="AV68" s="143"/>
      <c r="AW68" s="214" t="e">
        <f>IF(SchmidtTheory!AZ51=SchmidtTheory!AW51,SchmidtTheory!BA51,"")</f>
        <v>#VALUE!</v>
      </c>
      <c r="AX68" s="214" t="str">
        <f>IF(SchmidtTheory!BE51=TRUE,SchmidtTheory!BF51,"")</f>
        <v/>
      </c>
      <c r="AY68" s="214" t="e">
        <f t="shared" si="2"/>
        <v>#VALUE!</v>
      </c>
      <c r="AZ68" s="143"/>
      <c r="BA68" s="143"/>
      <c r="BB68" s="220" t="s">
        <v>477</v>
      </c>
      <c r="BC68" s="219">
        <v>508</v>
      </c>
      <c r="BD68" s="219">
        <v>4.78</v>
      </c>
      <c r="BE68" s="219">
        <v>5.54</v>
      </c>
      <c r="BF68" s="219">
        <v>9.52</v>
      </c>
      <c r="BG68" s="218">
        <v>12.7</v>
      </c>
      <c r="BH68" s="188"/>
      <c r="BI68" s="672">
        <f t="shared" si="1"/>
        <v>488.96</v>
      </c>
      <c r="BJ68" s="673"/>
      <c r="BK68" s="673"/>
      <c r="BL68" s="674"/>
      <c r="BM68" s="188"/>
      <c r="BN68" s="188"/>
      <c r="BO68" s="188"/>
      <c r="BP68" s="188"/>
    </row>
    <row r="69" spans="2:68" ht="13.5" thickBot="1" x14ac:dyDescent="0.25">
      <c r="AQ69" s="143" t="s">
        <v>476</v>
      </c>
      <c r="AR69" s="143"/>
      <c r="AS69" s="318" t="s">
        <v>888</v>
      </c>
      <c r="AT69" s="143"/>
      <c r="AU69" s="143"/>
      <c r="AV69" s="143"/>
      <c r="AW69" s="214" t="e">
        <f>IF(SchmidtTheory!AZ52=SchmidtTheory!AW52,SchmidtTheory!BA52,"")</f>
        <v>#VALUE!</v>
      </c>
      <c r="AX69" s="214" t="str">
        <f>IF(SchmidtTheory!BE52=TRUE,SchmidtTheory!BF52,"")</f>
        <v/>
      </c>
      <c r="AY69" s="214" t="e">
        <f t="shared" si="2"/>
        <v>#VALUE!</v>
      </c>
      <c r="AZ69" s="143"/>
      <c r="BA69" s="143"/>
      <c r="BB69" s="217" t="s">
        <v>475</v>
      </c>
      <c r="BC69" s="216">
        <v>609.6</v>
      </c>
      <c r="BD69" s="216">
        <v>5.53</v>
      </c>
      <c r="BE69" s="216">
        <v>6.35</v>
      </c>
      <c r="BF69" s="216">
        <v>9.52</v>
      </c>
      <c r="BG69" s="215">
        <v>12.7</v>
      </c>
      <c r="BH69" s="188"/>
      <c r="BI69" s="669">
        <f t="shared" si="1"/>
        <v>590.56000000000006</v>
      </c>
      <c r="BJ69" s="670"/>
      <c r="BK69" s="670"/>
      <c r="BL69" s="671"/>
      <c r="BM69" s="188"/>
      <c r="BN69" s="188"/>
      <c r="BO69" s="188"/>
      <c r="BP69" s="188"/>
    </row>
    <row r="70" spans="2:68" x14ac:dyDescent="0.2">
      <c r="AQ70" s="143" t="s">
        <v>474</v>
      </c>
      <c r="AR70" s="143"/>
      <c r="AS70" s="318" t="s">
        <v>890</v>
      </c>
      <c r="AT70" s="143"/>
      <c r="AU70" s="143"/>
      <c r="AV70" s="143"/>
      <c r="AW70" s="214" t="str">
        <f>IF(SchmidtTheory!AZ53=SchmidtTheory!AW53,SchmidtTheory!BA53,"")</f>
        <v/>
      </c>
      <c r="AX70" s="214" t="str">
        <f>IF(SchmidtTheory!BE53=TRUE,SchmidtTheory!BF53,"")</f>
        <v/>
      </c>
      <c r="AY70" s="214" t="str">
        <f t="shared" si="2"/>
        <v/>
      </c>
      <c r="AZ70" s="143"/>
      <c r="BA70" s="143"/>
      <c r="BB70" s="143"/>
      <c r="BC70" s="143"/>
      <c r="BD70" s="143"/>
      <c r="BE70" s="205"/>
      <c r="BF70" s="205"/>
      <c r="BG70" s="205"/>
      <c r="BH70" s="205"/>
      <c r="BI70" s="205"/>
      <c r="BJ70" s="205"/>
      <c r="BK70" s="205"/>
      <c r="BL70" s="205"/>
      <c r="BM70" s="205"/>
      <c r="BN70" s="205"/>
      <c r="BO70" s="205"/>
      <c r="BP70" s="205"/>
    </row>
    <row r="71" spans="2:68" x14ac:dyDescent="0.2">
      <c r="AQ71" s="143"/>
      <c r="AR71" s="143"/>
      <c r="AS71" s="318" t="s">
        <v>892</v>
      </c>
      <c r="AT71" s="143"/>
      <c r="AU71" s="143"/>
      <c r="AV71" s="143"/>
      <c r="AW71" s="214" t="str">
        <f>IF(SchmidtTheory!AZ54=SchmidtTheory!AW54,SchmidtTheory!BA54,"")</f>
        <v/>
      </c>
      <c r="AX71" s="214" t="str">
        <f>IF(SchmidtTheory!BE54=TRUE,SchmidtTheory!BF54,"")</f>
        <v/>
      </c>
      <c r="AY71" s="214" t="str">
        <f t="shared" si="2"/>
        <v/>
      </c>
      <c r="AZ71" s="143"/>
      <c r="BA71" s="143"/>
      <c r="BB71" s="143"/>
      <c r="BC71" s="143"/>
      <c r="BD71" s="143"/>
      <c r="BE71" s="205"/>
      <c r="BF71" s="205"/>
      <c r="BG71" s="205"/>
      <c r="BH71" s="205"/>
      <c r="BI71" s="205"/>
      <c r="BJ71" s="205"/>
      <c r="BK71" s="205"/>
      <c r="BL71" s="205"/>
      <c r="BM71" s="205"/>
      <c r="BN71" s="205"/>
      <c r="BO71" s="205"/>
      <c r="BP71" s="205"/>
    </row>
    <row r="72" spans="2:68" x14ac:dyDescent="0.2">
      <c r="AR72" s="143"/>
      <c r="AS72" s="318" t="s">
        <v>894</v>
      </c>
      <c r="AT72" s="143"/>
      <c r="AU72" s="143"/>
      <c r="AV72" s="143"/>
      <c r="AW72" s="214" t="str">
        <f>IF(SchmidtTheory!AZ55=SchmidtTheory!AW55,SchmidtTheory!BA55,"")</f>
        <v/>
      </c>
      <c r="AX72" s="214" t="str">
        <f>IF(SchmidtTheory!BE55=TRUE,SchmidtTheory!BF55,"")</f>
        <v/>
      </c>
      <c r="AY72" s="214" t="str">
        <f t="shared" si="2"/>
        <v/>
      </c>
      <c r="AZ72" s="143"/>
      <c r="BA72" s="143"/>
      <c r="BB72" s="143"/>
      <c r="BC72" s="143"/>
      <c r="BD72" s="143"/>
      <c r="BE72" s="205"/>
      <c r="BF72" s="205"/>
      <c r="BG72" s="205"/>
      <c r="BH72" s="205"/>
      <c r="BI72" s="205"/>
      <c r="BJ72" s="205"/>
      <c r="BK72" s="205"/>
      <c r="BL72" s="205"/>
      <c r="BM72" s="205"/>
      <c r="BN72" s="205"/>
      <c r="BO72" s="205"/>
      <c r="BP72" s="205"/>
    </row>
    <row r="73" spans="2:68" x14ac:dyDescent="0.2">
      <c r="AR73" s="143"/>
      <c r="AS73" s="318" t="s">
        <v>895</v>
      </c>
      <c r="AT73" s="143"/>
      <c r="AU73" s="143"/>
      <c r="AV73" s="143"/>
      <c r="AW73" s="214" t="str">
        <f>IF(SchmidtTheory!AZ56=SchmidtTheory!AW56,SchmidtTheory!BA56,"")</f>
        <v/>
      </c>
      <c r="AX73" s="214" t="str">
        <f>IF(SchmidtTheory!BE56=TRUE,SchmidtTheory!BF56,"")</f>
        <v/>
      </c>
      <c r="AY73" s="214" t="str">
        <f t="shared" si="2"/>
        <v/>
      </c>
      <c r="AZ73" s="143"/>
      <c r="BA73" s="143"/>
      <c r="BB73" s="143"/>
      <c r="BC73" s="143"/>
      <c r="BD73" s="143"/>
      <c r="BE73" s="205"/>
      <c r="BF73" s="205"/>
      <c r="BG73" s="205"/>
      <c r="BH73" s="205"/>
      <c r="BI73" s="205"/>
      <c r="BJ73" s="205"/>
      <c r="BK73" s="205"/>
      <c r="BL73" s="205"/>
      <c r="BM73" s="205"/>
      <c r="BN73" s="205"/>
      <c r="BO73" s="205"/>
      <c r="BP73" s="205"/>
    </row>
    <row r="74" spans="2:68" x14ac:dyDescent="0.2">
      <c r="AR74" s="143"/>
      <c r="AS74" s="318" t="s">
        <v>897</v>
      </c>
      <c r="AT74" s="143"/>
      <c r="AU74" s="143"/>
      <c r="AV74" s="143"/>
      <c r="AW74" s="214" t="str">
        <f>IF(SchmidtTheory!AZ57=SchmidtTheory!AW57,SchmidtTheory!BA57,"")</f>
        <v/>
      </c>
      <c r="AX74" s="214" t="str">
        <f>IF(SchmidtTheory!BE57=TRUE,SchmidtTheory!BF57,"")</f>
        <v/>
      </c>
      <c r="AY74" s="214" t="str">
        <f t="shared" si="2"/>
        <v/>
      </c>
      <c r="AZ74" s="143"/>
      <c r="BA74" s="143"/>
      <c r="BB74" s="143"/>
      <c r="BC74" s="143"/>
      <c r="BD74" s="143"/>
      <c r="BE74" s="205"/>
      <c r="BF74" s="205"/>
      <c r="BG74" s="205"/>
      <c r="BH74" s="205"/>
      <c r="BI74" s="205"/>
      <c r="BJ74" s="205"/>
      <c r="BK74" s="205"/>
      <c r="BL74" s="205"/>
      <c r="BM74" s="205"/>
      <c r="BN74" s="205"/>
      <c r="BO74" s="205"/>
      <c r="BP74" s="205"/>
    </row>
    <row r="75" spans="2:68" x14ac:dyDescent="0.2">
      <c r="AR75" s="143"/>
      <c r="AS75" s="318" t="s">
        <v>899</v>
      </c>
      <c r="AT75" s="143"/>
      <c r="AU75" s="143"/>
      <c r="AV75" s="143"/>
      <c r="AW75" s="214" t="str">
        <f>IF(SchmidtTheory!AZ58=SchmidtTheory!AW58,SchmidtTheory!BA58,"")</f>
        <v/>
      </c>
      <c r="AX75" s="214" t="str">
        <f>IF(SchmidtTheory!BE58=TRUE,SchmidtTheory!BF58,"")</f>
        <v/>
      </c>
      <c r="AY75" s="214" t="str">
        <f t="shared" si="2"/>
        <v/>
      </c>
      <c r="AZ75" s="143"/>
      <c r="BA75" s="143"/>
      <c r="BB75" s="143"/>
      <c r="BC75" s="143"/>
      <c r="BD75" s="143"/>
      <c r="BE75" s="205"/>
      <c r="BF75" s="205"/>
      <c r="BG75" s="205"/>
      <c r="BH75" s="205"/>
      <c r="BI75" s="205"/>
      <c r="BJ75" s="205"/>
      <c r="BK75" s="205"/>
      <c r="BL75" s="205"/>
      <c r="BM75" s="205"/>
      <c r="BN75" s="205"/>
      <c r="BO75" s="205"/>
      <c r="BP75" s="205"/>
    </row>
    <row r="76" spans="2:68" x14ac:dyDescent="0.2">
      <c r="AR76" s="143"/>
      <c r="AS76" s="323" t="s">
        <v>756</v>
      </c>
      <c r="AT76" s="143"/>
      <c r="AU76" s="143"/>
      <c r="AV76" s="143"/>
      <c r="AW76" s="214" t="str">
        <f>IF(SchmidtTheory!AZ59=SchmidtTheory!AW59,SchmidtTheory!BA59,"")</f>
        <v/>
      </c>
      <c r="AX76" s="214" t="str">
        <f>IF(SchmidtTheory!BE59=TRUE,SchmidtTheory!BF59,"")</f>
        <v/>
      </c>
      <c r="AY76" s="214" t="str">
        <f t="shared" si="2"/>
        <v/>
      </c>
      <c r="AZ76" s="143"/>
      <c r="BA76" s="143"/>
      <c r="BB76" s="143"/>
      <c r="BC76" s="143"/>
      <c r="BD76" s="143"/>
      <c r="BE76" s="205"/>
      <c r="BF76" s="205"/>
      <c r="BG76" s="205"/>
      <c r="BH76" s="205"/>
      <c r="BI76" s="205"/>
      <c r="BJ76" s="205"/>
      <c r="BK76" s="205"/>
      <c r="BL76" s="205"/>
      <c r="BM76" s="205"/>
      <c r="BN76" s="205"/>
      <c r="BO76" s="205"/>
      <c r="BP76" s="205"/>
    </row>
    <row r="77" spans="2:68" x14ac:dyDescent="0.2">
      <c r="AR77" s="143"/>
      <c r="AS77" s="318" t="s">
        <v>901</v>
      </c>
      <c r="AT77" s="143"/>
      <c r="AU77" s="143"/>
      <c r="AV77" s="143"/>
      <c r="AW77" s="214" t="str">
        <f>IF(SchmidtTheory!AZ60=SchmidtTheory!AW60,SchmidtTheory!BA60,"")</f>
        <v/>
      </c>
      <c r="AX77" s="214" t="str">
        <f>IF(SchmidtTheory!BE60=TRUE,SchmidtTheory!BF60,"")</f>
        <v/>
      </c>
      <c r="AY77" s="214" t="str">
        <f t="shared" si="2"/>
        <v/>
      </c>
      <c r="AZ77" s="143"/>
      <c r="BA77" s="143"/>
      <c r="BB77" s="143"/>
      <c r="BC77" s="143"/>
      <c r="BD77" s="143"/>
      <c r="BE77" s="205"/>
      <c r="BF77" s="205"/>
      <c r="BG77" s="205"/>
      <c r="BH77" s="205"/>
      <c r="BI77" s="205"/>
      <c r="BJ77" s="205"/>
      <c r="BK77" s="205"/>
      <c r="BL77" s="205"/>
      <c r="BM77" s="205"/>
      <c r="BN77" s="205"/>
      <c r="BO77" s="205"/>
      <c r="BP77" s="205"/>
    </row>
    <row r="78" spans="2:68" x14ac:dyDescent="0.2">
      <c r="AR78" s="143"/>
      <c r="AS78" s="318" t="s">
        <v>903</v>
      </c>
      <c r="AT78" s="143"/>
      <c r="AU78" s="143"/>
      <c r="AV78" s="143"/>
      <c r="AW78" s="214" t="str">
        <f>IF(SchmidtTheory!AZ61=SchmidtTheory!AW61,SchmidtTheory!BA61,"")</f>
        <v/>
      </c>
      <c r="AX78" s="214" t="str">
        <f>IF(SchmidtTheory!BE61=TRUE,SchmidtTheory!BF61,"")</f>
        <v/>
      </c>
      <c r="AY78" s="214" t="str">
        <f t="shared" si="2"/>
        <v/>
      </c>
      <c r="AZ78" s="143"/>
      <c r="BA78" s="143"/>
      <c r="BB78" s="143"/>
      <c r="BC78" s="143"/>
      <c r="BD78" s="143"/>
      <c r="BE78" s="205"/>
      <c r="BF78" s="205"/>
      <c r="BG78" s="205"/>
      <c r="BH78" s="205"/>
      <c r="BI78" s="205"/>
      <c r="BJ78" s="205"/>
      <c r="BK78" s="205"/>
      <c r="BL78" s="205"/>
      <c r="BM78" s="205"/>
      <c r="BN78" s="205"/>
      <c r="BO78" s="205"/>
      <c r="BP78" s="205"/>
    </row>
    <row r="79" spans="2:68" x14ac:dyDescent="0.2">
      <c r="AR79" s="143"/>
      <c r="AS79" s="318" t="s">
        <v>905</v>
      </c>
      <c r="AT79" s="143"/>
      <c r="AU79" s="143"/>
      <c r="AV79" s="143"/>
      <c r="AW79" s="214" t="str">
        <f>IF(SchmidtTheory!AZ62=SchmidtTheory!AW62,SchmidtTheory!BA62,"")</f>
        <v/>
      </c>
      <c r="AX79" s="214" t="str">
        <f>IF(SchmidtTheory!BE62=TRUE,SchmidtTheory!BF62,"")</f>
        <v/>
      </c>
      <c r="AY79" s="214" t="str">
        <f t="shared" si="2"/>
        <v/>
      </c>
      <c r="AZ79" s="143"/>
      <c r="BA79" s="143"/>
      <c r="BB79" s="143"/>
      <c r="BC79" s="143"/>
      <c r="BD79" s="143"/>
      <c r="BE79" s="205"/>
      <c r="BF79" s="205"/>
      <c r="BG79" s="205"/>
      <c r="BH79" s="205"/>
      <c r="BI79" s="205"/>
      <c r="BJ79" s="205"/>
      <c r="BK79" s="205"/>
      <c r="BL79" s="205"/>
      <c r="BM79" s="205"/>
      <c r="BN79" s="205"/>
      <c r="BO79" s="205"/>
      <c r="BP79" s="205"/>
    </row>
    <row r="80" spans="2:68" x14ac:dyDescent="0.2">
      <c r="AR80" s="143"/>
      <c r="AS80" s="318" t="s">
        <v>907</v>
      </c>
      <c r="AT80" s="143"/>
      <c r="AU80" s="143"/>
      <c r="AV80" s="143"/>
      <c r="AW80" s="214" t="str">
        <f>IF(SchmidtTheory!AZ63=SchmidtTheory!AW63,SchmidtTheory!BA63,"")</f>
        <v/>
      </c>
      <c r="AX80" s="214" t="str">
        <f>IF(SchmidtTheory!BE63=TRUE,SchmidtTheory!BF63,"")</f>
        <v/>
      </c>
      <c r="AY80" s="214" t="str">
        <f t="shared" si="2"/>
        <v/>
      </c>
      <c r="AZ80" s="143"/>
      <c r="BA80" s="143"/>
      <c r="BB80" s="143"/>
      <c r="BC80" s="143"/>
      <c r="BD80" s="143"/>
      <c r="BE80" s="205"/>
      <c r="BF80" s="205"/>
      <c r="BG80" s="205"/>
      <c r="BH80" s="205"/>
      <c r="BI80" s="205"/>
      <c r="BJ80" s="205"/>
      <c r="BK80" s="205"/>
      <c r="BL80" s="205"/>
      <c r="BM80" s="205"/>
      <c r="BN80" s="205"/>
      <c r="BO80" s="205"/>
      <c r="BP80" s="205"/>
    </row>
    <row r="81" spans="43:68" x14ac:dyDescent="0.2">
      <c r="AQ81" s="143"/>
      <c r="AR81" s="143"/>
      <c r="AS81" s="318" t="s">
        <v>909</v>
      </c>
      <c r="AT81" s="143"/>
      <c r="AU81" s="143"/>
      <c r="AV81" s="143"/>
      <c r="AW81" s="214" t="str">
        <f>IF(SchmidtTheory!AZ64=SchmidtTheory!AW64,SchmidtTheory!BA64,"")</f>
        <v/>
      </c>
      <c r="AX81" s="214" t="str">
        <f>IF(SchmidtTheory!BE64=TRUE,SchmidtTheory!BF64,"")</f>
        <v/>
      </c>
      <c r="AY81" s="214" t="str">
        <f t="shared" si="2"/>
        <v/>
      </c>
      <c r="AZ81" s="143"/>
      <c r="BA81" s="143"/>
      <c r="BB81" s="143"/>
      <c r="BC81" s="143"/>
      <c r="BD81" s="143"/>
      <c r="BE81" s="205"/>
      <c r="BF81" s="205"/>
      <c r="BG81" s="205"/>
      <c r="BH81" s="205"/>
      <c r="BI81" s="205"/>
      <c r="BJ81" s="205"/>
      <c r="BK81" s="205"/>
      <c r="BL81" s="205"/>
      <c r="BM81" s="205"/>
      <c r="BN81" s="205"/>
      <c r="BO81" s="205"/>
      <c r="BP81" s="205"/>
    </row>
    <row r="82" spans="43:68" x14ac:dyDescent="0.2">
      <c r="AQ82" s="143"/>
      <c r="AR82" s="143"/>
      <c r="AS82" s="323" t="s">
        <v>949</v>
      </c>
      <c r="AT82" s="143"/>
      <c r="AU82" s="143"/>
      <c r="AV82" s="143"/>
      <c r="AW82" s="214" t="str">
        <f>IF(SchmidtTheory!AZ65=SchmidtTheory!AW65,SchmidtTheory!BA65,"")</f>
        <v/>
      </c>
      <c r="AX82" s="214" t="str">
        <f>IF(SchmidtTheory!BE65=TRUE,SchmidtTheory!BF65,"")</f>
        <v/>
      </c>
      <c r="AY82" s="214" t="str">
        <f t="shared" si="2"/>
        <v/>
      </c>
      <c r="AZ82" s="143"/>
      <c r="BA82" s="143"/>
      <c r="BB82" s="143"/>
      <c r="BC82" s="143"/>
      <c r="BD82" s="143"/>
      <c r="BE82" s="205"/>
      <c r="BF82" s="205"/>
      <c r="BG82" s="205"/>
      <c r="BH82" s="205"/>
      <c r="BI82" s="205"/>
      <c r="BJ82" s="205"/>
      <c r="BK82" s="205"/>
      <c r="BL82" s="205"/>
      <c r="BM82" s="205"/>
      <c r="BN82" s="205"/>
      <c r="BO82" s="205"/>
      <c r="BP82" s="205"/>
    </row>
    <row r="83" spans="43:68" x14ac:dyDescent="0.2">
      <c r="AQ83" s="143"/>
      <c r="AR83" s="143"/>
      <c r="AS83" s="318" t="s">
        <v>910</v>
      </c>
      <c r="AT83" s="143"/>
      <c r="AU83" s="143"/>
      <c r="AV83" s="143"/>
      <c r="AW83" s="214" t="str">
        <f>IF(SchmidtTheory!AZ66=SchmidtTheory!AW66,SchmidtTheory!BA66,"")</f>
        <v/>
      </c>
      <c r="AX83" s="214" t="str">
        <f>IF(SchmidtTheory!BE66=TRUE,SchmidtTheory!BF66,"")</f>
        <v/>
      </c>
      <c r="AY83" s="214" t="str">
        <f t="shared" si="2"/>
        <v/>
      </c>
      <c r="AZ83" s="143"/>
      <c r="BA83" s="143"/>
      <c r="BB83" s="143"/>
      <c r="BC83" s="143"/>
      <c r="BD83" s="143"/>
      <c r="BE83" s="205"/>
      <c r="BF83" s="205"/>
      <c r="BG83" s="205"/>
      <c r="BH83" s="205"/>
      <c r="BI83" s="205"/>
      <c r="BJ83" s="205"/>
      <c r="BK83" s="205"/>
      <c r="BL83" s="205"/>
      <c r="BM83" s="205"/>
      <c r="BN83" s="205"/>
      <c r="BO83" s="205"/>
      <c r="BP83" s="205"/>
    </row>
    <row r="84" spans="43:68" x14ac:dyDescent="0.2">
      <c r="AQ84" s="143"/>
      <c r="AR84" s="143"/>
      <c r="AS84" s="323" t="s">
        <v>959</v>
      </c>
      <c r="AT84" s="143"/>
      <c r="AU84" s="143"/>
      <c r="AV84" s="143"/>
      <c r="AW84" s="214" t="str">
        <f>IF(SchmidtTheory!AZ67=SchmidtTheory!AW67,SchmidtTheory!BA67,"")</f>
        <v/>
      </c>
      <c r="AX84" s="214" t="str">
        <f>IF(SchmidtTheory!BE67=TRUE,SchmidtTheory!BF67,"")</f>
        <v/>
      </c>
      <c r="AY84" s="214" t="str">
        <f t="shared" si="2"/>
        <v/>
      </c>
      <c r="AZ84" s="143"/>
      <c r="BA84" s="143"/>
      <c r="BB84" s="143"/>
      <c r="BC84" s="143"/>
      <c r="BD84" s="143"/>
      <c r="BE84" s="205"/>
      <c r="BF84" s="205"/>
      <c r="BG84" s="205"/>
      <c r="BH84" s="205"/>
      <c r="BI84" s="205"/>
      <c r="BJ84" s="205"/>
      <c r="BK84" s="205"/>
      <c r="BL84" s="205"/>
      <c r="BM84" s="205"/>
      <c r="BN84" s="205"/>
      <c r="BO84" s="205"/>
      <c r="BP84" s="205"/>
    </row>
    <row r="85" spans="43:68" x14ac:dyDescent="0.2">
      <c r="AQ85" s="143"/>
      <c r="AR85" s="143"/>
      <c r="AS85" s="318" t="s">
        <v>961</v>
      </c>
      <c r="AT85" s="143"/>
      <c r="AU85" s="143"/>
      <c r="AV85" s="143"/>
      <c r="AW85" s="214" t="str">
        <f>IF(SchmidtTheory!AZ68=SchmidtTheory!AW68,SchmidtTheory!BA68,"")</f>
        <v/>
      </c>
      <c r="AX85" s="214" t="str">
        <f>IF(SchmidtTheory!BE68=TRUE,SchmidtTheory!BF68,"")</f>
        <v/>
      </c>
      <c r="AY85" s="214" t="str">
        <f t="shared" si="2"/>
        <v/>
      </c>
      <c r="AZ85" s="143"/>
      <c r="BA85" s="143"/>
      <c r="BB85" s="143"/>
      <c r="BC85" s="143"/>
      <c r="BD85" s="143"/>
      <c r="BE85" s="205"/>
      <c r="BF85" s="205"/>
      <c r="BG85" s="205"/>
      <c r="BH85" s="205"/>
      <c r="BI85" s="205"/>
      <c r="BJ85" s="205"/>
      <c r="BK85" s="205"/>
      <c r="BL85" s="205"/>
      <c r="BM85" s="205"/>
      <c r="BN85" s="205"/>
      <c r="BO85" s="205"/>
      <c r="BP85" s="205"/>
    </row>
    <row r="86" spans="43:68" x14ac:dyDescent="0.2">
      <c r="AQ86" s="143"/>
      <c r="AR86" s="143"/>
      <c r="AS86" s="318" t="s">
        <v>912</v>
      </c>
      <c r="AT86" s="143"/>
      <c r="AU86" s="143"/>
      <c r="AV86" s="143"/>
      <c r="AW86" s="214" t="str">
        <f>IF(SchmidtTheory!AZ69=SchmidtTheory!AW69,SchmidtTheory!BA69,"")</f>
        <v/>
      </c>
      <c r="AX86" s="214" t="str">
        <f>IF(SchmidtTheory!BE69=TRUE,SchmidtTheory!BF69,"")</f>
        <v/>
      </c>
      <c r="AY86" s="214" t="str">
        <f t="shared" si="2"/>
        <v/>
      </c>
      <c r="AZ86" s="143"/>
      <c r="BA86" s="143"/>
      <c r="BB86" s="143"/>
      <c r="BC86" s="143"/>
      <c r="BD86" s="143"/>
      <c r="BE86" s="205"/>
      <c r="BF86" s="205"/>
      <c r="BG86" s="205"/>
      <c r="BH86" s="205"/>
      <c r="BI86" s="205"/>
      <c r="BJ86" s="205"/>
      <c r="BK86" s="205"/>
      <c r="BL86" s="205"/>
      <c r="BM86" s="205"/>
      <c r="BN86" s="205"/>
      <c r="BO86" s="205"/>
      <c r="BP86" s="205"/>
    </row>
    <row r="87" spans="43:68" x14ac:dyDescent="0.2">
      <c r="AQ87" s="143"/>
      <c r="AR87" s="143"/>
      <c r="AS87" s="318" t="s">
        <v>914</v>
      </c>
      <c r="AT87" s="143"/>
      <c r="AU87" s="143"/>
      <c r="AV87" s="143"/>
      <c r="AW87" s="214" t="str">
        <f>IF(SchmidtTheory!AZ70=SchmidtTheory!AW70,SchmidtTheory!BA70,"")</f>
        <v/>
      </c>
      <c r="AX87" s="214" t="str">
        <f>IF(SchmidtTheory!BE70=TRUE,SchmidtTheory!BF70,"")</f>
        <v/>
      </c>
      <c r="AY87" s="214" t="str">
        <f t="shared" si="2"/>
        <v/>
      </c>
      <c r="AZ87" s="143"/>
      <c r="BA87" s="143"/>
      <c r="BB87" s="143"/>
      <c r="BC87" s="143"/>
      <c r="BD87" s="143"/>
      <c r="BE87" s="205"/>
      <c r="BF87" s="205"/>
      <c r="BG87" s="205"/>
      <c r="BH87" s="205"/>
      <c r="BI87" s="205"/>
      <c r="BJ87" s="205"/>
      <c r="BK87" s="205"/>
      <c r="BL87" s="205"/>
      <c r="BM87" s="205"/>
      <c r="BN87" s="205"/>
      <c r="BO87" s="205"/>
      <c r="BP87" s="205"/>
    </row>
    <row r="88" spans="43:68" x14ac:dyDescent="0.2">
      <c r="AQ88" s="143"/>
      <c r="AR88" s="143"/>
      <c r="AS88" s="318" t="s">
        <v>916</v>
      </c>
      <c r="AT88" s="143"/>
      <c r="AU88" s="143"/>
      <c r="AV88" s="143"/>
      <c r="AW88" s="212"/>
      <c r="AX88" s="212"/>
      <c r="AY88" s="214"/>
      <c r="AZ88" s="143"/>
      <c r="BA88" s="143"/>
      <c r="BB88" s="143"/>
      <c r="BC88" s="143"/>
      <c r="BD88" s="143"/>
      <c r="BE88" s="205"/>
      <c r="BF88" s="205"/>
      <c r="BG88" s="205"/>
      <c r="BH88" s="205"/>
      <c r="BI88" s="205"/>
      <c r="BJ88" s="205"/>
      <c r="BK88" s="205"/>
      <c r="BL88" s="205"/>
      <c r="BM88" s="205"/>
      <c r="BN88" s="205"/>
      <c r="BO88" s="205"/>
      <c r="BP88" s="205"/>
    </row>
    <row r="89" spans="43:68" x14ac:dyDescent="0.2">
      <c r="AQ89" s="143"/>
      <c r="AR89" s="143"/>
      <c r="AS89" s="318" t="s">
        <v>918</v>
      </c>
      <c r="AT89" s="143"/>
      <c r="AU89" s="143"/>
      <c r="AV89" s="143"/>
      <c r="AW89" s="212"/>
      <c r="AX89" s="212"/>
      <c r="AY89" s="214"/>
      <c r="AZ89" s="143"/>
      <c r="BA89" s="143"/>
      <c r="BB89" s="143"/>
      <c r="BC89" s="143"/>
      <c r="BD89" s="143"/>
      <c r="BE89" s="205"/>
      <c r="BF89" s="205"/>
      <c r="BG89" s="205"/>
      <c r="BH89" s="205"/>
      <c r="BI89" s="205"/>
      <c r="BJ89" s="205"/>
      <c r="BK89" s="205"/>
      <c r="BL89" s="205"/>
      <c r="BM89" s="205"/>
      <c r="BN89" s="205"/>
      <c r="BO89" s="205"/>
      <c r="BP89" s="205"/>
    </row>
    <row r="90" spans="43:68" x14ac:dyDescent="0.2">
      <c r="AQ90" s="143"/>
      <c r="AR90" s="143"/>
      <c r="AS90" s="318" t="s">
        <v>920</v>
      </c>
      <c r="AT90" s="143"/>
      <c r="AU90" s="143"/>
      <c r="AV90" s="143"/>
      <c r="AW90" s="212"/>
      <c r="AX90" s="212"/>
      <c r="AY90" s="214"/>
      <c r="AZ90" s="143"/>
      <c r="BA90" s="143"/>
      <c r="BB90" s="143"/>
      <c r="BC90" s="143"/>
      <c r="BD90" s="143"/>
      <c r="BE90" s="205"/>
      <c r="BF90" s="205"/>
      <c r="BG90" s="205"/>
      <c r="BH90" s="205"/>
      <c r="BI90" s="205"/>
      <c r="BJ90" s="205"/>
      <c r="BK90" s="205"/>
      <c r="BL90" s="205"/>
      <c r="BM90" s="205"/>
      <c r="BN90" s="205"/>
      <c r="BO90" s="205"/>
      <c r="BP90" s="205"/>
    </row>
    <row r="91" spans="43:68" x14ac:dyDescent="0.2">
      <c r="AQ91" s="143"/>
      <c r="AR91" s="143"/>
      <c r="AS91" s="318" t="s">
        <v>922</v>
      </c>
      <c r="AT91" s="143"/>
      <c r="AU91" s="143"/>
      <c r="AV91" s="143"/>
      <c r="AW91" s="212"/>
      <c r="AX91" s="212"/>
      <c r="AY91" s="214"/>
      <c r="AZ91" s="143"/>
      <c r="BA91" s="143"/>
      <c r="BB91" s="143"/>
      <c r="BC91" s="143"/>
      <c r="BD91" s="143"/>
      <c r="BE91" s="205"/>
      <c r="BF91" s="205"/>
      <c r="BG91" s="205"/>
      <c r="BH91" s="205"/>
      <c r="BI91" s="205"/>
      <c r="BJ91" s="205"/>
      <c r="BK91" s="205"/>
      <c r="BL91" s="205"/>
      <c r="BM91" s="205"/>
      <c r="BN91" s="205"/>
      <c r="BO91" s="205"/>
      <c r="BP91" s="205"/>
    </row>
    <row r="92" spans="43:68" x14ac:dyDescent="0.2">
      <c r="AS92" s="323" t="s">
        <v>757</v>
      </c>
      <c r="AW92" s="214" t="str">
        <f>IF(SchmidtTheory!AZ75=SchmidtTheory!AW75,SchmidtTheory!BA75,"")</f>
        <v/>
      </c>
      <c r="AX92" s="214" t="str">
        <f>IF(SchmidtTheory!BE75=TRUE,SchmidtTheory!BF75,"")</f>
        <v/>
      </c>
      <c r="AY92" s="214" t="str">
        <f t="shared" ref="AY92:AY109" si="3">IF($AC$37=TEXT($AS$16,$AU$16),AW92,AX92)</f>
        <v/>
      </c>
    </row>
    <row r="93" spans="43:68" x14ac:dyDescent="0.2">
      <c r="AS93" s="318" t="s">
        <v>923</v>
      </c>
      <c r="AW93" s="214" t="str">
        <f>IF(SchmidtTheory!AZ76=SchmidtTheory!AW76,SchmidtTheory!BA76,"")</f>
        <v/>
      </c>
      <c r="AX93" s="214" t="str">
        <f>IF(SchmidtTheory!BE76=TRUE,SchmidtTheory!BF76,"")</f>
        <v/>
      </c>
      <c r="AY93" s="214" t="str">
        <f t="shared" si="3"/>
        <v/>
      </c>
    </row>
    <row r="94" spans="43:68" x14ac:dyDescent="0.2">
      <c r="AS94" s="329" t="s">
        <v>964</v>
      </c>
      <c r="AW94" s="214" t="str">
        <f>IF(SchmidtTheory!AZ77=SchmidtTheory!AW77,SchmidtTheory!BA77,"")</f>
        <v/>
      </c>
      <c r="AX94" s="214" t="str">
        <f>IF(SchmidtTheory!BE77=TRUE,SchmidtTheory!BF77,"")</f>
        <v/>
      </c>
      <c r="AY94" s="214" t="str">
        <f t="shared" si="3"/>
        <v/>
      </c>
    </row>
    <row r="95" spans="43:68" x14ac:dyDescent="0.2">
      <c r="AS95" s="329" t="s">
        <v>1010</v>
      </c>
      <c r="AW95" s="214" t="str">
        <f>IF(SchmidtTheory!AZ78=SchmidtTheory!AW78,SchmidtTheory!BA78,"")</f>
        <v/>
      </c>
      <c r="AX95" s="214" t="str">
        <f>IF(SchmidtTheory!BE78=TRUE,SchmidtTheory!BF78,"")</f>
        <v/>
      </c>
      <c r="AY95" s="214" t="str">
        <f t="shared" si="3"/>
        <v/>
      </c>
    </row>
    <row r="96" spans="43:68" x14ac:dyDescent="0.2">
      <c r="AW96" s="214" t="str">
        <f>IF(SchmidtTheory!AZ79=SchmidtTheory!AW79,SchmidtTheory!BA79,"")</f>
        <v/>
      </c>
      <c r="AX96" s="214" t="str">
        <f>IF(SchmidtTheory!BE79=TRUE,SchmidtTheory!BF79,"")</f>
        <v/>
      </c>
      <c r="AY96" s="214" t="str">
        <f t="shared" si="3"/>
        <v/>
      </c>
    </row>
    <row r="97" spans="49:51" x14ac:dyDescent="0.2">
      <c r="AW97" s="214" t="str">
        <f>IF(SchmidtTheory!AZ80=SchmidtTheory!AW80,SchmidtTheory!BA80,"")</f>
        <v/>
      </c>
      <c r="AX97" s="214" t="str">
        <f>IF(SchmidtTheory!BE80=TRUE,SchmidtTheory!BF80,"")</f>
        <v/>
      </c>
      <c r="AY97" s="214" t="str">
        <f t="shared" si="3"/>
        <v/>
      </c>
    </row>
    <row r="98" spans="49:51" x14ac:dyDescent="0.2">
      <c r="AW98" s="214" t="str">
        <f>IF(SchmidtTheory!AZ81=SchmidtTheory!AW81,SchmidtTheory!BA81,"")</f>
        <v/>
      </c>
      <c r="AX98" s="214" t="str">
        <f>IF(SchmidtTheory!BE81=TRUE,SchmidtTheory!BF81,"")</f>
        <v/>
      </c>
      <c r="AY98" s="214" t="str">
        <f t="shared" si="3"/>
        <v/>
      </c>
    </row>
    <row r="99" spans="49:51" x14ac:dyDescent="0.2">
      <c r="AW99" s="214" t="str">
        <f>IF(SchmidtTheory!AZ82=SchmidtTheory!AW82,SchmidtTheory!BA82,"")</f>
        <v/>
      </c>
      <c r="AX99" s="214" t="str">
        <f>IF(SchmidtTheory!BE82=TRUE,SchmidtTheory!BF82,"")</f>
        <v/>
      </c>
      <c r="AY99" s="214" t="str">
        <f t="shared" si="3"/>
        <v/>
      </c>
    </row>
    <row r="100" spans="49:51" x14ac:dyDescent="0.2">
      <c r="AW100" s="214" t="str">
        <f>IF(SchmidtTheory!AZ83=SchmidtTheory!AW83,SchmidtTheory!BA83,"")</f>
        <v/>
      </c>
      <c r="AX100" s="214" t="str">
        <f>IF(SchmidtTheory!BE83=TRUE,SchmidtTheory!BF83,"")</f>
        <v/>
      </c>
      <c r="AY100" s="214" t="str">
        <f t="shared" si="3"/>
        <v/>
      </c>
    </row>
    <row r="101" spans="49:51" x14ac:dyDescent="0.2">
      <c r="AW101" s="214" t="str">
        <f>IF(SchmidtTheory!AZ84=SchmidtTheory!AW84,SchmidtTheory!BA84,"")</f>
        <v/>
      </c>
      <c r="AX101" s="214" t="str">
        <f>IF(SchmidtTheory!BE84=TRUE,SchmidtTheory!BF84,"")</f>
        <v/>
      </c>
      <c r="AY101" s="214" t="str">
        <f t="shared" si="3"/>
        <v/>
      </c>
    </row>
    <row r="102" spans="49:51" x14ac:dyDescent="0.2">
      <c r="AW102" s="214" t="str">
        <f>IF(SchmidtTheory!AZ85=SchmidtTheory!AW85,SchmidtTheory!BA85,"")</f>
        <v/>
      </c>
      <c r="AX102" s="214" t="str">
        <f>IF(SchmidtTheory!BE85=TRUE,SchmidtTheory!BF85,"")</f>
        <v/>
      </c>
      <c r="AY102" s="214" t="str">
        <f t="shared" si="3"/>
        <v/>
      </c>
    </row>
    <row r="103" spans="49:51" x14ac:dyDescent="0.2">
      <c r="AW103" s="214" t="str">
        <f>IF(SchmidtTheory!AZ86=SchmidtTheory!AW86,SchmidtTheory!BA86,"")</f>
        <v/>
      </c>
      <c r="AX103" s="214" t="str">
        <f>IF(SchmidtTheory!BE86=TRUE,SchmidtTheory!BF86,"")</f>
        <v/>
      </c>
      <c r="AY103" s="214" t="str">
        <f t="shared" si="3"/>
        <v/>
      </c>
    </row>
    <row r="104" spans="49:51" x14ac:dyDescent="0.2">
      <c r="AW104" s="214" t="str">
        <f>IF(SchmidtTheory!AZ87=SchmidtTheory!AW87,SchmidtTheory!BA87,"")</f>
        <v/>
      </c>
      <c r="AX104" s="214" t="str">
        <f>IF(SchmidtTheory!BE87=TRUE,SchmidtTheory!BF87,"")</f>
        <v/>
      </c>
      <c r="AY104" s="214" t="str">
        <f t="shared" si="3"/>
        <v/>
      </c>
    </row>
    <row r="105" spans="49:51" x14ac:dyDescent="0.2">
      <c r="AW105" s="214" t="str">
        <f>IF(SchmidtTheory!AZ88=SchmidtTheory!AW88,SchmidtTheory!BA88,"")</f>
        <v/>
      </c>
      <c r="AX105" s="214" t="str">
        <f>IF(SchmidtTheory!BE88=TRUE,SchmidtTheory!BF88,"")</f>
        <v/>
      </c>
      <c r="AY105" s="214" t="str">
        <f t="shared" si="3"/>
        <v/>
      </c>
    </row>
    <row r="106" spans="49:51" x14ac:dyDescent="0.2">
      <c r="AW106" s="214" t="str">
        <f>IF(SchmidtTheory!AZ89=SchmidtTheory!AW89,SchmidtTheory!BA89,"")</f>
        <v/>
      </c>
      <c r="AX106" s="214" t="str">
        <f>IF(SchmidtTheory!BE89=TRUE,SchmidtTheory!BF89,"")</f>
        <v/>
      </c>
      <c r="AY106" s="214" t="str">
        <f t="shared" si="3"/>
        <v/>
      </c>
    </row>
    <row r="107" spans="49:51" x14ac:dyDescent="0.2">
      <c r="AW107" s="214" t="str">
        <f>IF(SchmidtTheory!AZ90=SchmidtTheory!AW90,SchmidtTheory!BA90,"")</f>
        <v/>
      </c>
      <c r="AX107" s="214" t="str">
        <f>IF(SchmidtTheory!BE90=TRUE,SchmidtTheory!BF90,"")</f>
        <v/>
      </c>
      <c r="AY107" s="214" t="str">
        <f t="shared" si="3"/>
        <v/>
      </c>
    </row>
    <row r="108" spans="49:51" x14ac:dyDescent="0.2">
      <c r="AW108" s="214" t="str">
        <f>IF(SchmidtTheory!AZ91=SchmidtTheory!AW91,SchmidtTheory!BA91,"")</f>
        <v/>
      </c>
      <c r="AX108" s="214" t="str">
        <f>IF(SchmidtTheory!BE91=TRUE,SchmidtTheory!BF91,"")</f>
        <v/>
      </c>
      <c r="AY108" s="214" t="str">
        <f t="shared" si="3"/>
        <v/>
      </c>
    </row>
    <row r="109" spans="49:51" x14ac:dyDescent="0.2">
      <c r="AW109" s="214" t="str">
        <f>IF(SchmidtTheory!AZ92=SchmidtTheory!AW92,SchmidtTheory!BA92,"")</f>
        <v/>
      </c>
      <c r="AX109" s="214" t="str">
        <f>IF(SchmidtTheory!BE92=TRUE,SchmidtTheory!BF92,"")</f>
        <v/>
      </c>
      <c r="AY109" s="214" t="str">
        <f t="shared" si="3"/>
        <v/>
      </c>
    </row>
    <row r="110" spans="49:51" x14ac:dyDescent="0.2">
      <c r="AW110" s="213"/>
      <c r="AX110" s="213"/>
      <c r="AY110" s="212"/>
    </row>
    <row r="111" spans="49:51" x14ac:dyDescent="0.2">
      <c r="AW111" s="213"/>
      <c r="AX111" s="213"/>
      <c r="AY111" s="212"/>
    </row>
    <row r="112" spans="49:51" x14ac:dyDescent="0.2">
      <c r="AW112" s="213"/>
      <c r="AX112" s="213"/>
      <c r="AY112" s="212"/>
    </row>
    <row r="113" spans="49:51" ht="13.5" thickBot="1" x14ac:dyDescent="0.25">
      <c r="AW113" s="211"/>
      <c r="AX113" s="211"/>
      <c r="AY113" s="210"/>
    </row>
  </sheetData>
  <dataConsolidate function="product">
    <dataRefs count="1">
      <dataRef ref="V7:V96" sheet="Schmidt Armaturen Theory" r:id="rId1"/>
    </dataRefs>
  </dataConsolidate>
  <mergeCells count="360">
    <mergeCell ref="P14:Q14"/>
    <mergeCell ref="R14:W14"/>
    <mergeCell ref="L13:Q13"/>
    <mergeCell ref="U18:W18"/>
    <mergeCell ref="R18:T18"/>
    <mergeCell ref="O18:Q18"/>
    <mergeCell ref="R17:W17"/>
    <mergeCell ref="L17:Q17"/>
    <mergeCell ref="AJ4:AO4"/>
    <mergeCell ref="X6:Y6"/>
    <mergeCell ref="F6:G6"/>
    <mergeCell ref="H6:W6"/>
    <mergeCell ref="X9:AO9"/>
    <mergeCell ref="F7:G7"/>
    <mergeCell ref="X8:Z8"/>
    <mergeCell ref="AA8:AO8"/>
    <mergeCell ref="Z6:AO6"/>
    <mergeCell ref="X5:Y5"/>
    <mergeCell ref="Z5:AO5"/>
    <mergeCell ref="F5:G5"/>
    <mergeCell ref="H5:W5"/>
    <mergeCell ref="H7:W7"/>
    <mergeCell ref="X7:Y7"/>
    <mergeCell ref="Z7:AO7"/>
    <mergeCell ref="AG10:AI10"/>
    <mergeCell ref="L12:Q12"/>
    <mergeCell ref="B2:AO3"/>
    <mergeCell ref="B4:E9"/>
    <mergeCell ref="F4:H4"/>
    <mergeCell ref="I4:W4"/>
    <mergeCell ref="X4:AA4"/>
    <mergeCell ref="AB4:AG4"/>
    <mergeCell ref="AH4:AI4"/>
    <mergeCell ref="F8:I8"/>
    <mergeCell ref="F9:I9"/>
    <mergeCell ref="J9:W9"/>
    <mergeCell ref="E10:K10"/>
    <mergeCell ref="L10:P10"/>
    <mergeCell ref="D11:K12"/>
    <mergeCell ref="AA10:AC10"/>
    <mergeCell ref="Q10:S10"/>
    <mergeCell ref="C10:D10"/>
    <mergeCell ref="AD14:AI14"/>
    <mergeCell ref="J8:W8"/>
    <mergeCell ref="AJ11:AO11"/>
    <mergeCell ref="AD11:AI11"/>
    <mergeCell ref="L11:Q11"/>
    <mergeCell ref="R11:W11"/>
    <mergeCell ref="AD10:AF10"/>
    <mergeCell ref="T10:Z10"/>
    <mergeCell ref="X11:AC11"/>
    <mergeCell ref="AD12:AI12"/>
    <mergeCell ref="R12:W12"/>
    <mergeCell ref="X12:AC12"/>
    <mergeCell ref="AJ13:AL13"/>
    <mergeCell ref="AM13:AO13"/>
    <mergeCell ref="AJ14:AO14"/>
    <mergeCell ref="AD13:AI13"/>
    <mergeCell ref="AJ12:AO12"/>
    <mergeCell ref="R13:W13"/>
    <mergeCell ref="X13:AC13"/>
    <mergeCell ref="X14:AC14"/>
    <mergeCell ref="D16:K16"/>
    <mergeCell ref="AD17:AI17"/>
    <mergeCell ref="X17:AC17"/>
    <mergeCell ref="X18:Z18"/>
    <mergeCell ref="AD16:AI16"/>
    <mergeCell ref="AJ15:AO15"/>
    <mergeCell ref="AD15:AI15"/>
    <mergeCell ref="X15:AC15"/>
    <mergeCell ref="R15:W15"/>
    <mergeCell ref="D17:K17"/>
    <mergeCell ref="AJ16:AO16"/>
    <mergeCell ref="D18:K18"/>
    <mergeCell ref="AD18:AI18"/>
    <mergeCell ref="AJ18:AO18"/>
    <mergeCell ref="L18:N18"/>
    <mergeCell ref="X16:AC16"/>
    <mergeCell ref="L16:Q16"/>
    <mergeCell ref="R16:W16"/>
    <mergeCell ref="AJ17:AO17"/>
    <mergeCell ref="AA18:AC18"/>
    <mergeCell ref="AD19:AI19"/>
    <mergeCell ref="R19:W19"/>
    <mergeCell ref="L19:Q19"/>
    <mergeCell ref="L20:O20"/>
    <mergeCell ref="P20:Q20"/>
    <mergeCell ref="X19:Z19"/>
    <mergeCell ref="AA19:AC19"/>
    <mergeCell ref="AD24:AI24"/>
    <mergeCell ref="AJ22:AO22"/>
    <mergeCell ref="X21:AC21"/>
    <mergeCell ref="X23:Z23"/>
    <mergeCell ref="AJ19:AO19"/>
    <mergeCell ref="D20:K20"/>
    <mergeCell ref="R20:W20"/>
    <mergeCell ref="X20:AC20"/>
    <mergeCell ref="AD20:AI20"/>
    <mergeCell ref="AJ20:AO20"/>
    <mergeCell ref="AD21:AI21"/>
    <mergeCell ref="AJ21:AO21"/>
    <mergeCell ref="AL24:AO24"/>
    <mergeCell ref="AA23:AC23"/>
    <mergeCell ref="AD23:AF23"/>
    <mergeCell ref="AG23:AI23"/>
    <mergeCell ref="AJ23:AO23"/>
    <mergeCell ref="X22:AC22"/>
    <mergeCell ref="AJ24:AK24"/>
    <mergeCell ref="AD22:AI22"/>
    <mergeCell ref="C11:C24"/>
    <mergeCell ref="R21:W21"/>
    <mergeCell ref="D13:H13"/>
    <mergeCell ref="I13:K13"/>
    <mergeCell ref="D15:K15"/>
    <mergeCell ref="L15:O15"/>
    <mergeCell ref="P15:Q15"/>
    <mergeCell ref="D14:K14"/>
    <mergeCell ref="L14:O14"/>
    <mergeCell ref="D19:K19"/>
    <mergeCell ref="D21:K21"/>
    <mergeCell ref="L21:Q21"/>
    <mergeCell ref="D23:K23"/>
    <mergeCell ref="X24:AC24"/>
    <mergeCell ref="D24:K24"/>
    <mergeCell ref="L24:Q24"/>
    <mergeCell ref="L23:Q23"/>
    <mergeCell ref="R23:T23"/>
    <mergeCell ref="I26:J26"/>
    <mergeCell ref="M26:U26"/>
    <mergeCell ref="I25:J25"/>
    <mergeCell ref="D22:K22"/>
    <mergeCell ref="L22:Q22"/>
    <mergeCell ref="R24:W24"/>
    <mergeCell ref="C25:C27"/>
    <mergeCell ref="H29:I29"/>
    <mergeCell ref="U23:W23"/>
    <mergeCell ref="R22:W22"/>
    <mergeCell ref="J29:K29"/>
    <mergeCell ref="K26:L26"/>
    <mergeCell ref="M25:U25"/>
    <mergeCell ref="D25:G26"/>
    <mergeCell ref="D27:H27"/>
    <mergeCell ref="I27:U27"/>
    <mergeCell ref="X27:Y27"/>
    <mergeCell ref="AJ27:AO27"/>
    <mergeCell ref="Z27:AE27"/>
    <mergeCell ref="AF27:AI27"/>
    <mergeCell ref="I30:U30"/>
    <mergeCell ref="L29:O29"/>
    <mergeCell ref="D30:H30"/>
    <mergeCell ref="D31:G31"/>
    <mergeCell ref="H31:U31"/>
    <mergeCell ref="I32:U32"/>
    <mergeCell ref="X34:AA34"/>
    <mergeCell ref="D36:G36"/>
    <mergeCell ref="X30:AD30"/>
    <mergeCell ref="D29:E29"/>
    <mergeCell ref="F29:G29"/>
    <mergeCell ref="P29:U29"/>
    <mergeCell ref="I35:U35"/>
    <mergeCell ref="I34:U34"/>
    <mergeCell ref="AJ28:AO28"/>
    <mergeCell ref="AA28:AE28"/>
    <mergeCell ref="AD31:AO31"/>
    <mergeCell ref="AF28:AI28"/>
    <mergeCell ref="X31:AC31"/>
    <mergeCell ref="Z25:AO25"/>
    <mergeCell ref="X25:Y25"/>
    <mergeCell ref="X26:AA26"/>
    <mergeCell ref="K25:L25"/>
    <mergeCell ref="W25:W38"/>
    <mergeCell ref="AB26:AO26"/>
    <mergeCell ref="X29:AD29"/>
    <mergeCell ref="AE29:AO29"/>
    <mergeCell ref="X28:Z28"/>
    <mergeCell ref="AE30:AO30"/>
    <mergeCell ref="H36:U36"/>
    <mergeCell ref="X32:AO32"/>
    <mergeCell ref="V39:V40"/>
    <mergeCell ref="AI33:AO33"/>
    <mergeCell ref="X33:Y33"/>
    <mergeCell ref="D37:G37"/>
    <mergeCell ref="D38:G38"/>
    <mergeCell ref="D33:H33"/>
    <mergeCell ref="Z33:AF33"/>
    <mergeCell ref="D28:E28"/>
    <mergeCell ref="I33:U33"/>
    <mergeCell ref="P41:U41"/>
    <mergeCell ref="AG33:AH33"/>
    <mergeCell ref="AB34:AH34"/>
    <mergeCell ref="AC35:AO35"/>
    <mergeCell ref="AC36:AO36"/>
    <mergeCell ref="X35:AB35"/>
    <mergeCell ref="AK37:AO37"/>
    <mergeCell ref="X37:AB37"/>
    <mergeCell ref="X44:Y44"/>
    <mergeCell ref="H43:U43"/>
    <mergeCell ref="P46:U46"/>
    <mergeCell ref="F46:K46"/>
    <mergeCell ref="D41:G41"/>
    <mergeCell ref="B39:B40"/>
    <mergeCell ref="D39:G40"/>
    <mergeCell ref="H39:U40"/>
    <mergeCell ref="C28:C44"/>
    <mergeCell ref="F28:U28"/>
    <mergeCell ref="AH37:AJ37"/>
    <mergeCell ref="X41:Y41"/>
    <mergeCell ref="D43:G43"/>
    <mergeCell ref="X38:AO38"/>
    <mergeCell ref="X39:Z40"/>
    <mergeCell ref="AA39:AO40"/>
    <mergeCell ref="I42:U42"/>
    <mergeCell ref="X42:AA42"/>
    <mergeCell ref="W39:W46"/>
    <mergeCell ref="D44:U44"/>
    <mergeCell ref="H53:U53"/>
    <mergeCell ref="D34:G35"/>
    <mergeCell ref="H38:U38"/>
    <mergeCell ref="H37:U37"/>
    <mergeCell ref="X43:AF43"/>
    <mergeCell ref="Z41:AO41"/>
    <mergeCell ref="AG43:AO43"/>
    <mergeCell ref="X36:AB36"/>
    <mergeCell ref="AB42:AO42"/>
    <mergeCell ref="AC37:AG37"/>
    <mergeCell ref="C45:C55"/>
    <mergeCell ref="D45:E45"/>
    <mergeCell ref="F45:U45"/>
    <mergeCell ref="K50:U50"/>
    <mergeCell ref="J48:U48"/>
    <mergeCell ref="M49:O49"/>
    <mergeCell ref="H49:J49"/>
    <mergeCell ref="D51:G51"/>
    <mergeCell ref="H51:U51"/>
    <mergeCell ref="D53:G53"/>
    <mergeCell ref="AJ47:AO47"/>
    <mergeCell ref="AG47:AI47"/>
    <mergeCell ref="X50:AB50"/>
    <mergeCell ref="X49:AB49"/>
    <mergeCell ref="AC50:AO50"/>
    <mergeCell ref="H41:M41"/>
    <mergeCell ref="L46:O46"/>
    <mergeCell ref="N41:O41"/>
    <mergeCell ref="D42:H42"/>
    <mergeCell ref="D50:J50"/>
    <mergeCell ref="Y61:AA61"/>
    <mergeCell ref="AE57:AO57"/>
    <mergeCell ref="AM61:AO61"/>
    <mergeCell ref="X57:AD57"/>
    <mergeCell ref="AK44:AO44"/>
    <mergeCell ref="X46:AO46"/>
    <mergeCell ref="AC45:AO45"/>
    <mergeCell ref="Z44:AF44"/>
    <mergeCell ref="AH44:AJ44"/>
    <mergeCell ref="X54:Y54"/>
    <mergeCell ref="D65:U65"/>
    <mergeCell ref="AM65:AO65"/>
    <mergeCell ref="AJ65:AL65"/>
    <mergeCell ref="AB62:AI62"/>
    <mergeCell ref="Y60:AA60"/>
    <mergeCell ref="D59:U59"/>
    <mergeCell ref="D62:U62"/>
    <mergeCell ref="V62:X62"/>
    <mergeCell ref="AJ60:AL60"/>
    <mergeCell ref="AJ61:AL61"/>
    <mergeCell ref="D57:U57"/>
    <mergeCell ref="W47:W51"/>
    <mergeCell ref="D47:G47"/>
    <mergeCell ref="D49:E49"/>
    <mergeCell ref="D46:E46"/>
    <mergeCell ref="D52:I52"/>
    <mergeCell ref="J52:U52"/>
    <mergeCell ref="D48:I48"/>
    <mergeCell ref="H47:U47"/>
    <mergeCell ref="R49:U49"/>
    <mergeCell ref="C56:C65"/>
    <mergeCell ref="D58:U58"/>
    <mergeCell ref="X56:AB56"/>
    <mergeCell ref="Y62:AA62"/>
    <mergeCell ref="W56:W59"/>
    <mergeCell ref="G56:J56"/>
    <mergeCell ref="L56:M56"/>
    <mergeCell ref="AB65:AI65"/>
    <mergeCell ref="V64:X64"/>
    <mergeCell ref="V63:X63"/>
    <mergeCell ref="D55:U55"/>
    <mergeCell ref="AB52:AO52"/>
    <mergeCell ref="S56:U56"/>
    <mergeCell ref="N56:P56"/>
    <mergeCell ref="B67:R67"/>
    <mergeCell ref="S67:X67"/>
    <mergeCell ref="Y67:AO67"/>
    <mergeCell ref="Y65:AA65"/>
    <mergeCell ref="B66:AO66"/>
    <mergeCell ref="V65:X65"/>
    <mergeCell ref="BI57:BL57"/>
    <mergeCell ref="BI52:BL52"/>
    <mergeCell ref="BI53:BL53"/>
    <mergeCell ref="BI54:BL54"/>
    <mergeCell ref="BI55:BL55"/>
    <mergeCell ref="AM60:AO60"/>
    <mergeCell ref="AB53:AO53"/>
    <mergeCell ref="X58:AO58"/>
    <mergeCell ref="X59:AO59"/>
    <mergeCell ref="X53:AA53"/>
    <mergeCell ref="BI50:BL50"/>
    <mergeCell ref="AI54:AO54"/>
    <mergeCell ref="Z54:AE54"/>
    <mergeCell ref="X51:AO51"/>
    <mergeCell ref="X45:AB45"/>
    <mergeCell ref="BI56:BL56"/>
    <mergeCell ref="X52:AA52"/>
    <mergeCell ref="Z47:AE47"/>
    <mergeCell ref="X48:AA48"/>
    <mergeCell ref="X47:Y47"/>
    <mergeCell ref="BB22:BP22"/>
    <mergeCell ref="BB45:BG45"/>
    <mergeCell ref="BI47:BL47"/>
    <mergeCell ref="BI48:BL48"/>
    <mergeCell ref="BI49:BL49"/>
    <mergeCell ref="AG54:AH54"/>
    <mergeCell ref="AC49:AO49"/>
    <mergeCell ref="AB48:AO48"/>
    <mergeCell ref="BI51:BL51"/>
    <mergeCell ref="AJ34:AO34"/>
    <mergeCell ref="D60:U60"/>
    <mergeCell ref="V60:X60"/>
    <mergeCell ref="AB64:AI64"/>
    <mergeCell ref="Y64:AA64"/>
    <mergeCell ref="V61:X61"/>
    <mergeCell ref="AM62:AO62"/>
    <mergeCell ref="AJ62:AL62"/>
    <mergeCell ref="AB60:AI60"/>
    <mergeCell ref="D61:U61"/>
    <mergeCell ref="AB61:AI61"/>
    <mergeCell ref="AJ64:AL64"/>
    <mergeCell ref="AJ63:AL63"/>
    <mergeCell ref="AM64:AO64"/>
    <mergeCell ref="AM63:AO63"/>
    <mergeCell ref="D63:U63"/>
    <mergeCell ref="D64:U64"/>
    <mergeCell ref="AB63:AI63"/>
    <mergeCell ref="Y63:AA63"/>
    <mergeCell ref="BI62:BL62"/>
    <mergeCell ref="W52:W55"/>
    <mergeCell ref="D54:U54"/>
    <mergeCell ref="X55:AO55"/>
    <mergeCell ref="AC56:AO56"/>
    <mergeCell ref="D56:F56"/>
    <mergeCell ref="BI58:BL58"/>
    <mergeCell ref="BI59:BL59"/>
    <mergeCell ref="BI60:BL60"/>
    <mergeCell ref="BI61:BL61"/>
    <mergeCell ref="BI69:BL69"/>
    <mergeCell ref="BI63:BL63"/>
    <mergeCell ref="BI64:BL64"/>
    <mergeCell ref="BI65:BL65"/>
    <mergeCell ref="BI66:BL66"/>
    <mergeCell ref="BI68:BL68"/>
    <mergeCell ref="BI67:BL67"/>
  </mergeCells>
  <phoneticPr fontId="33" type="noConversion"/>
  <dataValidations count="25">
    <dataValidation type="list" allowBlank="1" showInputMessage="1" showErrorMessage="1" sqref="P14:Q14">
      <formula1>$CA$23:$CB$23</formula1>
    </dataValidation>
    <dataValidation type="list" allowBlank="1" showInputMessage="1" showErrorMessage="1" sqref="L14:O14">
      <formula1>$BT$23:$BY$23</formula1>
    </dataValidation>
    <dataValidation type="list" allowBlank="1" showInputMessage="1" showErrorMessage="1" sqref="L22:Q22">
      <formula1>$BT$27:$BU$27</formula1>
    </dataValidation>
    <dataValidation type="list" allowBlank="1" showInputMessage="1" showErrorMessage="1" sqref="L19:Q19">
      <formula1>$BT$25:$BW$25</formula1>
    </dataValidation>
    <dataValidation type="list" allowBlank="1" showInputMessage="1" showErrorMessage="1" sqref="L21:Q21">
      <formula1>$BT$26:$BU$26</formula1>
    </dataValidation>
    <dataValidation type="list" allowBlank="1" showInputMessage="1" showErrorMessage="1" sqref="L16:Q17">
      <formula1>$BT$24:$BV$24</formula1>
    </dataValidation>
    <dataValidation type="list" allowBlank="1" showInputMessage="1" showErrorMessage="1" sqref="L12:L13 M12:Q12">
      <formula1>$BT$22:$CA$22</formula1>
    </dataValidation>
    <dataValidation type="list" allowBlank="1" showInputMessage="1" showErrorMessage="1" sqref="K25:L26">
      <formula1>$BD$23:$BP$23</formula1>
    </dataValidation>
    <dataValidation type="list" allowBlank="1" showInputMessage="1" showErrorMessage="1" sqref="I25:J26">
      <formula1>$BB$47:$BB$69</formula1>
    </dataValidation>
    <dataValidation type="list" allowBlank="1" showInputMessage="1" showErrorMessage="1" sqref="T10:Z10">
      <formula1>$AR$2:$AY$2</formula1>
    </dataValidation>
    <dataValidation type="list" allowBlank="1" showInputMessage="1" showErrorMessage="1" sqref="AJ34:AO34">
      <formula1>$BK$19:$BZ$19</formula1>
    </dataValidation>
    <dataValidation type="list" allowBlank="1" showInputMessage="1" showErrorMessage="1" sqref="AB34:AH34">
      <formula1>$AS$19:$BI$19</formula1>
    </dataValidation>
    <dataValidation type="list" allowBlank="1" showInputMessage="1" showErrorMessage="1" sqref="Z27:AE27">
      <formula1>$AR$18:$AW$18</formula1>
    </dataValidation>
    <dataValidation type="list" allowBlank="1" showInputMessage="1" showErrorMessage="1" sqref="AC37:AG37">
      <formula1>$AR$16:$AU$16</formula1>
    </dataValidation>
    <dataValidation type="list" allowBlank="1" showInputMessage="1" showErrorMessage="1" sqref="J29:K29">
      <formula1>$AR$4:$BQ$4</formula1>
    </dataValidation>
    <dataValidation type="list" allowBlank="1" showInputMessage="1" showErrorMessage="1" sqref="F46:K46">
      <formula1>$AQ$22:$AQ$38</formula1>
    </dataValidation>
    <dataValidation type="list" allowBlank="1" showInputMessage="1" showErrorMessage="1" sqref="J48:U48">
      <formula1>$AR$14:$AX$14</formula1>
    </dataValidation>
    <dataValidation type="list" allowBlank="1" showInputMessage="1" showErrorMessage="1" sqref="Z41:AO41">
      <formula1>$AR$12:$AU$12</formula1>
    </dataValidation>
    <dataValidation type="list" allowBlank="1" showInputMessage="1" showErrorMessage="1" sqref="F45:U45">
      <formula1>$AR$11:$AT$11</formula1>
    </dataValidation>
    <dataValidation type="list" allowBlank="1" showInputMessage="1" showErrorMessage="1" sqref="H38:U38">
      <formula1>$AR$6:$AS$6</formula1>
    </dataValidation>
    <dataValidation type="list" allowBlank="1" showInputMessage="1" showErrorMessage="1" sqref="F29:G29">
      <formula1>$AR$3:$AS$3</formula1>
    </dataValidation>
    <dataValidation type="list" allowBlank="1" showInputMessage="1" showErrorMessage="1" sqref="I13:K13">
      <formula1>$AU$2:$AV$2</formula1>
    </dataValidation>
    <dataValidation type="list" allowBlank="1" showInputMessage="1" showErrorMessage="1" sqref="G49">
      <formula1>$AR$13:$AS$13</formula1>
    </dataValidation>
    <dataValidation type="list" allowBlank="1" showInputMessage="1" showErrorMessage="1" sqref="E10:K10">
      <formula1>$AS$59:$AS$95</formula1>
    </dataValidation>
    <dataValidation type="list" allowBlank="1" showInputMessage="1" showErrorMessage="1" sqref="H47:U47">
      <formula1>$AR$17:$AW$17</formula1>
    </dataValidation>
  </dataValidations>
  <pageMargins left="0.7" right="0.7" top="0.75" bottom="0.75" header="0.3" footer="0.3"/>
  <pageSetup paperSize="9" orientation="portrait" horizontalDpi="1200" verticalDpi="1200"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CV!AZ4:AZ10</xm:f>
          </x14:formula1>
          <xm:sqref>AE4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F0"/>
  </sheetPr>
  <dimension ref="A1:Q286"/>
  <sheetViews>
    <sheetView topLeftCell="A28" workbookViewId="0">
      <selection activeCell="B143" sqref="B143"/>
    </sheetView>
  </sheetViews>
  <sheetFormatPr defaultRowHeight="12.75" x14ac:dyDescent="0.2"/>
  <cols>
    <col min="1" max="1" width="9" style="42" customWidth="1"/>
    <col min="2" max="2" width="7.28515625" style="42" customWidth="1"/>
    <col min="3" max="15" width="6" style="42" customWidth="1"/>
    <col min="16" max="16" width="9.140625" style="42"/>
    <col min="17" max="17" width="22.5703125" style="42" bestFit="1" customWidth="1"/>
    <col min="18" max="16384" width="9.140625" style="42"/>
  </cols>
  <sheetData>
    <row r="1" spans="1:17" ht="15.75" thickBot="1" x14ac:dyDescent="0.25">
      <c r="A1" s="690" t="s">
        <v>657</v>
      </c>
      <c r="B1" s="691"/>
      <c r="C1" s="691"/>
      <c r="D1" s="691"/>
      <c r="E1" s="691"/>
      <c r="F1" s="691"/>
      <c r="G1" s="691"/>
      <c r="H1" s="691"/>
      <c r="I1" s="691"/>
      <c r="J1" s="691"/>
      <c r="K1" s="691"/>
      <c r="L1" s="691"/>
      <c r="M1" s="691"/>
      <c r="N1" s="691"/>
      <c r="O1" s="692"/>
    </row>
    <row r="2" spans="1:17" x14ac:dyDescent="0.2">
      <c r="A2" s="112" t="s">
        <v>550</v>
      </c>
      <c r="B2" s="245" t="s">
        <v>549</v>
      </c>
      <c r="C2" s="245" t="s">
        <v>605</v>
      </c>
      <c r="D2" s="245" t="s">
        <v>642</v>
      </c>
      <c r="E2" s="245" t="s">
        <v>641</v>
      </c>
      <c r="F2" s="245">
        <v>10</v>
      </c>
      <c r="G2" s="245">
        <v>20</v>
      </c>
      <c r="H2" s="245">
        <v>30</v>
      </c>
      <c r="I2" s="245">
        <v>40</v>
      </c>
      <c r="J2" s="245">
        <v>60</v>
      </c>
      <c r="K2" s="245">
        <v>80</v>
      </c>
      <c r="L2" s="245">
        <v>100</v>
      </c>
      <c r="M2" s="245">
        <v>120</v>
      </c>
      <c r="N2" s="245">
        <v>140</v>
      </c>
      <c r="O2" s="244">
        <v>160</v>
      </c>
      <c r="Q2" s="46"/>
    </row>
    <row r="3" spans="1:17" x14ac:dyDescent="0.2">
      <c r="A3" s="236" t="s">
        <v>500</v>
      </c>
      <c r="B3" s="219">
        <v>21.34</v>
      </c>
      <c r="C3" s="219">
        <v>2.77</v>
      </c>
      <c r="D3" s="219">
        <v>3.73</v>
      </c>
      <c r="E3" s="219">
        <v>7.47</v>
      </c>
      <c r="F3" s="219"/>
      <c r="G3" s="219"/>
      <c r="H3" s="219"/>
      <c r="I3" s="219">
        <v>2.77</v>
      </c>
      <c r="J3" s="219"/>
      <c r="K3" s="219">
        <v>3.73</v>
      </c>
      <c r="L3" s="219"/>
      <c r="M3" s="219"/>
      <c r="N3" s="219"/>
      <c r="O3" s="218">
        <v>4.75</v>
      </c>
      <c r="Q3" s="143"/>
    </row>
    <row r="4" spans="1:17" x14ac:dyDescent="0.2">
      <c r="A4" s="220" t="s">
        <v>494</v>
      </c>
      <c r="B4" s="219">
        <v>26.67</v>
      </c>
      <c r="C4" s="219">
        <v>2.87</v>
      </c>
      <c r="D4" s="219">
        <v>3.91</v>
      </c>
      <c r="E4" s="219">
        <v>7.82</v>
      </c>
      <c r="F4" s="219"/>
      <c r="G4" s="219"/>
      <c r="H4" s="219"/>
      <c r="I4" s="219">
        <v>2.87</v>
      </c>
      <c r="J4" s="219"/>
      <c r="K4" s="219">
        <v>3.91</v>
      </c>
      <c r="L4" s="219"/>
      <c r="M4" s="219"/>
      <c r="N4" s="219"/>
      <c r="O4" s="218">
        <v>5.54</v>
      </c>
      <c r="Q4" s="143"/>
    </row>
    <row r="5" spans="1:17" x14ac:dyDescent="0.2">
      <c r="A5" s="220" t="s">
        <v>492</v>
      </c>
      <c r="B5" s="219">
        <v>33.4</v>
      </c>
      <c r="C5" s="219">
        <v>3.38</v>
      </c>
      <c r="D5" s="219">
        <v>4.55</v>
      </c>
      <c r="E5" s="219">
        <v>9.09</v>
      </c>
      <c r="F5" s="219"/>
      <c r="G5" s="219"/>
      <c r="H5" s="219"/>
      <c r="I5" s="219">
        <v>3.38</v>
      </c>
      <c r="J5" s="219"/>
      <c r="K5" s="219">
        <v>4.55</v>
      </c>
      <c r="L5" s="219"/>
      <c r="M5" s="219"/>
      <c r="N5" s="219"/>
      <c r="O5" s="218">
        <v>6.35</v>
      </c>
      <c r="Q5" s="143"/>
    </row>
    <row r="6" spans="1:17" x14ac:dyDescent="0.2">
      <c r="A6" s="220" t="s">
        <v>516</v>
      </c>
      <c r="B6" s="219">
        <v>42.16</v>
      </c>
      <c r="C6" s="219">
        <v>3.56</v>
      </c>
      <c r="D6" s="219">
        <v>4.8499999999999996</v>
      </c>
      <c r="E6" s="219">
        <v>9.6999999999999993</v>
      </c>
      <c r="F6" s="219"/>
      <c r="G6" s="219"/>
      <c r="H6" s="219"/>
      <c r="I6" s="219">
        <v>3.56</v>
      </c>
      <c r="J6" s="219"/>
      <c r="K6" s="219">
        <v>4.8499999999999996</v>
      </c>
      <c r="L6" s="219"/>
      <c r="M6" s="219"/>
      <c r="N6" s="219"/>
      <c r="O6" s="218">
        <v>6.35</v>
      </c>
      <c r="Q6" s="143"/>
    </row>
    <row r="7" spans="1:17" x14ac:dyDescent="0.2">
      <c r="A7" s="220" t="s">
        <v>512</v>
      </c>
      <c r="B7" s="219">
        <v>48.26</v>
      </c>
      <c r="C7" s="219">
        <v>3.68</v>
      </c>
      <c r="D7" s="219">
        <v>5.08</v>
      </c>
      <c r="E7" s="219">
        <v>10.199999999999999</v>
      </c>
      <c r="F7" s="219"/>
      <c r="G7" s="219"/>
      <c r="H7" s="219"/>
      <c r="I7" s="219">
        <v>3.68</v>
      </c>
      <c r="J7" s="219"/>
      <c r="K7" s="219">
        <v>5.08</v>
      </c>
      <c r="L7" s="219"/>
      <c r="M7" s="219"/>
      <c r="N7" s="219"/>
      <c r="O7" s="218">
        <v>7.14</v>
      </c>
      <c r="Q7" s="143"/>
    </row>
    <row r="8" spans="1:17" x14ac:dyDescent="0.2">
      <c r="A8" s="220" t="s">
        <v>490</v>
      </c>
      <c r="B8" s="219">
        <v>60.32</v>
      </c>
      <c r="C8" s="219">
        <v>3.91</v>
      </c>
      <c r="D8" s="219">
        <v>5.54</v>
      </c>
      <c r="E8" s="219">
        <v>11.1</v>
      </c>
      <c r="F8" s="219"/>
      <c r="G8" s="219"/>
      <c r="H8" s="219"/>
      <c r="I8" s="219">
        <v>3.91</v>
      </c>
      <c r="J8" s="219"/>
      <c r="K8" s="219">
        <v>5.54</v>
      </c>
      <c r="L8" s="219"/>
      <c r="M8" s="219"/>
      <c r="N8" s="219"/>
      <c r="O8" s="218">
        <v>8.7100000000000009</v>
      </c>
      <c r="Q8" s="143"/>
    </row>
    <row r="9" spans="1:17" x14ac:dyDescent="0.2">
      <c r="A9" s="220" t="s">
        <v>503</v>
      </c>
      <c r="B9" s="219">
        <v>73.02</v>
      </c>
      <c r="C9" s="219">
        <v>5.16</v>
      </c>
      <c r="D9" s="219">
        <v>7.01</v>
      </c>
      <c r="E9" s="219">
        <v>14</v>
      </c>
      <c r="F9" s="219"/>
      <c r="G9" s="219"/>
      <c r="H9" s="219"/>
      <c r="I9" s="219">
        <v>5.16</v>
      </c>
      <c r="J9" s="219"/>
      <c r="K9" s="219">
        <v>7.01</v>
      </c>
      <c r="L9" s="219"/>
      <c r="M9" s="219"/>
      <c r="N9" s="219"/>
      <c r="O9" s="218">
        <v>9.52</v>
      </c>
      <c r="Q9" s="143"/>
    </row>
    <row r="10" spans="1:17" x14ac:dyDescent="0.2">
      <c r="A10" s="220" t="s">
        <v>489</v>
      </c>
      <c r="B10" s="219">
        <v>88.9</v>
      </c>
      <c r="C10" s="219">
        <v>5.49</v>
      </c>
      <c r="D10" s="219">
        <v>7.62</v>
      </c>
      <c r="E10" s="219">
        <v>15.2</v>
      </c>
      <c r="F10" s="219"/>
      <c r="G10" s="219"/>
      <c r="H10" s="219"/>
      <c r="I10" s="219">
        <v>5.49</v>
      </c>
      <c r="J10" s="219"/>
      <c r="K10" s="219">
        <v>7.62</v>
      </c>
      <c r="L10" s="219"/>
      <c r="M10" s="219"/>
      <c r="N10" s="219"/>
      <c r="O10" s="218">
        <v>11.1</v>
      </c>
      <c r="Q10" s="143"/>
    </row>
    <row r="11" spans="1:17" x14ac:dyDescent="0.2">
      <c r="A11" s="220" t="s">
        <v>501</v>
      </c>
      <c r="B11" s="219">
        <v>101.6</v>
      </c>
      <c r="C11" s="219">
        <v>5.74</v>
      </c>
      <c r="D11" s="219">
        <v>8.08</v>
      </c>
      <c r="E11" s="219">
        <v>16.149999999999999</v>
      </c>
      <c r="F11" s="219"/>
      <c r="G11" s="219"/>
      <c r="H11" s="219"/>
      <c r="I11" s="219">
        <v>5.74</v>
      </c>
      <c r="J11" s="219"/>
      <c r="K11" s="219">
        <v>8.08</v>
      </c>
      <c r="L11" s="219"/>
      <c r="M11" s="219"/>
      <c r="N11" s="219"/>
      <c r="O11" s="218"/>
      <c r="Q11" s="143"/>
    </row>
    <row r="12" spans="1:17" x14ac:dyDescent="0.2">
      <c r="A12" s="220" t="s">
        <v>488</v>
      </c>
      <c r="B12" s="219">
        <v>114.3</v>
      </c>
      <c r="C12" s="219">
        <v>6.02</v>
      </c>
      <c r="D12" s="219">
        <v>8.56</v>
      </c>
      <c r="E12" s="219">
        <v>17.100000000000001</v>
      </c>
      <c r="F12" s="219"/>
      <c r="G12" s="219"/>
      <c r="H12" s="219"/>
      <c r="I12" s="219">
        <v>6.02</v>
      </c>
      <c r="J12" s="219"/>
      <c r="K12" s="219">
        <v>8.56</v>
      </c>
      <c r="L12" s="219"/>
      <c r="M12" s="219">
        <v>11.1</v>
      </c>
      <c r="N12" s="219"/>
      <c r="O12" s="218">
        <v>13.5</v>
      </c>
      <c r="Q12" s="143"/>
    </row>
    <row r="13" spans="1:17" x14ac:dyDescent="0.2">
      <c r="A13" s="220" t="s">
        <v>493</v>
      </c>
      <c r="B13" s="219">
        <v>141.30000000000001</v>
      </c>
      <c r="C13" s="219">
        <v>6.55</v>
      </c>
      <c r="D13" s="219">
        <v>9.52</v>
      </c>
      <c r="E13" s="219">
        <v>19</v>
      </c>
      <c r="F13" s="219"/>
      <c r="G13" s="219"/>
      <c r="H13" s="219"/>
      <c r="I13" s="219">
        <v>6.55</v>
      </c>
      <c r="J13" s="219"/>
      <c r="K13" s="219">
        <v>9.52</v>
      </c>
      <c r="L13" s="219"/>
      <c r="M13" s="219">
        <v>12.7</v>
      </c>
      <c r="N13" s="219"/>
      <c r="O13" s="218">
        <v>15.9</v>
      </c>
      <c r="Q13" s="143"/>
    </row>
    <row r="14" spans="1:17" x14ac:dyDescent="0.2">
      <c r="A14" s="220" t="s">
        <v>485</v>
      </c>
      <c r="B14" s="219">
        <v>168.3</v>
      </c>
      <c r="C14" s="219">
        <v>7.11</v>
      </c>
      <c r="D14" s="219">
        <v>11</v>
      </c>
      <c r="E14" s="219">
        <v>21.9</v>
      </c>
      <c r="F14" s="219"/>
      <c r="G14" s="219"/>
      <c r="H14" s="219"/>
      <c r="I14" s="219">
        <v>7.11</v>
      </c>
      <c r="J14" s="219"/>
      <c r="K14" s="219">
        <v>11</v>
      </c>
      <c r="L14" s="219"/>
      <c r="M14" s="219">
        <v>14.3</v>
      </c>
      <c r="N14" s="219"/>
      <c r="O14" s="218">
        <v>18.2</v>
      </c>
      <c r="Q14" s="143"/>
    </row>
    <row r="15" spans="1:17" x14ac:dyDescent="0.2">
      <c r="A15" s="220" t="s">
        <v>480</v>
      </c>
      <c r="B15" s="219">
        <v>219.1</v>
      </c>
      <c r="C15" s="219">
        <v>8.18</v>
      </c>
      <c r="D15" s="219">
        <v>12.7</v>
      </c>
      <c r="E15" s="219">
        <v>22.2</v>
      </c>
      <c r="F15" s="219"/>
      <c r="G15" s="219">
        <v>6.35</v>
      </c>
      <c r="H15" s="219">
        <v>7.04</v>
      </c>
      <c r="I15" s="219">
        <v>8.18</v>
      </c>
      <c r="J15" s="219">
        <v>10.3</v>
      </c>
      <c r="K15" s="219">
        <v>12.7</v>
      </c>
      <c r="L15" s="219">
        <v>15.1</v>
      </c>
      <c r="M15" s="219">
        <v>18.2</v>
      </c>
      <c r="N15" s="219">
        <v>20.6</v>
      </c>
      <c r="O15" s="218">
        <v>23</v>
      </c>
      <c r="Q15" s="143"/>
    </row>
    <row r="16" spans="1:17" x14ac:dyDescent="0.2">
      <c r="A16" s="220" t="s">
        <v>478</v>
      </c>
      <c r="B16" s="219">
        <v>273</v>
      </c>
      <c r="C16" s="219">
        <v>9.27</v>
      </c>
      <c r="D16" s="219">
        <v>12.7</v>
      </c>
      <c r="E16" s="219"/>
      <c r="F16" s="219"/>
      <c r="G16" s="219">
        <v>6.35</v>
      </c>
      <c r="H16" s="219">
        <v>7.8</v>
      </c>
      <c r="I16" s="219">
        <v>9.27</v>
      </c>
      <c r="J16" s="219">
        <v>12.7</v>
      </c>
      <c r="K16" s="219">
        <v>15.1</v>
      </c>
      <c r="L16" s="219">
        <v>18.2</v>
      </c>
      <c r="M16" s="219">
        <v>21.4</v>
      </c>
      <c r="N16" s="219">
        <v>25.4</v>
      </c>
      <c r="O16" s="218">
        <v>28.6</v>
      </c>
      <c r="Q16" s="143"/>
    </row>
    <row r="17" spans="1:17" x14ac:dyDescent="0.2">
      <c r="A17" s="220" t="s">
        <v>476</v>
      </c>
      <c r="B17" s="219">
        <v>323.8</v>
      </c>
      <c r="C17" s="219">
        <v>9.52</v>
      </c>
      <c r="D17" s="219">
        <v>12.7</v>
      </c>
      <c r="E17" s="219"/>
      <c r="F17" s="219"/>
      <c r="G17" s="226">
        <v>6.35</v>
      </c>
      <c r="H17" s="219">
        <v>8.3800000000000008</v>
      </c>
      <c r="I17" s="219">
        <v>10.3</v>
      </c>
      <c r="J17" s="219">
        <v>14.3</v>
      </c>
      <c r="K17" s="219">
        <v>17.399999999999999</v>
      </c>
      <c r="L17" s="219">
        <v>21.4</v>
      </c>
      <c r="M17" s="219">
        <v>25.4</v>
      </c>
      <c r="N17" s="219">
        <v>28.6</v>
      </c>
      <c r="O17" s="218">
        <v>33.299999999999997</v>
      </c>
      <c r="Q17" s="143"/>
    </row>
    <row r="18" spans="1:17" x14ac:dyDescent="0.2">
      <c r="A18" s="220" t="s">
        <v>487</v>
      </c>
      <c r="B18" s="219">
        <v>355.6</v>
      </c>
      <c r="C18" s="219">
        <v>9.52</v>
      </c>
      <c r="D18" s="219">
        <v>12.7</v>
      </c>
      <c r="E18" s="219"/>
      <c r="F18" s="219">
        <v>6.35</v>
      </c>
      <c r="G18" s="219">
        <v>7.92</v>
      </c>
      <c r="H18" s="219">
        <v>9.52</v>
      </c>
      <c r="I18" s="219">
        <v>11.1</v>
      </c>
      <c r="J18" s="219">
        <v>15.1</v>
      </c>
      <c r="K18" s="219">
        <v>19</v>
      </c>
      <c r="L18" s="219">
        <v>23.8</v>
      </c>
      <c r="M18" s="219">
        <v>27.8</v>
      </c>
      <c r="N18" s="219">
        <v>31.8</v>
      </c>
      <c r="O18" s="218">
        <v>35.700000000000003</v>
      </c>
      <c r="Q18" s="143"/>
    </row>
    <row r="19" spans="1:17" x14ac:dyDescent="0.2">
      <c r="A19" s="220" t="s">
        <v>484</v>
      </c>
      <c r="B19" s="219">
        <v>406.4</v>
      </c>
      <c r="C19" s="219">
        <v>9.52</v>
      </c>
      <c r="D19" s="219">
        <v>12.7</v>
      </c>
      <c r="E19" s="219"/>
      <c r="F19" s="219">
        <v>6.35</v>
      </c>
      <c r="G19" s="219">
        <v>7.92</v>
      </c>
      <c r="H19" s="219">
        <v>9.52</v>
      </c>
      <c r="I19" s="219">
        <v>12.7</v>
      </c>
      <c r="J19" s="219">
        <v>16.7</v>
      </c>
      <c r="K19" s="219">
        <v>21.4</v>
      </c>
      <c r="L19" s="219">
        <v>26.2</v>
      </c>
      <c r="M19" s="219">
        <v>30.9</v>
      </c>
      <c r="N19" s="219">
        <v>36.5</v>
      </c>
      <c r="O19" s="218">
        <v>40.5</v>
      </c>
      <c r="Q19" s="143"/>
    </row>
    <row r="20" spans="1:17" x14ac:dyDescent="0.2">
      <c r="A20" s="220" t="s">
        <v>479</v>
      </c>
      <c r="B20" s="219">
        <v>457.2</v>
      </c>
      <c r="C20" s="219">
        <v>9.52</v>
      </c>
      <c r="D20" s="219">
        <v>12.7</v>
      </c>
      <c r="E20" s="219"/>
      <c r="F20" s="219">
        <v>6.35</v>
      </c>
      <c r="G20" s="219">
        <v>7.92</v>
      </c>
      <c r="H20" s="219">
        <v>11.1</v>
      </c>
      <c r="I20" s="219">
        <v>14.3</v>
      </c>
      <c r="J20" s="219">
        <v>19</v>
      </c>
      <c r="K20" s="219">
        <v>23.8</v>
      </c>
      <c r="L20" s="219">
        <v>29.4</v>
      </c>
      <c r="M20" s="219">
        <v>34.9</v>
      </c>
      <c r="N20" s="219">
        <v>39.700000000000003</v>
      </c>
      <c r="O20" s="218">
        <v>45.2</v>
      </c>
      <c r="Q20" s="143"/>
    </row>
    <row r="21" spans="1:17" x14ac:dyDescent="0.2">
      <c r="A21" s="220" t="s">
        <v>477</v>
      </c>
      <c r="B21" s="219">
        <v>508</v>
      </c>
      <c r="C21" s="219">
        <v>9.52</v>
      </c>
      <c r="D21" s="219">
        <v>12.7</v>
      </c>
      <c r="E21" s="219"/>
      <c r="F21" s="219">
        <v>6.35</v>
      </c>
      <c r="G21" s="219">
        <v>9.52</v>
      </c>
      <c r="H21" s="219">
        <v>12.7</v>
      </c>
      <c r="I21" s="219">
        <v>15.1</v>
      </c>
      <c r="J21" s="219">
        <v>20.6</v>
      </c>
      <c r="K21" s="219">
        <v>26.2</v>
      </c>
      <c r="L21" s="219">
        <v>32.5</v>
      </c>
      <c r="M21" s="219">
        <v>38.1</v>
      </c>
      <c r="N21" s="219">
        <v>44.4</v>
      </c>
      <c r="O21" s="218">
        <v>50</v>
      </c>
      <c r="Q21" s="143"/>
    </row>
    <row r="22" spans="1:17" ht="13.5" thickBot="1" x14ac:dyDescent="0.25">
      <c r="A22" s="217" t="s">
        <v>475</v>
      </c>
      <c r="B22" s="216">
        <v>609.6</v>
      </c>
      <c r="C22" s="216">
        <v>9.52</v>
      </c>
      <c r="D22" s="216">
        <v>12.7</v>
      </c>
      <c r="E22" s="216"/>
      <c r="F22" s="216">
        <v>6.35</v>
      </c>
      <c r="G22" s="216">
        <v>9.52</v>
      </c>
      <c r="H22" s="216">
        <v>14.3</v>
      </c>
      <c r="I22" s="216">
        <v>17.399999999999999</v>
      </c>
      <c r="J22" s="216">
        <v>24.6</v>
      </c>
      <c r="K22" s="216">
        <v>30.9</v>
      </c>
      <c r="L22" s="216">
        <v>38.9</v>
      </c>
      <c r="M22" s="216">
        <v>46</v>
      </c>
      <c r="N22" s="216">
        <v>52.4</v>
      </c>
      <c r="O22" s="215">
        <v>59.5</v>
      </c>
      <c r="Q22" s="143"/>
    </row>
    <row r="23" spans="1:17" ht="13.5" thickBot="1" x14ac:dyDescent="0.25">
      <c r="A23" s="188"/>
      <c r="B23" s="188"/>
      <c r="C23" s="188"/>
      <c r="D23" s="188"/>
      <c r="E23" s="188"/>
      <c r="F23" s="188"/>
      <c r="G23" s="188"/>
      <c r="H23" s="188"/>
      <c r="I23" s="188"/>
      <c r="J23" s="188"/>
      <c r="K23" s="188"/>
      <c r="L23" s="188"/>
      <c r="M23" s="188"/>
      <c r="N23" s="188"/>
      <c r="O23" s="188"/>
    </row>
    <row r="24" spans="1:17" ht="15.75" thickBot="1" x14ac:dyDescent="0.25">
      <c r="A24" s="693" t="s">
        <v>553</v>
      </c>
      <c r="B24" s="694"/>
      <c r="C24" s="694"/>
      <c r="D24" s="694"/>
      <c r="E24" s="694"/>
      <c r="F24" s="695"/>
    </row>
    <row r="25" spans="1:17" x14ac:dyDescent="0.2">
      <c r="A25" s="112" t="s">
        <v>550</v>
      </c>
      <c r="B25" s="245" t="s">
        <v>549</v>
      </c>
      <c r="C25" s="245" t="s">
        <v>548</v>
      </c>
      <c r="D25" s="245" t="s">
        <v>547</v>
      </c>
      <c r="E25" s="245" t="s">
        <v>546</v>
      </c>
      <c r="F25" s="244" t="s">
        <v>545</v>
      </c>
      <c r="H25" s="243" t="s">
        <v>544</v>
      </c>
      <c r="I25" s="242"/>
      <c r="J25" s="242"/>
      <c r="K25" s="241"/>
    </row>
    <row r="26" spans="1:17" x14ac:dyDescent="0.2">
      <c r="A26" s="236" t="s">
        <v>539</v>
      </c>
      <c r="B26" s="219">
        <v>10.3</v>
      </c>
      <c r="C26" s="219"/>
      <c r="D26" s="219">
        <v>1.24</v>
      </c>
      <c r="E26" s="219">
        <v>1.73</v>
      </c>
      <c r="F26" s="218">
        <v>2.41</v>
      </c>
      <c r="H26" s="672">
        <f t="shared" ref="H26:H48" si="0">B26-(E26*2)</f>
        <v>6.8400000000000007</v>
      </c>
      <c r="I26" s="673"/>
      <c r="J26" s="673"/>
      <c r="K26" s="674"/>
    </row>
    <row r="27" spans="1:17" x14ac:dyDescent="0.2">
      <c r="A27" s="220" t="s">
        <v>535</v>
      </c>
      <c r="B27" s="219">
        <v>13.7</v>
      </c>
      <c r="C27" s="219"/>
      <c r="D27" s="219">
        <v>1.65</v>
      </c>
      <c r="E27" s="219">
        <v>2.2400000000000002</v>
      </c>
      <c r="F27" s="218">
        <v>3.02</v>
      </c>
      <c r="H27" s="672">
        <f t="shared" si="0"/>
        <v>9.2199999999999989</v>
      </c>
      <c r="I27" s="673"/>
      <c r="J27" s="673"/>
      <c r="K27" s="674"/>
    </row>
    <row r="28" spans="1:17" x14ac:dyDescent="0.2">
      <c r="A28" s="220" t="s">
        <v>529</v>
      </c>
      <c r="B28" s="219">
        <v>17.100000000000001</v>
      </c>
      <c r="C28" s="219"/>
      <c r="D28" s="219">
        <v>1.65</v>
      </c>
      <c r="E28" s="219">
        <v>2.31</v>
      </c>
      <c r="F28" s="218">
        <v>3.2</v>
      </c>
      <c r="H28" s="672">
        <f t="shared" si="0"/>
        <v>12.48</v>
      </c>
      <c r="I28" s="673"/>
      <c r="J28" s="673"/>
      <c r="K28" s="674"/>
    </row>
    <row r="29" spans="1:17" x14ac:dyDescent="0.2">
      <c r="A29" s="236" t="s">
        <v>500</v>
      </c>
      <c r="B29" s="219">
        <v>21.3</v>
      </c>
      <c r="C29" s="219">
        <v>1.65</v>
      </c>
      <c r="D29" s="219">
        <v>2.1</v>
      </c>
      <c r="E29" s="219">
        <v>2.77</v>
      </c>
      <c r="F29" s="218">
        <v>3.73</v>
      </c>
      <c r="H29" s="672">
        <f t="shared" si="0"/>
        <v>15.760000000000002</v>
      </c>
      <c r="I29" s="673"/>
      <c r="J29" s="673"/>
      <c r="K29" s="674"/>
    </row>
    <row r="30" spans="1:17" x14ac:dyDescent="0.2">
      <c r="A30" s="220" t="s">
        <v>494</v>
      </c>
      <c r="B30" s="219">
        <v>26.7</v>
      </c>
      <c r="C30" s="219">
        <v>1.65</v>
      </c>
      <c r="D30" s="219">
        <v>2.1</v>
      </c>
      <c r="E30" s="219">
        <v>2.87</v>
      </c>
      <c r="F30" s="218">
        <v>3.91</v>
      </c>
      <c r="H30" s="672">
        <f t="shared" si="0"/>
        <v>20.96</v>
      </c>
      <c r="I30" s="673"/>
      <c r="J30" s="673"/>
      <c r="K30" s="674"/>
    </row>
    <row r="31" spans="1:17" x14ac:dyDescent="0.2">
      <c r="A31" s="220" t="s">
        <v>492</v>
      </c>
      <c r="B31" s="219">
        <v>33.4</v>
      </c>
      <c r="C31" s="219">
        <v>1.65</v>
      </c>
      <c r="D31" s="219">
        <v>2.77</v>
      </c>
      <c r="E31" s="219">
        <v>3.38</v>
      </c>
      <c r="F31" s="218">
        <v>4.55</v>
      </c>
      <c r="H31" s="672">
        <f t="shared" si="0"/>
        <v>26.64</v>
      </c>
      <c r="I31" s="673"/>
      <c r="J31" s="673"/>
      <c r="K31" s="674"/>
    </row>
    <row r="32" spans="1:17" x14ac:dyDescent="0.2">
      <c r="A32" s="220" t="s">
        <v>516</v>
      </c>
      <c r="B32" s="219">
        <v>42.2</v>
      </c>
      <c r="C32" s="219">
        <v>1.65</v>
      </c>
      <c r="D32" s="219">
        <v>2.77</v>
      </c>
      <c r="E32" s="219">
        <v>3.56</v>
      </c>
      <c r="F32" s="218">
        <v>4.8499999999999996</v>
      </c>
      <c r="H32" s="672">
        <f t="shared" si="0"/>
        <v>35.080000000000005</v>
      </c>
      <c r="I32" s="673"/>
      <c r="J32" s="673"/>
      <c r="K32" s="674"/>
    </row>
    <row r="33" spans="1:15" x14ac:dyDescent="0.2">
      <c r="A33" s="220" t="s">
        <v>512</v>
      </c>
      <c r="B33" s="219">
        <v>48.3</v>
      </c>
      <c r="C33" s="219">
        <v>1.65</v>
      </c>
      <c r="D33" s="219">
        <v>2.77</v>
      </c>
      <c r="E33" s="219">
        <v>3.68</v>
      </c>
      <c r="F33" s="218">
        <v>5.08</v>
      </c>
      <c r="H33" s="672">
        <f t="shared" si="0"/>
        <v>40.94</v>
      </c>
      <c r="I33" s="673"/>
      <c r="J33" s="673"/>
      <c r="K33" s="674"/>
    </row>
    <row r="34" spans="1:15" x14ac:dyDescent="0.2">
      <c r="A34" s="220" t="s">
        <v>490</v>
      </c>
      <c r="B34" s="219">
        <v>60.3</v>
      </c>
      <c r="C34" s="219">
        <v>1.65</v>
      </c>
      <c r="D34" s="219">
        <v>2.77</v>
      </c>
      <c r="E34" s="219">
        <v>3.91</v>
      </c>
      <c r="F34" s="218">
        <v>5.54</v>
      </c>
      <c r="H34" s="672">
        <f t="shared" si="0"/>
        <v>52.48</v>
      </c>
      <c r="I34" s="673"/>
      <c r="J34" s="673"/>
      <c r="K34" s="674"/>
    </row>
    <row r="35" spans="1:15" x14ac:dyDescent="0.2">
      <c r="A35" s="220" t="s">
        <v>503</v>
      </c>
      <c r="B35" s="219">
        <v>73</v>
      </c>
      <c r="C35" s="219">
        <v>2.11</v>
      </c>
      <c r="D35" s="219">
        <v>3.05</v>
      </c>
      <c r="E35" s="219">
        <v>5.16</v>
      </c>
      <c r="F35" s="218">
        <v>7.01</v>
      </c>
      <c r="H35" s="672">
        <f t="shared" si="0"/>
        <v>62.68</v>
      </c>
      <c r="I35" s="673"/>
      <c r="J35" s="673"/>
      <c r="K35" s="674"/>
    </row>
    <row r="36" spans="1:15" x14ac:dyDescent="0.2">
      <c r="A36" s="220" t="s">
        <v>489</v>
      </c>
      <c r="B36" s="219">
        <v>88.9</v>
      </c>
      <c r="C36" s="226">
        <v>2.11</v>
      </c>
      <c r="D36" s="219">
        <v>3.05</v>
      </c>
      <c r="E36" s="219">
        <v>5.49</v>
      </c>
      <c r="F36" s="218">
        <v>7.62</v>
      </c>
      <c r="H36" s="672">
        <f t="shared" si="0"/>
        <v>77.92</v>
      </c>
      <c r="I36" s="673"/>
      <c r="J36" s="673"/>
      <c r="K36" s="674"/>
    </row>
    <row r="37" spans="1:15" x14ac:dyDescent="0.2">
      <c r="A37" s="220" t="s">
        <v>501</v>
      </c>
      <c r="B37" s="219">
        <v>101.6</v>
      </c>
      <c r="C37" s="219">
        <v>2.11</v>
      </c>
      <c r="D37" s="219">
        <v>3.05</v>
      </c>
      <c r="E37" s="219">
        <v>5.74</v>
      </c>
      <c r="F37" s="218">
        <v>8.08</v>
      </c>
      <c r="H37" s="672">
        <f t="shared" si="0"/>
        <v>90.11999999999999</v>
      </c>
      <c r="I37" s="673"/>
      <c r="J37" s="673"/>
      <c r="K37" s="674"/>
    </row>
    <row r="38" spans="1:15" x14ac:dyDescent="0.2">
      <c r="A38" s="220" t="s">
        <v>488</v>
      </c>
      <c r="B38" s="219">
        <v>114.3</v>
      </c>
      <c r="C38" s="219">
        <v>2.11</v>
      </c>
      <c r="D38" s="219">
        <v>3.05</v>
      </c>
      <c r="E38" s="219">
        <v>6.02</v>
      </c>
      <c r="F38" s="218">
        <v>8.56</v>
      </c>
      <c r="H38" s="672">
        <f t="shared" si="0"/>
        <v>102.25999999999999</v>
      </c>
      <c r="I38" s="673"/>
      <c r="J38" s="673"/>
      <c r="K38" s="674"/>
    </row>
    <row r="39" spans="1:15" x14ac:dyDescent="0.2">
      <c r="A39" s="220" t="s">
        <v>493</v>
      </c>
      <c r="B39" s="219">
        <v>141.30000000000001</v>
      </c>
      <c r="C39" s="219">
        <v>2.77</v>
      </c>
      <c r="D39" s="219">
        <v>3.4</v>
      </c>
      <c r="E39" s="219">
        <v>6.55</v>
      </c>
      <c r="F39" s="218">
        <v>9.52</v>
      </c>
      <c r="H39" s="672">
        <f t="shared" si="0"/>
        <v>128.20000000000002</v>
      </c>
      <c r="I39" s="673"/>
      <c r="J39" s="673"/>
      <c r="K39" s="674"/>
    </row>
    <row r="40" spans="1:15" x14ac:dyDescent="0.2">
      <c r="A40" s="220" t="s">
        <v>485</v>
      </c>
      <c r="B40" s="219">
        <v>168.3</v>
      </c>
      <c r="C40" s="219">
        <v>2.77</v>
      </c>
      <c r="D40" s="219">
        <v>3.4</v>
      </c>
      <c r="E40" s="219">
        <v>7.11</v>
      </c>
      <c r="F40" s="218">
        <v>10.97</v>
      </c>
      <c r="H40" s="672">
        <f t="shared" si="0"/>
        <v>154.08000000000001</v>
      </c>
      <c r="I40" s="673"/>
      <c r="J40" s="673"/>
      <c r="K40" s="674"/>
    </row>
    <row r="41" spans="1:15" x14ac:dyDescent="0.2">
      <c r="A41" s="220" t="s">
        <v>480</v>
      </c>
      <c r="B41" s="219">
        <v>219.1</v>
      </c>
      <c r="C41" s="219">
        <v>2.77</v>
      </c>
      <c r="D41" s="219">
        <v>3.76</v>
      </c>
      <c r="E41" s="219">
        <v>8.18</v>
      </c>
      <c r="F41" s="218">
        <v>12.7</v>
      </c>
      <c r="H41" s="672">
        <f t="shared" si="0"/>
        <v>202.74</v>
      </c>
      <c r="I41" s="673"/>
      <c r="J41" s="673"/>
      <c r="K41" s="674"/>
    </row>
    <row r="42" spans="1:15" x14ac:dyDescent="0.2">
      <c r="A42" s="220" t="s">
        <v>478</v>
      </c>
      <c r="B42" s="219">
        <v>273</v>
      </c>
      <c r="C42" s="219">
        <v>3.4</v>
      </c>
      <c r="D42" s="219">
        <v>4.1900000000000004</v>
      </c>
      <c r="E42" s="219">
        <v>9.27</v>
      </c>
      <c r="F42" s="218">
        <v>12.7</v>
      </c>
      <c r="H42" s="672">
        <f t="shared" si="0"/>
        <v>254.46</v>
      </c>
      <c r="I42" s="673"/>
      <c r="J42" s="673"/>
      <c r="K42" s="674"/>
    </row>
    <row r="43" spans="1:15" x14ac:dyDescent="0.2">
      <c r="A43" s="220" t="s">
        <v>476</v>
      </c>
      <c r="B43" s="219">
        <v>323.8</v>
      </c>
      <c r="C43" s="219">
        <v>3.96</v>
      </c>
      <c r="D43" s="219">
        <v>4.57</v>
      </c>
      <c r="E43" s="219">
        <v>9.52</v>
      </c>
      <c r="F43" s="218">
        <v>12.7</v>
      </c>
      <c r="H43" s="672">
        <f t="shared" si="0"/>
        <v>304.76</v>
      </c>
      <c r="I43" s="673"/>
      <c r="J43" s="673"/>
      <c r="K43" s="674"/>
    </row>
    <row r="44" spans="1:15" x14ac:dyDescent="0.2">
      <c r="A44" s="220" t="s">
        <v>487</v>
      </c>
      <c r="B44" s="219">
        <v>355.6</v>
      </c>
      <c r="C44" s="219">
        <v>3.96</v>
      </c>
      <c r="D44" s="219">
        <v>4.78</v>
      </c>
      <c r="E44" s="219">
        <v>9.52</v>
      </c>
      <c r="F44" s="218">
        <v>12.7</v>
      </c>
      <c r="H44" s="672">
        <f t="shared" si="0"/>
        <v>336.56</v>
      </c>
      <c r="I44" s="673"/>
      <c r="J44" s="673"/>
      <c r="K44" s="674"/>
    </row>
    <row r="45" spans="1:15" x14ac:dyDescent="0.2">
      <c r="A45" s="220" t="s">
        <v>484</v>
      </c>
      <c r="B45" s="219">
        <v>406.4</v>
      </c>
      <c r="C45" s="219">
        <v>4.1900000000000004</v>
      </c>
      <c r="D45" s="219">
        <v>4.78</v>
      </c>
      <c r="E45" s="219">
        <v>9.52</v>
      </c>
      <c r="F45" s="218">
        <v>12.7</v>
      </c>
      <c r="H45" s="672">
        <f t="shared" si="0"/>
        <v>387.35999999999996</v>
      </c>
      <c r="I45" s="673"/>
      <c r="J45" s="673"/>
      <c r="K45" s="674"/>
    </row>
    <row r="46" spans="1:15" x14ac:dyDescent="0.2">
      <c r="A46" s="220" t="s">
        <v>479</v>
      </c>
      <c r="B46" s="219">
        <v>457.2</v>
      </c>
      <c r="C46" s="219">
        <v>4.1900000000000004</v>
      </c>
      <c r="D46" s="219">
        <v>4.78</v>
      </c>
      <c r="E46" s="219">
        <v>9.52</v>
      </c>
      <c r="F46" s="218">
        <v>12.7</v>
      </c>
      <c r="G46" s="188"/>
      <c r="H46" s="672">
        <f t="shared" si="0"/>
        <v>438.15999999999997</v>
      </c>
      <c r="I46" s="673"/>
      <c r="J46" s="673"/>
      <c r="K46" s="674"/>
      <c r="L46" s="188"/>
      <c r="M46" s="188"/>
      <c r="N46" s="188"/>
      <c r="O46" s="188"/>
    </row>
    <row r="47" spans="1:15" x14ac:dyDescent="0.2">
      <c r="A47" s="220" t="s">
        <v>477</v>
      </c>
      <c r="B47" s="219">
        <v>508</v>
      </c>
      <c r="C47" s="219">
        <v>4.78</v>
      </c>
      <c r="D47" s="219">
        <v>5.54</v>
      </c>
      <c r="E47" s="219">
        <v>9.52</v>
      </c>
      <c r="F47" s="218">
        <v>12.7</v>
      </c>
      <c r="G47" s="188"/>
      <c r="H47" s="672">
        <f t="shared" si="0"/>
        <v>488.96</v>
      </c>
      <c r="I47" s="673"/>
      <c r="J47" s="673"/>
      <c r="K47" s="674"/>
      <c r="L47" s="188"/>
      <c r="M47" s="188"/>
      <c r="N47" s="188"/>
      <c r="O47" s="188"/>
    </row>
    <row r="48" spans="1:15" ht="13.5" thickBot="1" x14ac:dyDescent="0.25">
      <c r="A48" s="217" t="s">
        <v>475</v>
      </c>
      <c r="B48" s="216">
        <v>609.6</v>
      </c>
      <c r="C48" s="216">
        <v>5.53</v>
      </c>
      <c r="D48" s="216">
        <v>6.35</v>
      </c>
      <c r="E48" s="216">
        <v>9.52</v>
      </c>
      <c r="F48" s="215">
        <v>12.7</v>
      </c>
      <c r="G48" s="188"/>
      <c r="H48" s="669">
        <f t="shared" si="0"/>
        <v>590.56000000000006</v>
      </c>
      <c r="I48" s="670"/>
      <c r="J48" s="670"/>
      <c r="K48" s="671"/>
      <c r="L48" s="188"/>
      <c r="M48" s="188"/>
      <c r="N48" s="188"/>
      <c r="O48" s="188"/>
    </row>
    <row r="49" spans="1:15" x14ac:dyDescent="0.2">
      <c r="A49" s="188"/>
      <c r="B49" s="188"/>
      <c r="C49" s="188"/>
      <c r="D49" s="188"/>
      <c r="E49" s="188"/>
      <c r="F49" s="188"/>
      <c r="G49" s="188"/>
      <c r="H49" s="188"/>
      <c r="I49" s="188"/>
      <c r="J49" s="188"/>
      <c r="K49" s="188"/>
      <c r="L49" s="188"/>
      <c r="M49" s="188"/>
      <c r="N49" s="188"/>
      <c r="O49" s="188"/>
    </row>
    <row r="50" spans="1:15" x14ac:dyDescent="0.2">
      <c r="A50" s="188"/>
      <c r="B50" s="188"/>
      <c r="C50" s="188"/>
      <c r="D50" s="188"/>
      <c r="E50" s="188"/>
      <c r="F50" s="188"/>
      <c r="G50" s="188"/>
      <c r="H50" s="188"/>
      <c r="I50" s="188"/>
      <c r="J50" s="188"/>
      <c r="K50" s="188"/>
      <c r="L50" s="188"/>
      <c r="M50" s="188"/>
      <c r="N50" s="188"/>
      <c r="O50" s="188"/>
    </row>
    <row r="51" spans="1:15" x14ac:dyDescent="0.2">
      <c r="A51" s="188"/>
      <c r="B51" s="188"/>
      <c r="C51" s="188"/>
      <c r="D51" s="188"/>
      <c r="E51" s="188"/>
      <c r="F51" s="188"/>
      <c r="G51" s="188"/>
      <c r="H51" s="188"/>
      <c r="I51" s="188"/>
      <c r="J51" s="188"/>
      <c r="K51" s="188"/>
      <c r="L51" s="188"/>
      <c r="M51" s="188"/>
      <c r="N51" s="188"/>
      <c r="O51" s="188"/>
    </row>
    <row r="52" spans="1:15" x14ac:dyDescent="0.2">
      <c r="A52" s="188"/>
      <c r="B52" s="188"/>
      <c r="C52" s="188"/>
      <c r="D52" s="188"/>
      <c r="E52" s="188"/>
      <c r="F52" s="188"/>
      <c r="G52" s="188"/>
      <c r="H52" s="188"/>
      <c r="I52" s="188"/>
      <c r="J52" s="188"/>
      <c r="K52" s="188"/>
      <c r="L52" s="188"/>
      <c r="M52" s="188"/>
      <c r="N52" s="188"/>
      <c r="O52" s="188"/>
    </row>
    <row r="53" spans="1:15" x14ac:dyDescent="0.2">
      <c r="A53" s="188"/>
      <c r="B53" s="188"/>
      <c r="C53" s="188"/>
      <c r="D53" s="188"/>
      <c r="E53" s="188"/>
      <c r="F53" s="188"/>
      <c r="G53" s="188"/>
      <c r="H53" s="188"/>
      <c r="I53" s="188"/>
      <c r="J53" s="188"/>
      <c r="K53" s="188"/>
      <c r="L53" s="188"/>
      <c r="M53" s="188"/>
      <c r="N53" s="188"/>
      <c r="O53" s="188"/>
    </row>
    <row r="54" spans="1:15" x14ac:dyDescent="0.2">
      <c r="A54" s="188"/>
      <c r="B54" s="188"/>
      <c r="C54" s="188"/>
      <c r="D54" s="188"/>
      <c r="E54" s="188"/>
      <c r="F54" s="188"/>
      <c r="G54" s="188"/>
      <c r="H54" s="188"/>
      <c r="I54" s="188"/>
      <c r="J54" s="188"/>
      <c r="K54" s="188"/>
      <c r="L54" s="188"/>
      <c r="M54" s="188"/>
      <c r="N54" s="188"/>
      <c r="O54" s="188"/>
    </row>
    <row r="55" spans="1:15" x14ac:dyDescent="0.2">
      <c r="A55" s="188"/>
      <c r="B55" s="188"/>
      <c r="C55" s="188"/>
      <c r="D55" s="188"/>
      <c r="E55" s="188"/>
      <c r="F55" s="188"/>
      <c r="G55" s="188"/>
      <c r="H55" s="188"/>
      <c r="I55" s="188"/>
      <c r="J55" s="188"/>
      <c r="K55" s="188"/>
      <c r="L55" s="188"/>
      <c r="M55" s="188"/>
      <c r="N55" s="188"/>
      <c r="O55" s="188"/>
    </row>
    <row r="56" spans="1:15" x14ac:dyDescent="0.2">
      <c r="A56" s="188"/>
      <c r="B56" s="188"/>
      <c r="C56" s="188"/>
      <c r="D56" s="188"/>
      <c r="E56" s="188"/>
      <c r="F56" s="188"/>
      <c r="G56" s="188"/>
      <c r="H56" s="188"/>
      <c r="I56" s="188"/>
      <c r="J56" s="188"/>
      <c r="K56" s="188"/>
      <c r="L56" s="188"/>
      <c r="M56" s="188"/>
      <c r="N56" s="188"/>
      <c r="O56" s="188"/>
    </row>
    <row r="57" spans="1:15" x14ac:dyDescent="0.2">
      <c r="A57" s="188"/>
      <c r="B57" s="188"/>
      <c r="C57" s="188"/>
      <c r="D57" s="188"/>
      <c r="E57" s="188"/>
      <c r="F57" s="188"/>
      <c r="G57" s="188"/>
      <c r="H57" s="188"/>
      <c r="I57" s="188"/>
      <c r="J57" s="188"/>
      <c r="K57" s="188"/>
      <c r="L57" s="188"/>
      <c r="M57" s="188"/>
      <c r="N57" s="188"/>
      <c r="O57" s="188"/>
    </row>
    <row r="58" spans="1:15" x14ac:dyDescent="0.2">
      <c r="A58" s="188"/>
      <c r="B58" s="188"/>
      <c r="C58" s="188"/>
      <c r="D58" s="188"/>
      <c r="E58" s="188"/>
      <c r="F58" s="188"/>
      <c r="G58" s="188"/>
      <c r="H58" s="188"/>
      <c r="I58" s="188"/>
      <c r="J58" s="188"/>
      <c r="K58" s="188"/>
      <c r="L58" s="188"/>
      <c r="M58" s="188"/>
      <c r="N58" s="188"/>
      <c r="O58" s="188"/>
    </row>
    <row r="59" spans="1:15" x14ac:dyDescent="0.2">
      <c r="A59" s="188"/>
      <c r="B59" s="188"/>
      <c r="C59" s="188"/>
      <c r="D59" s="188"/>
      <c r="E59" s="188"/>
      <c r="F59" s="188"/>
      <c r="G59" s="188"/>
      <c r="H59" s="188"/>
      <c r="I59" s="188"/>
      <c r="J59" s="188"/>
      <c r="K59" s="188"/>
      <c r="L59" s="188"/>
      <c r="M59" s="188"/>
      <c r="N59" s="188"/>
      <c r="O59" s="188"/>
    </row>
    <row r="60" spans="1:15" x14ac:dyDescent="0.2">
      <c r="A60" s="188"/>
      <c r="B60" s="188"/>
      <c r="C60" s="188"/>
      <c r="D60" s="188"/>
      <c r="E60" s="188"/>
      <c r="F60" s="188"/>
      <c r="G60" s="188"/>
      <c r="H60" s="188"/>
      <c r="I60" s="188"/>
      <c r="J60" s="188"/>
      <c r="K60" s="188"/>
      <c r="L60" s="188"/>
      <c r="M60" s="188"/>
      <c r="N60" s="188"/>
      <c r="O60" s="188"/>
    </row>
    <row r="61" spans="1:15" x14ac:dyDescent="0.2">
      <c r="A61" s="188"/>
      <c r="B61" s="188"/>
      <c r="C61" s="188"/>
      <c r="D61" s="188"/>
      <c r="E61" s="188"/>
      <c r="F61" s="188"/>
      <c r="G61" s="188"/>
      <c r="H61" s="188"/>
      <c r="I61" s="188"/>
      <c r="J61" s="188"/>
      <c r="K61" s="188"/>
      <c r="L61" s="188"/>
      <c r="M61" s="188"/>
      <c r="N61" s="188"/>
      <c r="O61" s="188"/>
    </row>
    <row r="62" spans="1:15" x14ac:dyDescent="0.2">
      <c r="A62" s="188"/>
      <c r="B62" s="188"/>
      <c r="C62" s="188"/>
      <c r="D62" s="188"/>
      <c r="E62" s="188"/>
      <c r="F62" s="188"/>
      <c r="G62" s="188"/>
      <c r="H62" s="188"/>
      <c r="I62" s="188"/>
      <c r="J62" s="188"/>
      <c r="K62" s="188"/>
      <c r="L62" s="188"/>
      <c r="M62" s="188"/>
      <c r="N62" s="188"/>
      <c r="O62" s="188"/>
    </row>
    <row r="63" spans="1:15" x14ac:dyDescent="0.2">
      <c r="A63" s="188"/>
      <c r="B63" s="188"/>
      <c r="C63" s="188"/>
      <c r="D63" s="188"/>
      <c r="E63" s="188"/>
      <c r="F63" s="188"/>
      <c r="G63" s="188"/>
      <c r="H63" s="188"/>
      <c r="I63" s="188"/>
      <c r="J63" s="188"/>
      <c r="K63" s="188"/>
      <c r="L63" s="188"/>
      <c r="M63" s="188"/>
      <c r="N63" s="188"/>
      <c r="O63" s="188"/>
    </row>
    <row r="64" spans="1:15" x14ac:dyDescent="0.2">
      <c r="A64" s="188"/>
      <c r="B64" s="188"/>
      <c r="C64" s="188"/>
      <c r="D64" s="188"/>
      <c r="E64" s="188"/>
      <c r="F64" s="188"/>
      <c r="G64" s="188"/>
      <c r="H64" s="188"/>
      <c r="I64" s="188"/>
      <c r="J64" s="188"/>
      <c r="K64" s="188"/>
      <c r="L64" s="188"/>
      <c r="M64" s="188"/>
      <c r="N64" s="188"/>
      <c r="O64" s="188"/>
    </row>
    <row r="65" spans="1:15" x14ac:dyDescent="0.2">
      <c r="A65" s="188"/>
      <c r="B65" s="188"/>
      <c r="C65" s="188"/>
      <c r="D65" s="188"/>
      <c r="E65" s="188"/>
      <c r="F65" s="188"/>
      <c r="G65" s="188"/>
      <c r="H65" s="188"/>
      <c r="I65" s="188"/>
      <c r="J65" s="188"/>
      <c r="K65" s="188"/>
      <c r="L65" s="188"/>
      <c r="M65" s="188"/>
      <c r="N65" s="188"/>
      <c r="O65" s="188"/>
    </row>
    <row r="66" spans="1:15" x14ac:dyDescent="0.2">
      <c r="A66" s="188"/>
      <c r="B66" s="188"/>
      <c r="C66" s="188"/>
      <c r="D66" s="188"/>
      <c r="E66" s="188"/>
      <c r="F66" s="188"/>
      <c r="G66" s="188"/>
      <c r="H66" s="188"/>
      <c r="I66" s="188"/>
      <c r="J66" s="188"/>
      <c r="K66" s="188"/>
      <c r="L66" s="188"/>
      <c r="M66" s="188"/>
      <c r="N66" s="188"/>
      <c r="O66" s="188"/>
    </row>
    <row r="67" spans="1:15" x14ac:dyDescent="0.2">
      <c r="A67" s="188"/>
      <c r="B67" s="188"/>
      <c r="C67" s="188"/>
      <c r="D67" s="188"/>
      <c r="E67" s="188"/>
      <c r="F67" s="188"/>
      <c r="G67" s="188"/>
      <c r="H67" s="188"/>
      <c r="I67" s="188"/>
      <c r="J67" s="188"/>
      <c r="K67" s="188"/>
      <c r="L67" s="188"/>
      <c r="M67" s="188"/>
      <c r="N67" s="188"/>
      <c r="O67" s="188"/>
    </row>
    <row r="68" spans="1:15" x14ac:dyDescent="0.2">
      <c r="A68" s="188"/>
      <c r="B68" s="188"/>
      <c r="C68" s="188"/>
      <c r="D68" s="188"/>
      <c r="E68" s="188"/>
      <c r="F68" s="188"/>
      <c r="G68" s="188"/>
      <c r="H68" s="188"/>
      <c r="I68" s="188"/>
      <c r="J68" s="188"/>
      <c r="K68" s="188"/>
      <c r="L68" s="188"/>
      <c r="M68" s="188"/>
      <c r="N68" s="188"/>
      <c r="O68" s="188"/>
    </row>
    <row r="69" spans="1:15" x14ac:dyDescent="0.2">
      <c r="A69" s="188"/>
      <c r="B69" s="188"/>
      <c r="C69" s="188"/>
      <c r="D69" s="188"/>
      <c r="E69" s="188"/>
      <c r="F69" s="188"/>
      <c r="G69" s="188"/>
      <c r="H69" s="188"/>
      <c r="I69" s="188"/>
      <c r="J69" s="188"/>
      <c r="K69" s="188"/>
      <c r="L69" s="188"/>
      <c r="M69" s="188"/>
      <c r="N69" s="188"/>
      <c r="O69" s="188"/>
    </row>
    <row r="70" spans="1:15" x14ac:dyDescent="0.2">
      <c r="A70" s="188"/>
      <c r="B70" s="188"/>
      <c r="C70" s="188"/>
      <c r="D70" s="188"/>
      <c r="E70" s="188"/>
      <c r="F70" s="188"/>
      <c r="G70" s="188"/>
      <c r="H70" s="188"/>
      <c r="I70" s="188"/>
      <c r="J70" s="188"/>
      <c r="K70" s="188"/>
      <c r="L70" s="188"/>
      <c r="M70" s="188"/>
      <c r="N70" s="188"/>
      <c r="O70" s="188"/>
    </row>
    <row r="71" spans="1:15" x14ac:dyDescent="0.2">
      <c r="A71" s="188"/>
      <c r="B71" s="188"/>
      <c r="C71" s="188"/>
      <c r="D71" s="188"/>
      <c r="E71" s="188"/>
      <c r="F71" s="188"/>
      <c r="G71" s="188"/>
      <c r="H71" s="188"/>
      <c r="I71" s="188"/>
      <c r="J71" s="188"/>
      <c r="K71" s="188"/>
      <c r="L71" s="188"/>
      <c r="M71" s="188"/>
      <c r="N71" s="188"/>
      <c r="O71" s="188"/>
    </row>
    <row r="72" spans="1:15" x14ac:dyDescent="0.2">
      <c r="A72" s="188"/>
      <c r="B72" s="188"/>
      <c r="C72" s="188"/>
      <c r="D72" s="188"/>
      <c r="E72" s="188"/>
      <c r="F72" s="188"/>
      <c r="G72" s="188"/>
      <c r="H72" s="188"/>
      <c r="I72" s="188"/>
      <c r="J72" s="188"/>
      <c r="K72" s="188"/>
      <c r="L72" s="188"/>
      <c r="M72" s="188"/>
      <c r="N72" s="188"/>
      <c r="O72" s="188"/>
    </row>
    <row r="73" spans="1:15" x14ac:dyDescent="0.2">
      <c r="A73" s="188"/>
      <c r="B73" s="188"/>
      <c r="C73" s="188"/>
      <c r="D73" s="188"/>
      <c r="E73" s="188"/>
      <c r="F73" s="188"/>
      <c r="G73" s="188"/>
      <c r="H73" s="188"/>
      <c r="I73" s="188"/>
      <c r="J73" s="188"/>
      <c r="K73" s="188"/>
      <c r="L73" s="188"/>
      <c r="M73" s="188"/>
      <c r="N73" s="188"/>
      <c r="O73" s="188"/>
    </row>
    <row r="74" spans="1:15" x14ac:dyDescent="0.2">
      <c r="A74" s="188"/>
      <c r="B74" s="188"/>
      <c r="C74" s="188"/>
      <c r="D74" s="188"/>
      <c r="E74" s="188"/>
      <c r="F74" s="188"/>
      <c r="G74" s="188"/>
      <c r="H74" s="188"/>
      <c r="I74" s="188"/>
      <c r="J74" s="188"/>
      <c r="K74" s="188"/>
      <c r="L74" s="188"/>
      <c r="M74" s="188"/>
      <c r="N74" s="188"/>
      <c r="O74" s="188"/>
    </row>
    <row r="75" spans="1:15" x14ac:dyDescent="0.2">
      <c r="A75" s="188"/>
      <c r="B75" s="188"/>
      <c r="C75" s="188"/>
      <c r="D75" s="188"/>
      <c r="E75" s="188"/>
      <c r="F75" s="188"/>
      <c r="G75" s="188"/>
      <c r="H75" s="188"/>
      <c r="I75" s="188"/>
      <c r="J75" s="188"/>
      <c r="K75" s="188"/>
      <c r="L75" s="188"/>
      <c r="M75" s="188"/>
      <c r="N75" s="188"/>
      <c r="O75" s="188"/>
    </row>
    <row r="76" spans="1:15" x14ac:dyDescent="0.2">
      <c r="A76" s="188"/>
      <c r="B76" s="188"/>
      <c r="C76" s="188"/>
      <c r="D76" s="188"/>
      <c r="E76" s="188"/>
      <c r="F76" s="188"/>
      <c r="G76" s="188"/>
      <c r="H76" s="188"/>
      <c r="I76" s="188"/>
      <c r="J76" s="188"/>
      <c r="K76" s="188"/>
      <c r="L76" s="188"/>
      <c r="M76" s="188"/>
      <c r="N76" s="188"/>
      <c r="O76" s="188"/>
    </row>
    <row r="77" spans="1:15" x14ac:dyDescent="0.2">
      <c r="A77" s="188"/>
      <c r="B77" s="188"/>
      <c r="C77" s="188"/>
      <c r="D77" s="188"/>
      <c r="E77" s="188"/>
      <c r="F77" s="188"/>
      <c r="G77" s="188"/>
      <c r="H77" s="188"/>
      <c r="I77" s="188"/>
      <c r="J77" s="188"/>
      <c r="K77" s="188"/>
      <c r="L77" s="188"/>
      <c r="M77" s="188"/>
      <c r="N77" s="188"/>
      <c r="O77" s="188"/>
    </row>
    <row r="78" spans="1:15" x14ac:dyDescent="0.2">
      <c r="A78" s="188"/>
      <c r="B78" s="188"/>
      <c r="C78" s="188"/>
      <c r="D78" s="188"/>
      <c r="E78" s="188"/>
      <c r="F78" s="188"/>
      <c r="G78" s="188"/>
      <c r="H78" s="188"/>
      <c r="I78" s="188"/>
      <c r="J78" s="188"/>
      <c r="K78" s="188"/>
      <c r="L78" s="188"/>
      <c r="M78" s="188"/>
      <c r="N78" s="188"/>
      <c r="O78" s="188"/>
    </row>
    <row r="79" spans="1:15" x14ac:dyDescent="0.2">
      <c r="A79" s="188"/>
      <c r="B79" s="188"/>
      <c r="C79" s="188"/>
      <c r="D79" s="188"/>
      <c r="E79" s="188"/>
      <c r="F79" s="188"/>
      <c r="G79" s="188"/>
      <c r="H79" s="188"/>
      <c r="I79" s="188"/>
      <c r="J79" s="188"/>
      <c r="K79" s="188"/>
      <c r="L79" s="188"/>
      <c r="M79" s="188"/>
      <c r="N79" s="188"/>
      <c r="O79" s="188"/>
    </row>
    <row r="80" spans="1:15" x14ac:dyDescent="0.2">
      <c r="A80" s="188"/>
      <c r="B80" s="188"/>
      <c r="C80" s="188"/>
      <c r="D80" s="188"/>
      <c r="E80" s="188"/>
      <c r="F80" s="188"/>
      <c r="G80" s="188"/>
      <c r="H80" s="188"/>
      <c r="I80" s="188"/>
      <c r="J80" s="188"/>
      <c r="K80" s="188"/>
      <c r="L80" s="188"/>
      <c r="M80" s="188"/>
      <c r="N80" s="188"/>
      <c r="O80" s="188"/>
    </row>
    <row r="81" spans="1:15" x14ac:dyDescent="0.2">
      <c r="A81" s="188"/>
      <c r="B81" s="188"/>
      <c r="C81" s="188"/>
      <c r="D81" s="188"/>
      <c r="E81" s="188"/>
      <c r="F81" s="188"/>
      <c r="G81" s="188"/>
      <c r="H81" s="188"/>
      <c r="I81" s="188"/>
      <c r="J81" s="188"/>
      <c r="K81" s="188"/>
      <c r="L81" s="188"/>
      <c r="M81" s="188"/>
      <c r="N81" s="188"/>
      <c r="O81" s="188"/>
    </row>
    <row r="82" spans="1:15" x14ac:dyDescent="0.2">
      <c r="A82" s="188"/>
      <c r="B82" s="188"/>
      <c r="C82" s="188"/>
      <c r="D82" s="188"/>
      <c r="E82" s="188"/>
      <c r="F82" s="188"/>
      <c r="G82" s="188"/>
      <c r="H82" s="188"/>
      <c r="I82" s="188"/>
      <c r="J82" s="188"/>
      <c r="K82" s="188"/>
      <c r="L82" s="188"/>
      <c r="M82" s="188"/>
      <c r="N82" s="188"/>
      <c r="O82" s="188"/>
    </row>
    <row r="83" spans="1:15" x14ac:dyDescent="0.2">
      <c r="A83" s="188"/>
      <c r="B83" s="188"/>
      <c r="C83" s="188"/>
      <c r="D83" s="188"/>
      <c r="E83" s="188"/>
      <c r="F83" s="188"/>
      <c r="G83" s="188"/>
      <c r="H83" s="188"/>
      <c r="I83" s="188"/>
      <c r="J83" s="188"/>
      <c r="K83" s="188"/>
      <c r="L83" s="188"/>
      <c r="M83" s="188"/>
      <c r="N83" s="188"/>
      <c r="O83" s="188"/>
    </row>
    <row r="84" spans="1:15" x14ac:dyDescent="0.2">
      <c r="A84" s="188"/>
      <c r="B84" s="188"/>
      <c r="C84" s="188"/>
      <c r="D84" s="188"/>
      <c r="E84" s="188"/>
      <c r="F84" s="188"/>
      <c r="G84" s="188"/>
      <c r="H84" s="188"/>
      <c r="I84" s="188"/>
      <c r="J84" s="188"/>
      <c r="K84" s="188"/>
      <c r="L84" s="188"/>
      <c r="M84" s="188"/>
      <c r="N84" s="188"/>
      <c r="O84" s="188"/>
    </row>
    <row r="85" spans="1:15" x14ac:dyDescent="0.2">
      <c r="A85" s="188"/>
      <c r="B85" s="188"/>
      <c r="C85" s="188"/>
      <c r="D85" s="188"/>
      <c r="E85" s="188"/>
      <c r="F85" s="188"/>
      <c r="G85" s="188"/>
      <c r="H85" s="188"/>
      <c r="I85" s="188"/>
      <c r="J85" s="188"/>
      <c r="K85" s="188"/>
      <c r="L85" s="188"/>
      <c r="M85" s="188"/>
      <c r="N85" s="188"/>
      <c r="O85" s="188"/>
    </row>
    <row r="86" spans="1:15" x14ac:dyDescent="0.2">
      <c r="A86" s="188"/>
      <c r="B86" s="188"/>
      <c r="C86" s="188"/>
      <c r="D86" s="188"/>
      <c r="E86" s="188"/>
      <c r="F86" s="188"/>
      <c r="G86" s="188"/>
      <c r="H86" s="188"/>
      <c r="I86" s="188"/>
      <c r="J86" s="188"/>
      <c r="K86" s="188"/>
      <c r="L86" s="188"/>
      <c r="M86" s="188"/>
      <c r="N86" s="188"/>
      <c r="O86" s="188"/>
    </row>
    <row r="87" spans="1:15" x14ac:dyDescent="0.2">
      <c r="A87" s="188"/>
      <c r="B87" s="188"/>
      <c r="C87" s="188"/>
      <c r="D87" s="188"/>
      <c r="E87" s="188"/>
      <c r="F87" s="188"/>
      <c r="G87" s="188"/>
      <c r="H87" s="188"/>
      <c r="I87" s="188"/>
      <c r="J87" s="188"/>
      <c r="K87" s="188"/>
      <c r="L87" s="188"/>
      <c r="M87" s="188"/>
      <c r="N87" s="188"/>
      <c r="O87" s="188"/>
    </row>
    <row r="88" spans="1:15" x14ac:dyDescent="0.2">
      <c r="A88" s="188"/>
      <c r="B88" s="188"/>
      <c r="C88" s="188"/>
      <c r="D88" s="188"/>
      <c r="E88" s="188"/>
      <c r="F88" s="188"/>
      <c r="G88" s="188"/>
      <c r="H88" s="188"/>
      <c r="I88" s="188"/>
      <c r="J88" s="188"/>
      <c r="K88" s="188"/>
      <c r="L88" s="188"/>
      <c r="M88" s="188"/>
      <c r="N88" s="188"/>
      <c r="O88" s="188"/>
    </row>
    <row r="89" spans="1:15" x14ac:dyDescent="0.2">
      <c r="A89" s="188"/>
      <c r="B89" s="188"/>
      <c r="C89" s="188"/>
      <c r="D89" s="188"/>
      <c r="E89" s="188"/>
      <c r="F89" s="188"/>
      <c r="G89" s="188"/>
      <c r="H89" s="188"/>
      <c r="I89" s="188"/>
      <c r="J89" s="188"/>
      <c r="K89" s="188"/>
      <c r="L89" s="188"/>
      <c r="M89" s="188"/>
      <c r="N89" s="188"/>
      <c r="O89" s="188"/>
    </row>
    <row r="90" spans="1:15" x14ac:dyDescent="0.2">
      <c r="A90" s="188"/>
      <c r="B90" s="188"/>
      <c r="C90" s="188"/>
      <c r="D90" s="188"/>
      <c r="E90" s="188"/>
      <c r="F90" s="188"/>
      <c r="G90" s="188"/>
      <c r="H90" s="188"/>
      <c r="I90" s="188"/>
      <c r="J90" s="188"/>
      <c r="K90" s="188"/>
      <c r="L90" s="188"/>
      <c r="M90" s="188"/>
      <c r="N90" s="188"/>
      <c r="O90" s="188"/>
    </row>
    <row r="91" spans="1:15" x14ac:dyDescent="0.2">
      <c r="A91" s="188"/>
      <c r="B91" s="188"/>
      <c r="C91" s="188"/>
      <c r="D91" s="188"/>
      <c r="E91" s="188"/>
      <c r="F91" s="188"/>
      <c r="G91" s="188"/>
      <c r="H91" s="188"/>
      <c r="I91" s="188"/>
      <c r="J91" s="188"/>
      <c r="K91" s="188"/>
      <c r="L91" s="188"/>
      <c r="M91" s="188"/>
      <c r="N91" s="188"/>
      <c r="O91" s="188"/>
    </row>
    <row r="92" spans="1:15" x14ac:dyDescent="0.2">
      <c r="A92" s="188"/>
      <c r="B92" s="188"/>
      <c r="C92" s="188"/>
      <c r="D92" s="188"/>
      <c r="E92" s="188"/>
      <c r="F92" s="188"/>
      <c r="G92" s="188"/>
      <c r="H92" s="188"/>
      <c r="I92" s="188"/>
      <c r="J92" s="188"/>
      <c r="K92" s="188"/>
      <c r="L92" s="188"/>
      <c r="M92" s="188"/>
      <c r="N92" s="188"/>
      <c r="O92" s="188"/>
    </row>
    <row r="93" spans="1:15" x14ac:dyDescent="0.2">
      <c r="A93" s="188"/>
      <c r="B93" s="188"/>
      <c r="C93" s="188"/>
      <c r="D93" s="188"/>
      <c r="E93" s="188"/>
      <c r="F93" s="188"/>
      <c r="G93" s="188"/>
      <c r="H93" s="188"/>
      <c r="I93" s="188"/>
      <c r="J93" s="188"/>
      <c r="K93" s="188"/>
      <c r="L93" s="188"/>
      <c r="M93" s="188"/>
      <c r="N93" s="188"/>
      <c r="O93" s="188"/>
    </row>
    <row r="94" spans="1:15" x14ac:dyDescent="0.2">
      <c r="A94" s="188"/>
      <c r="B94" s="188"/>
      <c r="C94" s="188"/>
      <c r="D94" s="188"/>
      <c r="E94" s="188"/>
      <c r="F94" s="188"/>
      <c r="G94" s="188"/>
      <c r="H94" s="188"/>
      <c r="I94" s="188"/>
      <c r="J94" s="188"/>
      <c r="K94" s="188"/>
      <c r="L94" s="188"/>
      <c r="M94" s="188"/>
      <c r="N94" s="188"/>
      <c r="O94" s="188"/>
    </row>
    <row r="95" spans="1:15" x14ac:dyDescent="0.2">
      <c r="A95" s="188"/>
      <c r="B95" s="188"/>
      <c r="C95" s="188"/>
      <c r="D95" s="188"/>
      <c r="E95" s="188"/>
      <c r="F95" s="188"/>
      <c r="G95" s="188"/>
      <c r="H95" s="188"/>
      <c r="I95" s="188"/>
      <c r="J95" s="188"/>
      <c r="K95" s="188"/>
      <c r="L95" s="188"/>
      <c r="M95" s="188"/>
      <c r="N95" s="188"/>
      <c r="O95" s="188"/>
    </row>
    <row r="96" spans="1:15" x14ac:dyDescent="0.2">
      <c r="A96" s="188"/>
      <c r="B96" s="188"/>
      <c r="C96" s="188"/>
      <c r="D96" s="188"/>
      <c r="E96" s="188"/>
      <c r="F96" s="188"/>
      <c r="G96" s="188"/>
      <c r="H96" s="188"/>
      <c r="I96" s="188"/>
      <c r="J96" s="188"/>
      <c r="K96" s="188"/>
      <c r="L96" s="188"/>
      <c r="M96" s="188"/>
      <c r="N96" s="188"/>
      <c r="O96" s="188"/>
    </row>
    <row r="97" spans="1:15" x14ac:dyDescent="0.2">
      <c r="A97" s="188"/>
      <c r="B97" s="188"/>
      <c r="C97" s="188"/>
      <c r="D97" s="188"/>
      <c r="E97" s="188"/>
      <c r="F97" s="188"/>
      <c r="G97" s="188"/>
      <c r="H97" s="188"/>
      <c r="I97" s="188"/>
      <c r="J97" s="188"/>
      <c r="K97" s="188"/>
      <c r="L97" s="188"/>
      <c r="M97" s="188"/>
      <c r="N97" s="188"/>
      <c r="O97" s="188"/>
    </row>
    <row r="98" spans="1:15" x14ac:dyDescent="0.2">
      <c r="A98" s="188"/>
      <c r="B98" s="188"/>
      <c r="C98" s="188"/>
      <c r="D98" s="188"/>
      <c r="E98" s="188"/>
      <c r="F98" s="188"/>
      <c r="G98" s="188"/>
      <c r="H98" s="188"/>
      <c r="I98" s="188"/>
      <c r="J98" s="188"/>
      <c r="K98" s="188"/>
      <c r="L98" s="188"/>
      <c r="M98" s="188"/>
      <c r="N98" s="188"/>
      <c r="O98" s="188"/>
    </row>
    <row r="99" spans="1:15" x14ac:dyDescent="0.2">
      <c r="A99" s="188"/>
      <c r="B99" s="188"/>
      <c r="C99" s="188"/>
      <c r="D99" s="188"/>
      <c r="E99" s="188"/>
      <c r="F99" s="188"/>
      <c r="G99" s="188"/>
      <c r="H99" s="188"/>
      <c r="I99" s="188"/>
      <c r="J99" s="188"/>
      <c r="K99" s="188"/>
      <c r="L99" s="188"/>
      <c r="M99" s="188"/>
      <c r="N99" s="188"/>
      <c r="O99" s="188"/>
    </row>
    <row r="100" spans="1:15" x14ac:dyDescent="0.2">
      <c r="A100" s="188"/>
      <c r="B100" s="188"/>
      <c r="C100" s="188"/>
      <c r="D100" s="188"/>
      <c r="E100" s="188"/>
      <c r="F100" s="188"/>
      <c r="G100" s="188"/>
      <c r="H100" s="188"/>
      <c r="I100" s="188"/>
      <c r="J100" s="188"/>
      <c r="K100" s="188"/>
      <c r="L100" s="188"/>
      <c r="M100" s="188"/>
      <c r="N100" s="188"/>
      <c r="O100" s="188"/>
    </row>
    <row r="101" spans="1:15" x14ac:dyDescent="0.2">
      <c r="A101" s="188"/>
      <c r="B101" s="188"/>
      <c r="C101" s="188"/>
      <c r="D101" s="188"/>
      <c r="E101" s="188"/>
      <c r="F101" s="188"/>
      <c r="G101" s="188"/>
      <c r="H101" s="188"/>
      <c r="I101" s="188"/>
      <c r="J101" s="188"/>
      <c r="K101" s="188"/>
      <c r="L101" s="188"/>
      <c r="M101" s="188"/>
      <c r="N101" s="188"/>
      <c r="O101" s="188"/>
    </row>
    <row r="102" spans="1:15" x14ac:dyDescent="0.2">
      <c r="A102" s="188"/>
      <c r="B102" s="188"/>
      <c r="C102" s="188"/>
      <c r="D102" s="188"/>
      <c r="E102" s="188"/>
      <c r="F102" s="188"/>
      <c r="G102" s="188"/>
      <c r="H102" s="188"/>
      <c r="I102" s="188"/>
      <c r="J102" s="188"/>
      <c r="K102" s="188"/>
      <c r="L102" s="188"/>
      <c r="M102" s="188"/>
      <c r="N102" s="188"/>
      <c r="O102" s="188"/>
    </row>
    <row r="103" spans="1:15" x14ac:dyDescent="0.2">
      <c r="A103" s="188"/>
      <c r="B103" s="188"/>
      <c r="C103" s="188"/>
      <c r="D103" s="188"/>
      <c r="E103" s="188"/>
      <c r="F103" s="188"/>
      <c r="G103" s="188"/>
      <c r="H103" s="188"/>
      <c r="I103" s="188"/>
      <c r="J103" s="188"/>
      <c r="K103" s="188"/>
      <c r="L103" s="188"/>
      <c r="M103" s="188"/>
      <c r="N103" s="188"/>
      <c r="O103" s="188"/>
    </row>
    <row r="104" spans="1:15" x14ac:dyDescent="0.2">
      <c r="A104" s="188"/>
      <c r="B104" s="188"/>
      <c r="C104" s="188"/>
      <c r="D104" s="188"/>
      <c r="E104" s="188"/>
      <c r="F104" s="188"/>
      <c r="G104" s="188"/>
      <c r="H104" s="188"/>
      <c r="I104" s="188"/>
      <c r="J104" s="188"/>
      <c r="K104" s="188"/>
      <c r="L104" s="188"/>
      <c r="M104" s="188"/>
      <c r="N104" s="188"/>
      <c r="O104" s="188"/>
    </row>
    <row r="105" spans="1:15" x14ac:dyDescent="0.2">
      <c r="A105" s="188"/>
      <c r="B105" s="188"/>
      <c r="C105" s="188"/>
      <c r="D105" s="188"/>
      <c r="E105" s="188"/>
      <c r="F105" s="188"/>
      <c r="G105" s="188"/>
      <c r="H105" s="188"/>
      <c r="I105" s="188"/>
      <c r="J105" s="188"/>
      <c r="K105" s="188"/>
      <c r="L105" s="188"/>
      <c r="M105" s="188"/>
      <c r="N105" s="188"/>
      <c r="O105" s="188"/>
    </row>
    <row r="106" spans="1:15" x14ac:dyDescent="0.2">
      <c r="A106" s="188"/>
      <c r="B106" s="188"/>
      <c r="C106" s="188"/>
      <c r="D106" s="188"/>
      <c r="E106" s="188"/>
      <c r="F106" s="188"/>
      <c r="G106" s="188"/>
      <c r="H106" s="188"/>
      <c r="I106" s="188"/>
      <c r="J106" s="188"/>
      <c r="K106" s="188"/>
      <c r="L106" s="188"/>
      <c r="M106" s="188"/>
      <c r="N106" s="188"/>
      <c r="O106" s="188"/>
    </row>
    <row r="107" spans="1:15" x14ac:dyDescent="0.2">
      <c r="A107" s="188"/>
      <c r="B107" s="188"/>
      <c r="C107" s="188"/>
      <c r="D107" s="188"/>
      <c r="E107" s="188"/>
      <c r="F107" s="188"/>
      <c r="G107" s="188"/>
      <c r="H107" s="188"/>
      <c r="I107" s="188"/>
      <c r="J107" s="188"/>
      <c r="K107" s="188"/>
      <c r="L107" s="188"/>
      <c r="M107" s="188"/>
      <c r="N107" s="188"/>
      <c r="O107" s="188"/>
    </row>
    <row r="108" spans="1:15" x14ac:dyDescent="0.2">
      <c r="A108" s="188"/>
      <c r="B108" s="188"/>
      <c r="C108" s="188"/>
      <c r="D108" s="188"/>
      <c r="E108" s="188"/>
      <c r="F108" s="188"/>
      <c r="G108" s="188"/>
      <c r="H108" s="188"/>
      <c r="I108" s="188"/>
      <c r="J108" s="188"/>
      <c r="K108" s="188"/>
      <c r="L108" s="188"/>
      <c r="M108" s="188"/>
      <c r="N108" s="188"/>
      <c r="O108" s="188"/>
    </row>
    <row r="109" spans="1:15" x14ac:dyDescent="0.2">
      <c r="A109" s="188"/>
      <c r="B109" s="188"/>
      <c r="C109" s="188"/>
      <c r="D109" s="188"/>
      <c r="E109" s="188"/>
      <c r="F109" s="188"/>
      <c r="G109" s="188"/>
      <c r="H109" s="188"/>
      <c r="I109" s="188"/>
      <c r="J109" s="188"/>
      <c r="K109" s="188"/>
      <c r="L109" s="188"/>
      <c r="M109" s="188"/>
      <c r="N109" s="188"/>
      <c r="O109" s="188"/>
    </row>
    <row r="110" spans="1:15" x14ac:dyDescent="0.2">
      <c r="A110" s="188"/>
      <c r="B110" s="188"/>
      <c r="C110" s="188"/>
      <c r="D110" s="188"/>
      <c r="E110" s="188"/>
      <c r="F110" s="188"/>
      <c r="G110" s="188"/>
      <c r="H110" s="188"/>
      <c r="I110" s="188"/>
      <c r="J110" s="188"/>
      <c r="K110" s="188"/>
      <c r="L110" s="188"/>
      <c r="M110" s="188"/>
      <c r="N110" s="188"/>
      <c r="O110" s="188"/>
    </row>
    <row r="111" spans="1:15" x14ac:dyDescent="0.2">
      <c r="A111" s="188"/>
      <c r="B111" s="188"/>
      <c r="C111" s="188"/>
      <c r="D111" s="188"/>
      <c r="E111" s="188"/>
      <c r="F111" s="188"/>
      <c r="G111" s="188"/>
      <c r="H111" s="188"/>
      <c r="I111" s="188"/>
      <c r="J111" s="188"/>
      <c r="K111" s="188"/>
      <c r="L111" s="188"/>
      <c r="M111" s="188"/>
      <c r="N111" s="188"/>
      <c r="O111" s="188"/>
    </row>
    <row r="112" spans="1:15" x14ac:dyDescent="0.2">
      <c r="A112" s="188"/>
      <c r="B112" s="188"/>
      <c r="C112" s="188"/>
      <c r="D112" s="188"/>
      <c r="E112" s="188"/>
      <c r="F112" s="188"/>
      <c r="G112" s="188"/>
      <c r="H112" s="188"/>
      <c r="I112" s="188"/>
      <c r="J112" s="188"/>
      <c r="K112" s="188"/>
      <c r="L112" s="188"/>
      <c r="M112" s="188"/>
      <c r="N112" s="188"/>
      <c r="O112" s="188"/>
    </row>
    <row r="113" spans="1:15" x14ac:dyDescent="0.2">
      <c r="A113" s="188"/>
      <c r="B113" s="188"/>
      <c r="C113" s="188"/>
      <c r="D113" s="188"/>
      <c r="E113" s="188"/>
      <c r="F113" s="188"/>
      <c r="G113" s="188"/>
      <c r="H113" s="188"/>
      <c r="I113" s="188"/>
      <c r="J113" s="188"/>
      <c r="K113" s="188"/>
      <c r="L113" s="188"/>
      <c r="M113" s="188"/>
      <c r="N113" s="188"/>
      <c r="O113" s="188"/>
    </row>
    <row r="114" spans="1:15" x14ac:dyDescent="0.2">
      <c r="A114" s="188"/>
      <c r="B114" s="188"/>
      <c r="C114" s="188"/>
      <c r="D114" s="188"/>
      <c r="E114" s="188"/>
      <c r="F114" s="188"/>
      <c r="G114" s="188"/>
      <c r="H114" s="188"/>
      <c r="I114" s="188"/>
      <c r="J114" s="188"/>
      <c r="K114" s="188"/>
      <c r="L114" s="188"/>
      <c r="M114" s="188"/>
      <c r="N114" s="188"/>
      <c r="O114" s="188"/>
    </row>
    <row r="115" spans="1:15" x14ac:dyDescent="0.2">
      <c r="A115" s="188"/>
      <c r="B115" s="188"/>
      <c r="C115" s="188"/>
      <c r="D115" s="188"/>
      <c r="E115" s="188"/>
      <c r="F115" s="188"/>
      <c r="G115" s="188"/>
      <c r="H115" s="188"/>
      <c r="I115" s="188"/>
      <c r="J115" s="188"/>
      <c r="K115" s="188"/>
      <c r="L115" s="188"/>
      <c r="M115" s="188"/>
      <c r="N115" s="188"/>
      <c r="O115" s="188"/>
    </row>
    <row r="116" spans="1:15" x14ac:dyDescent="0.2">
      <c r="A116" s="188"/>
      <c r="B116" s="188"/>
      <c r="C116" s="188"/>
      <c r="D116" s="188"/>
      <c r="E116" s="188"/>
      <c r="F116" s="188"/>
      <c r="G116" s="188"/>
      <c r="H116" s="188"/>
      <c r="I116" s="188"/>
      <c r="J116" s="188"/>
      <c r="K116" s="188"/>
      <c r="L116" s="188"/>
      <c r="M116" s="188"/>
      <c r="N116" s="188"/>
      <c r="O116" s="188"/>
    </row>
    <row r="117" spans="1:15" x14ac:dyDescent="0.2">
      <c r="A117" s="188"/>
      <c r="B117" s="188"/>
      <c r="C117" s="188"/>
      <c r="D117" s="188"/>
      <c r="E117" s="188"/>
      <c r="F117" s="188"/>
      <c r="G117" s="188"/>
      <c r="H117" s="188"/>
      <c r="I117" s="188"/>
      <c r="J117" s="188"/>
      <c r="K117" s="188"/>
      <c r="L117" s="188"/>
      <c r="M117" s="188"/>
      <c r="N117" s="188"/>
      <c r="O117" s="188"/>
    </row>
    <row r="118" spans="1:15" x14ac:dyDescent="0.2">
      <c r="A118" s="188"/>
      <c r="B118" s="188"/>
      <c r="C118" s="188"/>
      <c r="D118" s="188"/>
      <c r="E118" s="188"/>
      <c r="F118" s="188"/>
      <c r="G118" s="188"/>
      <c r="H118" s="188"/>
      <c r="I118" s="188"/>
      <c r="J118" s="188"/>
      <c r="K118" s="188"/>
      <c r="L118" s="188"/>
      <c r="M118" s="188"/>
      <c r="N118" s="188"/>
      <c r="O118" s="188"/>
    </row>
    <row r="119" spans="1:15" x14ac:dyDescent="0.2">
      <c r="A119" s="188"/>
      <c r="B119" s="188"/>
      <c r="C119" s="188"/>
      <c r="D119" s="188"/>
      <c r="E119" s="188"/>
      <c r="F119" s="188"/>
      <c r="G119" s="188"/>
      <c r="H119" s="188"/>
      <c r="I119" s="188"/>
      <c r="J119" s="188"/>
      <c r="K119" s="188"/>
      <c r="L119" s="188"/>
      <c r="M119" s="188"/>
      <c r="N119" s="188"/>
      <c r="O119" s="188"/>
    </row>
    <row r="120" spans="1:15" x14ac:dyDescent="0.2">
      <c r="A120" s="188"/>
      <c r="B120" s="188"/>
      <c r="C120" s="188"/>
      <c r="D120" s="188"/>
      <c r="E120" s="188"/>
      <c r="F120" s="188"/>
      <c r="G120" s="188"/>
      <c r="H120" s="188"/>
      <c r="I120" s="188"/>
      <c r="J120" s="188"/>
      <c r="K120" s="188"/>
      <c r="L120" s="188"/>
      <c r="M120" s="188"/>
      <c r="N120" s="188"/>
      <c r="O120" s="188"/>
    </row>
    <row r="121" spans="1:15" x14ac:dyDescent="0.2">
      <c r="A121" s="188"/>
      <c r="B121" s="188"/>
      <c r="C121" s="188"/>
      <c r="D121" s="188"/>
      <c r="E121" s="188"/>
      <c r="F121" s="188"/>
      <c r="G121" s="188"/>
      <c r="H121" s="188"/>
      <c r="I121" s="188"/>
      <c r="J121" s="188"/>
      <c r="K121" s="188"/>
      <c r="L121" s="188"/>
      <c r="M121" s="188"/>
      <c r="N121" s="188"/>
      <c r="O121" s="188"/>
    </row>
    <row r="122" spans="1:15" x14ac:dyDescent="0.2">
      <c r="A122" s="188"/>
      <c r="B122" s="188"/>
      <c r="C122" s="188"/>
      <c r="D122" s="188"/>
      <c r="E122" s="188"/>
      <c r="F122" s="188"/>
      <c r="G122" s="188"/>
      <c r="H122" s="188"/>
      <c r="I122" s="188"/>
      <c r="J122" s="188"/>
      <c r="K122" s="188"/>
      <c r="L122" s="188"/>
      <c r="M122" s="188"/>
      <c r="N122" s="188"/>
      <c r="O122" s="188"/>
    </row>
    <row r="123" spans="1:15" x14ac:dyDescent="0.2">
      <c r="A123" s="188"/>
      <c r="B123" s="188"/>
      <c r="C123" s="188"/>
      <c r="D123" s="188"/>
      <c r="E123" s="188"/>
      <c r="F123" s="188"/>
      <c r="G123" s="188"/>
      <c r="H123" s="188"/>
      <c r="I123" s="188"/>
      <c r="J123" s="188"/>
      <c r="K123" s="188"/>
      <c r="L123" s="188"/>
      <c r="M123" s="188"/>
      <c r="N123" s="188"/>
      <c r="O123" s="188"/>
    </row>
    <row r="124" spans="1:15" x14ac:dyDescent="0.2">
      <c r="A124" s="188"/>
      <c r="B124" s="188"/>
      <c r="C124" s="188"/>
      <c r="D124" s="188"/>
      <c r="E124" s="188"/>
      <c r="F124" s="188"/>
      <c r="G124" s="188"/>
      <c r="H124" s="188"/>
      <c r="I124" s="188"/>
      <c r="J124" s="188"/>
      <c r="K124" s="188"/>
      <c r="L124" s="188"/>
      <c r="M124" s="188"/>
      <c r="N124" s="188"/>
      <c r="O124" s="188"/>
    </row>
    <row r="125" spans="1:15" x14ac:dyDescent="0.2">
      <c r="A125" s="188"/>
      <c r="B125" s="188"/>
      <c r="C125" s="188"/>
      <c r="D125" s="188"/>
      <c r="E125" s="188"/>
      <c r="F125" s="188"/>
      <c r="G125" s="188"/>
      <c r="H125" s="188"/>
      <c r="I125" s="188"/>
      <c r="J125" s="188"/>
      <c r="K125" s="188"/>
      <c r="L125" s="188"/>
      <c r="M125" s="188"/>
      <c r="N125" s="188"/>
      <c r="O125" s="188"/>
    </row>
    <row r="126" spans="1:15" x14ac:dyDescent="0.2">
      <c r="A126" s="188"/>
      <c r="B126" s="188"/>
      <c r="C126" s="188"/>
      <c r="D126" s="188"/>
      <c r="E126" s="188"/>
      <c r="F126" s="188"/>
      <c r="G126" s="188"/>
      <c r="H126" s="188"/>
      <c r="I126" s="188"/>
      <c r="J126" s="188"/>
      <c r="K126" s="188"/>
      <c r="L126" s="188"/>
      <c r="M126" s="188"/>
      <c r="N126" s="188"/>
      <c r="O126" s="188"/>
    </row>
    <row r="127" spans="1:15" x14ac:dyDescent="0.2">
      <c r="A127" s="188"/>
      <c r="B127" s="188"/>
      <c r="C127" s="188"/>
      <c r="D127" s="188"/>
      <c r="E127" s="188"/>
      <c r="F127" s="188"/>
      <c r="G127" s="188"/>
      <c r="H127" s="188"/>
      <c r="I127" s="188"/>
      <c r="J127" s="188"/>
      <c r="K127" s="188"/>
      <c r="L127" s="188"/>
      <c r="M127" s="188"/>
      <c r="N127" s="188"/>
      <c r="O127" s="188"/>
    </row>
    <row r="128" spans="1:15" x14ac:dyDescent="0.2">
      <c r="A128" s="188"/>
      <c r="B128" s="188"/>
      <c r="C128" s="188"/>
      <c r="D128" s="188"/>
      <c r="E128" s="188"/>
      <c r="F128" s="188"/>
      <c r="G128" s="188"/>
      <c r="H128" s="188"/>
      <c r="I128" s="188"/>
      <c r="J128" s="188"/>
      <c r="K128" s="188"/>
      <c r="L128" s="188"/>
      <c r="M128" s="188"/>
      <c r="N128" s="188"/>
      <c r="O128" s="188"/>
    </row>
    <row r="129" spans="1:15" x14ac:dyDescent="0.2">
      <c r="A129" s="188"/>
      <c r="B129" s="188"/>
      <c r="C129" s="188"/>
      <c r="D129" s="188"/>
      <c r="E129" s="188"/>
      <c r="F129" s="188"/>
      <c r="G129" s="188"/>
      <c r="H129" s="188"/>
      <c r="I129" s="188"/>
      <c r="J129" s="188"/>
      <c r="K129" s="188"/>
      <c r="L129" s="188"/>
      <c r="M129" s="188"/>
      <c r="N129" s="188"/>
      <c r="O129" s="188"/>
    </row>
    <row r="130" spans="1:15" x14ac:dyDescent="0.2">
      <c r="A130" s="188"/>
      <c r="B130" s="188"/>
      <c r="C130" s="188"/>
      <c r="D130" s="188"/>
      <c r="E130" s="188"/>
      <c r="F130" s="188"/>
      <c r="G130" s="188"/>
      <c r="H130" s="188"/>
      <c r="I130" s="188"/>
      <c r="J130" s="188"/>
      <c r="K130" s="188"/>
      <c r="L130" s="188"/>
      <c r="M130" s="188"/>
      <c r="N130" s="188"/>
      <c r="O130" s="188"/>
    </row>
    <row r="131" spans="1:15" x14ac:dyDescent="0.2">
      <c r="A131" s="188"/>
      <c r="B131" s="188"/>
      <c r="C131" s="188"/>
      <c r="D131" s="188"/>
      <c r="E131" s="188"/>
      <c r="F131" s="188"/>
      <c r="G131" s="188"/>
      <c r="H131" s="188"/>
      <c r="I131" s="188"/>
      <c r="J131" s="188"/>
      <c r="K131" s="188"/>
      <c r="L131" s="188"/>
      <c r="M131" s="188"/>
      <c r="N131" s="188"/>
      <c r="O131" s="188"/>
    </row>
    <row r="132" spans="1:15" x14ac:dyDescent="0.2">
      <c r="A132" s="188"/>
      <c r="B132" s="188"/>
      <c r="C132" s="188"/>
      <c r="D132" s="188"/>
      <c r="E132" s="188"/>
      <c r="F132" s="188"/>
      <c r="G132" s="188"/>
      <c r="H132" s="188"/>
      <c r="I132" s="188"/>
      <c r="J132" s="188"/>
      <c r="K132" s="188"/>
      <c r="L132" s="188"/>
      <c r="M132" s="188"/>
      <c r="N132" s="188"/>
      <c r="O132" s="188"/>
    </row>
    <row r="133" spans="1:15" x14ac:dyDescent="0.2">
      <c r="A133" s="188"/>
      <c r="B133" s="188"/>
      <c r="C133" s="188"/>
      <c r="D133" s="188"/>
      <c r="E133" s="188"/>
      <c r="F133" s="188"/>
      <c r="G133" s="188"/>
      <c r="H133" s="188"/>
      <c r="I133" s="188"/>
      <c r="J133" s="188"/>
      <c r="K133" s="188"/>
      <c r="L133" s="188"/>
      <c r="M133" s="188"/>
      <c r="N133" s="188"/>
      <c r="O133" s="188"/>
    </row>
    <row r="134" spans="1:15" x14ac:dyDescent="0.2">
      <c r="A134" s="188"/>
      <c r="B134" s="188"/>
      <c r="C134" s="188"/>
      <c r="D134" s="188"/>
      <c r="E134" s="188"/>
      <c r="F134" s="188"/>
      <c r="G134" s="188"/>
      <c r="H134" s="188"/>
      <c r="I134" s="188"/>
      <c r="J134" s="188"/>
      <c r="K134" s="188"/>
      <c r="L134" s="188"/>
      <c r="M134" s="188"/>
      <c r="N134" s="188"/>
      <c r="O134" s="188"/>
    </row>
    <row r="135" spans="1:15" x14ac:dyDescent="0.2">
      <c r="A135" s="188"/>
      <c r="B135" s="188"/>
      <c r="C135" s="188"/>
      <c r="D135" s="188"/>
      <c r="E135" s="188"/>
      <c r="F135" s="188"/>
      <c r="G135" s="188"/>
      <c r="H135" s="188"/>
      <c r="I135" s="188"/>
      <c r="J135" s="188"/>
      <c r="K135" s="188"/>
      <c r="L135" s="188"/>
      <c r="M135" s="188"/>
      <c r="N135" s="188"/>
      <c r="O135" s="188"/>
    </row>
    <row r="136" spans="1:15" x14ac:dyDescent="0.2">
      <c r="A136" s="188"/>
      <c r="B136" s="188"/>
      <c r="C136" s="188"/>
      <c r="D136" s="188"/>
      <c r="E136" s="188"/>
      <c r="F136" s="188"/>
      <c r="G136" s="188"/>
      <c r="H136" s="188"/>
      <c r="I136" s="188"/>
      <c r="J136" s="188"/>
      <c r="K136" s="188"/>
      <c r="L136" s="188"/>
      <c r="M136" s="188"/>
      <c r="N136" s="188"/>
      <c r="O136" s="188"/>
    </row>
    <row r="137" spans="1:15" x14ac:dyDescent="0.2">
      <c r="A137" s="188"/>
      <c r="B137" s="188"/>
      <c r="C137" s="188"/>
      <c r="D137" s="188"/>
      <c r="E137" s="188"/>
      <c r="F137" s="188"/>
      <c r="G137" s="188"/>
      <c r="H137" s="188"/>
      <c r="I137" s="188"/>
      <c r="J137" s="188"/>
      <c r="K137" s="188"/>
      <c r="L137" s="188"/>
      <c r="M137" s="188"/>
      <c r="N137" s="188"/>
      <c r="O137" s="188"/>
    </row>
    <row r="138" spans="1:15" x14ac:dyDescent="0.2">
      <c r="A138" s="188"/>
      <c r="B138" s="188"/>
      <c r="C138" s="188"/>
      <c r="D138" s="188"/>
      <c r="E138" s="188"/>
      <c r="F138" s="188"/>
      <c r="G138" s="188"/>
      <c r="H138" s="188"/>
      <c r="I138" s="188"/>
      <c r="J138" s="188"/>
      <c r="K138" s="188"/>
      <c r="L138" s="188"/>
      <c r="M138" s="188"/>
      <c r="N138" s="188"/>
      <c r="O138" s="188"/>
    </row>
    <row r="139" spans="1:15" x14ac:dyDescent="0.2">
      <c r="A139" s="188"/>
      <c r="B139" s="188"/>
      <c r="C139" s="188"/>
      <c r="D139" s="188"/>
      <c r="E139" s="188"/>
      <c r="F139" s="188"/>
      <c r="G139" s="188"/>
      <c r="H139" s="188"/>
      <c r="I139" s="188"/>
      <c r="J139" s="188"/>
      <c r="K139" s="188"/>
      <c r="L139" s="188"/>
      <c r="M139" s="188"/>
      <c r="N139" s="188"/>
      <c r="O139" s="188"/>
    </row>
    <row r="140" spans="1:15" x14ac:dyDescent="0.2">
      <c r="A140" s="188"/>
      <c r="B140" s="188"/>
      <c r="C140" s="188"/>
      <c r="D140" s="188"/>
      <c r="E140" s="188"/>
      <c r="F140" s="188"/>
      <c r="G140" s="188"/>
      <c r="H140" s="188"/>
      <c r="I140" s="188"/>
      <c r="J140" s="188"/>
      <c r="K140" s="188"/>
      <c r="L140" s="188"/>
      <c r="M140" s="188"/>
      <c r="N140" s="188"/>
      <c r="O140" s="188"/>
    </row>
    <row r="141" spans="1:15" x14ac:dyDescent="0.2">
      <c r="A141" s="188"/>
      <c r="B141" s="188"/>
      <c r="C141" s="188"/>
      <c r="D141" s="188"/>
      <c r="E141" s="188"/>
      <c r="F141" s="188"/>
      <c r="G141" s="188"/>
      <c r="H141" s="188"/>
      <c r="I141" s="188"/>
      <c r="J141" s="188"/>
      <c r="K141" s="188"/>
      <c r="L141" s="188"/>
      <c r="M141" s="188"/>
      <c r="N141" s="188"/>
      <c r="O141" s="188"/>
    </row>
    <row r="142" spans="1:15" x14ac:dyDescent="0.2">
      <c r="A142" s="188"/>
      <c r="B142" s="188"/>
      <c r="C142" s="188"/>
      <c r="D142" s="188"/>
      <c r="E142" s="188"/>
      <c r="F142" s="188"/>
      <c r="G142" s="188"/>
      <c r="H142" s="188"/>
      <c r="I142" s="188"/>
      <c r="J142" s="188"/>
      <c r="K142" s="188"/>
      <c r="L142" s="188"/>
      <c r="M142" s="188"/>
      <c r="N142" s="188"/>
      <c r="O142" s="188"/>
    </row>
    <row r="143" spans="1:15" x14ac:dyDescent="0.2">
      <c r="A143" s="188"/>
      <c r="B143" s="188"/>
      <c r="C143" s="188"/>
      <c r="D143" s="188"/>
      <c r="E143" s="188"/>
      <c r="F143" s="188"/>
      <c r="G143" s="188"/>
      <c r="H143" s="188"/>
      <c r="I143" s="188"/>
      <c r="J143" s="188"/>
      <c r="K143" s="188"/>
      <c r="L143" s="188"/>
      <c r="M143" s="188"/>
      <c r="N143" s="188"/>
      <c r="O143" s="188"/>
    </row>
    <row r="144" spans="1:15" x14ac:dyDescent="0.2">
      <c r="A144" s="188"/>
      <c r="B144" s="188"/>
      <c r="C144" s="188"/>
      <c r="D144" s="188"/>
      <c r="E144" s="188"/>
      <c r="F144" s="188"/>
      <c r="G144" s="188"/>
      <c r="H144" s="188"/>
      <c r="I144" s="188"/>
      <c r="J144" s="188"/>
      <c r="K144" s="188"/>
      <c r="L144" s="188"/>
      <c r="M144" s="188"/>
      <c r="N144" s="188"/>
      <c r="O144" s="188"/>
    </row>
    <row r="145" spans="1:15" x14ac:dyDescent="0.2">
      <c r="A145" s="188"/>
      <c r="B145" s="188"/>
      <c r="C145" s="188"/>
      <c r="D145" s="188"/>
      <c r="E145" s="188"/>
      <c r="F145" s="188"/>
      <c r="G145" s="188"/>
      <c r="H145" s="188"/>
      <c r="I145" s="188"/>
      <c r="J145" s="188"/>
      <c r="K145" s="188"/>
      <c r="L145" s="188"/>
      <c r="M145" s="188"/>
      <c r="N145" s="188"/>
      <c r="O145" s="188"/>
    </row>
    <row r="146" spans="1:15" x14ac:dyDescent="0.2">
      <c r="A146" s="188"/>
      <c r="B146" s="188"/>
      <c r="C146" s="188"/>
      <c r="D146" s="188"/>
      <c r="E146" s="188"/>
      <c r="F146" s="188"/>
      <c r="G146" s="188"/>
      <c r="H146" s="188"/>
      <c r="I146" s="188"/>
      <c r="J146" s="188"/>
      <c r="K146" s="188"/>
      <c r="L146" s="188"/>
      <c r="M146" s="188"/>
      <c r="N146" s="188"/>
      <c r="O146" s="188"/>
    </row>
    <row r="147" spans="1:15" x14ac:dyDescent="0.2">
      <c r="A147" s="188"/>
      <c r="B147" s="188"/>
      <c r="C147" s="188"/>
      <c r="D147" s="188"/>
      <c r="E147" s="188"/>
      <c r="F147" s="188"/>
      <c r="G147" s="188"/>
      <c r="H147" s="188"/>
      <c r="I147" s="188"/>
      <c r="J147" s="188"/>
      <c r="K147" s="188"/>
      <c r="L147" s="188"/>
      <c r="M147" s="188"/>
      <c r="N147" s="188"/>
      <c r="O147" s="188"/>
    </row>
    <row r="148" spans="1:15" x14ac:dyDescent="0.2">
      <c r="A148" s="188"/>
      <c r="B148" s="188"/>
      <c r="C148" s="188"/>
      <c r="D148" s="188"/>
      <c r="E148" s="188"/>
      <c r="F148" s="188"/>
      <c r="G148" s="188"/>
      <c r="H148" s="188"/>
      <c r="I148" s="188"/>
      <c r="J148" s="188"/>
      <c r="K148" s="188"/>
      <c r="L148" s="188"/>
      <c r="M148" s="188"/>
      <c r="N148" s="188"/>
      <c r="O148" s="188"/>
    </row>
    <row r="149" spans="1:15" x14ac:dyDescent="0.2">
      <c r="A149" s="188"/>
      <c r="B149" s="188"/>
      <c r="C149" s="188"/>
      <c r="D149" s="188"/>
      <c r="E149" s="188"/>
      <c r="F149" s="188"/>
      <c r="G149" s="188"/>
      <c r="H149" s="188"/>
      <c r="I149" s="188"/>
      <c r="J149" s="188"/>
      <c r="K149" s="188"/>
      <c r="L149" s="188"/>
      <c r="M149" s="188"/>
      <c r="N149" s="188"/>
      <c r="O149" s="188"/>
    </row>
    <row r="150" spans="1:15" x14ac:dyDescent="0.2">
      <c r="A150" s="188"/>
      <c r="B150" s="188"/>
      <c r="C150" s="188"/>
      <c r="D150" s="188"/>
      <c r="E150" s="188"/>
      <c r="F150" s="188"/>
      <c r="G150" s="188"/>
      <c r="H150" s="188"/>
      <c r="I150" s="188"/>
      <c r="J150" s="188"/>
      <c r="K150" s="188"/>
      <c r="L150" s="188"/>
      <c r="M150" s="188"/>
      <c r="N150" s="188"/>
      <c r="O150" s="188"/>
    </row>
    <row r="151" spans="1:15" x14ac:dyDescent="0.2">
      <c r="A151" s="188"/>
      <c r="B151" s="188"/>
      <c r="C151" s="188"/>
      <c r="D151" s="188"/>
      <c r="E151" s="188"/>
      <c r="F151" s="188"/>
      <c r="G151" s="188"/>
      <c r="H151" s="188"/>
      <c r="I151" s="188"/>
      <c r="J151" s="188"/>
      <c r="K151" s="188"/>
      <c r="L151" s="188"/>
      <c r="M151" s="188"/>
      <c r="N151" s="188"/>
      <c r="O151" s="188"/>
    </row>
    <row r="152" spans="1:15" x14ac:dyDescent="0.2">
      <c r="A152" s="188"/>
      <c r="B152" s="188"/>
      <c r="C152" s="188"/>
      <c r="D152" s="188"/>
      <c r="E152" s="188"/>
      <c r="F152" s="188"/>
      <c r="G152" s="188"/>
      <c r="H152" s="188"/>
      <c r="I152" s="188"/>
      <c r="J152" s="188"/>
      <c r="K152" s="188"/>
      <c r="L152" s="188"/>
      <c r="M152" s="188"/>
      <c r="N152" s="188"/>
      <c r="O152" s="188"/>
    </row>
    <row r="153" spans="1:15" x14ac:dyDescent="0.2">
      <c r="A153" s="188"/>
      <c r="B153" s="188"/>
      <c r="C153" s="188"/>
      <c r="D153" s="188"/>
      <c r="E153" s="188"/>
      <c r="F153" s="188"/>
      <c r="G153" s="188"/>
      <c r="H153" s="188"/>
      <c r="I153" s="188"/>
      <c r="J153" s="188"/>
      <c r="K153" s="188"/>
      <c r="L153" s="188"/>
      <c r="M153" s="188"/>
      <c r="N153" s="188"/>
      <c r="O153" s="188"/>
    </row>
    <row r="154" spans="1:15" x14ac:dyDescent="0.2">
      <c r="A154" s="188"/>
      <c r="B154" s="188"/>
      <c r="C154" s="188"/>
      <c r="D154" s="188"/>
      <c r="E154" s="188"/>
      <c r="F154" s="188"/>
      <c r="G154" s="188"/>
      <c r="H154" s="188"/>
      <c r="I154" s="188"/>
      <c r="J154" s="188"/>
      <c r="K154" s="188"/>
      <c r="L154" s="188"/>
      <c r="M154" s="188"/>
      <c r="N154" s="188"/>
      <c r="O154" s="188"/>
    </row>
    <row r="155" spans="1:15" x14ac:dyDescent="0.2">
      <c r="A155" s="188"/>
      <c r="B155" s="188"/>
      <c r="C155" s="188"/>
      <c r="D155" s="188"/>
      <c r="E155" s="188"/>
      <c r="F155" s="188"/>
      <c r="G155" s="188"/>
      <c r="H155" s="188"/>
      <c r="I155" s="188"/>
      <c r="J155" s="188"/>
      <c r="K155" s="188"/>
      <c r="L155" s="188"/>
      <c r="M155" s="188"/>
      <c r="N155" s="188"/>
      <c r="O155" s="188"/>
    </row>
    <row r="156" spans="1:15" x14ac:dyDescent="0.2">
      <c r="A156" s="188"/>
      <c r="B156" s="188"/>
      <c r="C156" s="188"/>
      <c r="D156" s="188"/>
      <c r="E156" s="188"/>
      <c r="F156" s="188"/>
      <c r="G156" s="188"/>
      <c r="H156" s="188"/>
      <c r="I156" s="188"/>
      <c r="J156" s="188"/>
      <c r="K156" s="188"/>
      <c r="L156" s="188"/>
      <c r="M156" s="188"/>
      <c r="N156" s="188"/>
      <c r="O156" s="188"/>
    </row>
    <row r="157" spans="1:15" x14ac:dyDescent="0.2">
      <c r="A157" s="188"/>
      <c r="B157" s="188"/>
      <c r="C157" s="188"/>
      <c r="D157" s="188"/>
      <c r="E157" s="188"/>
      <c r="F157" s="188"/>
      <c r="G157" s="188"/>
      <c r="H157" s="188"/>
      <c r="I157" s="188"/>
      <c r="J157" s="188"/>
      <c r="K157" s="188"/>
      <c r="L157" s="188"/>
      <c r="M157" s="188"/>
      <c r="N157" s="188"/>
      <c r="O157" s="188"/>
    </row>
    <row r="158" spans="1:15" x14ac:dyDescent="0.2">
      <c r="A158" s="188"/>
      <c r="B158" s="188"/>
      <c r="C158" s="188"/>
      <c r="D158" s="188"/>
      <c r="E158" s="188"/>
      <c r="F158" s="188"/>
      <c r="G158" s="188"/>
      <c r="H158" s="188"/>
      <c r="I158" s="188"/>
      <c r="J158" s="188"/>
      <c r="K158" s="188"/>
      <c r="L158" s="188"/>
      <c r="M158" s="188"/>
      <c r="N158" s="188"/>
      <c r="O158" s="188"/>
    </row>
    <row r="159" spans="1:15" x14ac:dyDescent="0.2">
      <c r="A159" s="188"/>
      <c r="B159" s="188"/>
      <c r="C159" s="188"/>
      <c r="D159" s="188"/>
      <c r="E159" s="188"/>
      <c r="F159" s="188"/>
      <c r="G159" s="188"/>
      <c r="H159" s="188"/>
      <c r="I159" s="188"/>
      <c r="J159" s="188"/>
      <c r="K159" s="188"/>
      <c r="L159" s="188"/>
      <c r="M159" s="188"/>
      <c r="N159" s="188"/>
      <c r="O159" s="188"/>
    </row>
    <row r="160" spans="1:15" x14ac:dyDescent="0.2">
      <c r="A160" s="188"/>
      <c r="B160" s="188"/>
      <c r="C160" s="188"/>
      <c r="D160" s="188"/>
      <c r="E160" s="188"/>
      <c r="F160" s="188"/>
      <c r="G160" s="188"/>
      <c r="H160" s="188"/>
      <c r="I160" s="188"/>
      <c r="J160" s="188"/>
      <c r="K160" s="188"/>
      <c r="L160" s="188"/>
      <c r="M160" s="188"/>
      <c r="N160" s="188"/>
      <c r="O160" s="188"/>
    </row>
    <row r="161" spans="1:15" x14ac:dyDescent="0.2">
      <c r="A161" s="188"/>
      <c r="B161" s="188"/>
      <c r="C161" s="188"/>
      <c r="D161" s="188"/>
      <c r="E161" s="188"/>
      <c r="F161" s="188"/>
      <c r="G161" s="188"/>
      <c r="H161" s="188"/>
      <c r="I161" s="188"/>
      <c r="J161" s="188"/>
      <c r="K161" s="188"/>
      <c r="L161" s="188"/>
      <c r="M161" s="188"/>
      <c r="N161" s="188"/>
      <c r="O161" s="188"/>
    </row>
    <row r="162" spans="1:15" x14ac:dyDescent="0.2">
      <c r="A162" s="188"/>
      <c r="B162" s="188"/>
      <c r="C162" s="188"/>
      <c r="D162" s="188"/>
      <c r="E162" s="188"/>
      <c r="F162" s="188"/>
      <c r="G162" s="188"/>
      <c r="H162" s="188"/>
      <c r="I162" s="188"/>
      <c r="J162" s="188"/>
      <c r="K162" s="188"/>
      <c r="L162" s="188"/>
      <c r="M162" s="188"/>
      <c r="N162" s="188"/>
      <c r="O162" s="188"/>
    </row>
    <row r="163" spans="1:15" x14ac:dyDescent="0.2">
      <c r="A163" s="188"/>
      <c r="B163" s="188"/>
      <c r="C163" s="188"/>
      <c r="D163" s="188"/>
      <c r="E163" s="188"/>
      <c r="F163" s="188"/>
      <c r="G163" s="188"/>
      <c r="H163" s="188"/>
      <c r="I163" s="188"/>
      <c r="J163" s="188"/>
      <c r="K163" s="188"/>
      <c r="L163" s="188"/>
      <c r="M163" s="188"/>
      <c r="N163" s="188"/>
      <c r="O163" s="188"/>
    </row>
    <row r="164" spans="1:15" x14ac:dyDescent="0.2">
      <c r="A164" s="188"/>
      <c r="B164" s="188"/>
      <c r="C164" s="188"/>
      <c r="D164" s="188"/>
      <c r="E164" s="188"/>
      <c r="F164" s="188"/>
      <c r="G164" s="188"/>
      <c r="H164" s="188"/>
      <c r="I164" s="188"/>
      <c r="J164" s="188"/>
      <c r="K164" s="188"/>
      <c r="L164" s="188"/>
      <c r="M164" s="188"/>
      <c r="N164" s="188"/>
      <c r="O164" s="188"/>
    </row>
    <row r="165" spans="1:15" x14ac:dyDescent="0.2">
      <c r="A165" s="188"/>
      <c r="B165" s="188"/>
      <c r="C165" s="188"/>
      <c r="D165" s="188"/>
      <c r="E165" s="188"/>
      <c r="F165" s="188"/>
      <c r="G165" s="188"/>
      <c r="H165" s="188"/>
      <c r="I165" s="188"/>
      <c r="J165" s="188"/>
      <c r="K165" s="188"/>
      <c r="L165" s="188"/>
      <c r="M165" s="188"/>
      <c r="N165" s="188"/>
      <c r="O165" s="188"/>
    </row>
    <row r="166" spans="1:15" x14ac:dyDescent="0.2">
      <c r="A166" s="188"/>
      <c r="B166" s="188"/>
      <c r="C166" s="188"/>
      <c r="D166" s="188"/>
      <c r="E166" s="188"/>
      <c r="F166" s="188"/>
      <c r="G166" s="188"/>
      <c r="H166" s="188"/>
      <c r="I166" s="188"/>
      <c r="J166" s="188"/>
      <c r="K166" s="188"/>
      <c r="L166" s="188"/>
      <c r="M166" s="188"/>
      <c r="N166" s="188"/>
      <c r="O166" s="188"/>
    </row>
    <row r="167" spans="1:15" x14ac:dyDescent="0.2">
      <c r="A167" s="188"/>
      <c r="B167" s="188"/>
      <c r="C167" s="188"/>
      <c r="D167" s="188"/>
      <c r="E167" s="188"/>
      <c r="F167" s="188"/>
      <c r="G167" s="188"/>
      <c r="H167" s="188"/>
      <c r="I167" s="188"/>
      <c r="J167" s="188"/>
      <c r="K167" s="188"/>
      <c r="L167" s="188"/>
      <c r="M167" s="188"/>
      <c r="N167" s="188"/>
      <c r="O167" s="188"/>
    </row>
    <row r="168" spans="1:15" x14ac:dyDescent="0.2">
      <c r="A168" s="188"/>
      <c r="B168" s="188"/>
      <c r="C168" s="188"/>
      <c r="D168" s="188"/>
      <c r="E168" s="188"/>
      <c r="F168" s="188"/>
      <c r="G168" s="188"/>
      <c r="H168" s="188"/>
      <c r="I168" s="188"/>
      <c r="J168" s="188"/>
      <c r="K168" s="188"/>
      <c r="L168" s="188"/>
      <c r="M168" s="188"/>
      <c r="N168" s="188"/>
      <c r="O168" s="188"/>
    </row>
    <row r="169" spans="1:15" x14ac:dyDescent="0.2">
      <c r="A169" s="188"/>
      <c r="B169" s="188"/>
      <c r="C169" s="188"/>
      <c r="D169" s="188"/>
      <c r="E169" s="188"/>
      <c r="F169" s="188"/>
      <c r="G169" s="188"/>
      <c r="H169" s="188"/>
      <c r="I169" s="188"/>
      <c r="J169" s="188"/>
      <c r="K169" s="188"/>
      <c r="L169" s="188"/>
      <c r="M169" s="188"/>
      <c r="N169" s="188"/>
      <c r="O169" s="188"/>
    </row>
    <row r="170" spans="1:15" x14ac:dyDescent="0.2">
      <c r="A170" s="188"/>
      <c r="B170" s="188"/>
      <c r="C170" s="188"/>
      <c r="D170" s="188"/>
      <c r="E170" s="188"/>
      <c r="F170" s="188"/>
      <c r="G170" s="188"/>
      <c r="H170" s="188"/>
      <c r="I170" s="188"/>
      <c r="J170" s="188"/>
      <c r="K170" s="188"/>
      <c r="L170" s="188"/>
      <c r="M170" s="188"/>
      <c r="N170" s="188"/>
      <c r="O170" s="188"/>
    </row>
    <row r="171" spans="1:15" x14ac:dyDescent="0.2">
      <c r="A171" s="188"/>
      <c r="B171" s="188"/>
      <c r="C171" s="188"/>
      <c r="D171" s="188"/>
      <c r="E171" s="188"/>
      <c r="F171" s="188"/>
      <c r="G171" s="188"/>
      <c r="H171" s="188"/>
      <c r="I171" s="188"/>
      <c r="J171" s="188"/>
      <c r="K171" s="188"/>
      <c r="L171" s="188"/>
      <c r="M171" s="188"/>
      <c r="N171" s="188"/>
      <c r="O171" s="188"/>
    </row>
    <row r="172" spans="1:15" x14ac:dyDescent="0.2">
      <c r="A172" s="188"/>
      <c r="B172" s="188"/>
      <c r="C172" s="188"/>
      <c r="D172" s="188"/>
      <c r="E172" s="188"/>
      <c r="F172" s="188"/>
      <c r="G172" s="188"/>
      <c r="H172" s="188"/>
      <c r="I172" s="188"/>
      <c r="J172" s="188"/>
      <c r="K172" s="188"/>
      <c r="L172" s="188"/>
      <c r="M172" s="188"/>
      <c r="N172" s="188"/>
      <c r="O172" s="188"/>
    </row>
    <row r="173" spans="1:15" x14ac:dyDescent="0.2">
      <c r="A173" s="188"/>
      <c r="B173" s="188"/>
      <c r="C173" s="188"/>
      <c r="D173" s="188"/>
      <c r="E173" s="188"/>
      <c r="F173" s="188"/>
      <c r="G173" s="188"/>
      <c r="H173" s="188"/>
      <c r="I173" s="188"/>
      <c r="J173" s="188"/>
      <c r="K173" s="188"/>
      <c r="L173" s="188"/>
      <c r="M173" s="188"/>
      <c r="N173" s="188"/>
      <c r="O173" s="188"/>
    </row>
    <row r="174" spans="1:15" x14ac:dyDescent="0.2">
      <c r="A174" s="188"/>
      <c r="B174" s="188"/>
      <c r="C174" s="188"/>
      <c r="D174" s="188"/>
      <c r="E174" s="188"/>
      <c r="F174" s="188"/>
      <c r="G174" s="188"/>
      <c r="H174" s="188"/>
      <c r="I174" s="188"/>
      <c r="J174" s="188"/>
      <c r="K174" s="188"/>
      <c r="L174" s="188"/>
      <c r="M174" s="188"/>
      <c r="N174" s="188"/>
      <c r="O174" s="188"/>
    </row>
    <row r="175" spans="1:15" x14ac:dyDescent="0.2">
      <c r="A175" s="188"/>
      <c r="B175" s="188"/>
      <c r="C175" s="188"/>
      <c r="D175" s="188"/>
      <c r="E175" s="188"/>
      <c r="F175" s="188"/>
      <c r="G175" s="188"/>
      <c r="H175" s="188"/>
      <c r="I175" s="188"/>
      <c r="J175" s="188"/>
      <c r="K175" s="188"/>
      <c r="L175" s="188"/>
      <c r="M175" s="188"/>
      <c r="N175" s="188"/>
      <c r="O175" s="188"/>
    </row>
    <row r="176" spans="1:15" x14ac:dyDescent="0.2">
      <c r="A176" s="188"/>
      <c r="B176" s="188"/>
      <c r="C176" s="188"/>
      <c r="D176" s="188"/>
      <c r="E176" s="188"/>
      <c r="F176" s="188"/>
      <c r="G176" s="188"/>
      <c r="H176" s="188"/>
      <c r="I176" s="188"/>
      <c r="J176" s="188"/>
      <c r="K176" s="188"/>
      <c r="L176" s="188"/>
      <c r="M176" s="188"/>
      <c r="N176" s="188"/>
      <c r="O176" s="188"/>
    </row>
    <row r="177" spans="1:15" x14ac:dyDescent="0.2">
      <c r="A177" s="188"/>
      <c r="B177" s="188"/>
      <c r="C177" s="188"/>
      <c r="D177" s="188"/>
      <c r="E177" s="188"/>
      <c r="F177" s="188"/>
      <c r="G177" s="188"/>
      <c r="H177" s="188"/>
      <c r="I177" s="188"/>
      <c r="J177" s="188"/>
      <c r="K177" s="188"/>
      <c r="L177" s="188"/>
      <c r="M177" s="188"/>
      <c r="N177" s="188"/>
      <c r="O177" s="188"/>
    </row>
    <row r="178" spans="1:15" x14ac:dyDescent="0.2">
      <c r="A178" s="188"/>
      <c r="B178" s="188"/>
      <c r="C178" s="188"/>
      <c r="D178" s="188"/>
      <c r="E178" s="188"/>
      <c r="F178" s="188"/>
      <c r="G178" s="188"/>
      <c r="H178" s="188"/>
      <c r="I178" s="188"/>
      <c r="J178" s="188"/>
      <c r="K178" s="188"/>
      <c r="L178" s="188"/>
      <c r="M178" s="188"/>
      <c r="N178" s="188"/>
      <c r="O178" s="188"/>
    </row>
    <row r="179" spans="1:15" x14ac:dyDescent="0.2">
      <c r="A179" s="188"/>
      <c r="B179" s="188"/>
      <c r="C179" s="188"/>
      <c r="D179" s="188"/>
      <c r="E179" s="188"/>
      <c r="F179" s="188"/>
      <c r="G179" s="188"/>
      <c r="H179" s="188"/>
      <c r="I179" s="188"/>
      <c r="J179" s="188"/>
      <c r="K179" s="188"/>
      <c r="L179" s="188"/>
      <c r="M179" s="188"/>
      <c r="N179" s="188"/>
      <c r="O179" s="188"/>
    </row>
    <row r="180" spans="1:15" x14ac:dyDescent="0.2">
      <c r="A180" s="188"/>
      <c r="B180" s="188"/>
      <c r="C180" s="188"/>
      <c r="D180" s="188"/>
      <c r="E180" s="188"/>
      <c r="F180" s="188"/>
      <c r="G180" s="188"/>
      <c r="H180" s="188"/>
      <c r="I180" s="188"/>
      <c r="J180" s="188"/>
      <c r="K180" s="188"/>
      <c r="L180" s="188"/>
      <c r="M180" s="188"/>
      <c r="N180" s="188"/>
      <c r="O180" s="188"/>
    </row>
    <row r="181" spans="1:15" x14ac:dyDescent="0.2">
      <c r="A181" s="188"/>
      <c r="B181" s="188"/>
      <c r="C181" s="188"/>
      <c r="D181" s="188"/>
      <c r="E181" s="188"/>
      <c r="F181" s="188"/>
      <c r="G181" s="188"/>
      <c r="H181" s="188"/>
      <c r="I181" s="188"/>
      <c r="J181" s="188"/>
      <c r="K181" s="188"/>
      <c r="L181" s="188"/>
      <c r="M181" s="188"/>
      <c r="N181" s="188"/>
      <c r="O181" s="188"/>
    </row>
    <row r="182" spans="1:15" x14ac:dyDescent="0.2">
      <c r="A182" s="188"/>
      <c r="B182" s="188"/>
      <c r="C182" s="188"/>
      <c r="D182" s="188"/>
      <c r="E182" s="188"/>
      <c r="F182" s="188"/>
      <c r="G182" s="188"/>
      <c r="H182" s="188"/>
      <c r="I182" s="188"/>
      <c r="J182" s="188"/>
      <c r="K182" s="188"/>
      <c r="L182" s="188"/>
      <c r="M182" s="188"/>
      <c r="N182" s="188"/>
      <c r="O182" s="188"/>
    </row>
    <row r="183" spans="1:15" x14ac:dyDescent="0.2">
      <c r="A183" s="188"/>
      <c r="B183" s="188"/>
      <c r="C183" s="188"/>
      <c r="D183" s="188"/>
      <c r="E183" s="188"/>
      <c r="F183" s="188"/>
      <c r="G183" s="188"/>
      <c r="H183" s="188"/>
      <c r="I183" s="188"/>
      <c r="J183" s="188"/>
      <c r="K183" s="188"/>
      <c r="L183" s="188"/>
      <c r="M183" s="188"/>
      <c r="N183" s="188"/>
      <c r="O183" s="188"/>
    </row>
    <row r="184" spans="1:15" x14ac:dyDescent="0.2">
      <c r="A184" s="188"/>
      <c r="B184" s="188"/>
      <c r="C184" s="188"/>
      <c r="D184" s="188"/>
      <c r="E184" s="188"/>
      <c r="F184" s="188"/>
      <c r="G184" s="188"/>
      <c r="H184" s="188"/>
      <c r="I184" s="188"/>
      <c r="J184" s="188"/>
      <c r="K184" s="188"/>
      <c r="L184" s="188"/>
      <c r="M184" s="188"/>
      <c r="N184" s="188"/>
      <c r="O184" s="188"/>
    </row>
    <row r="185" spans="1:15" x14ac:dyDescent="0.2">
      <c r="A185" s="188"/>
      <c r="B185" s="188"/>
      <c r="C185" s="188"/>
      <c r="D185" s="188"/>
      <c r="E185" s="188"/>
      <c r="F185" s="188"/>
      <c r="G185" s="188"/>
      <c r="H185" s="188"/>
      <c r="I185" s="188"/>
      <c r="J185" s="188"/>
      <c r="K185" s="188"/>
      <c r="L185" s="188"/>
      <c r="M185" s="188"/>
      <c r="N185" s="188"/>
      <c r="O185" s="188"/>
    </row>
    <row r="186" spans="1:15" x14ac:dyDescent="0.2">
      <c r="A186" s="188"/>
      <c r="B186" s="188"/>
      <c r="C186" s="188"/>
      <c r="D186" s="188"/>
      <c r="E186" s="188"/>
      <c r="F186" s="188"/>
      <c r="G186" s="188"/>
      <c r="H186" s="188"/>
      <c r="I186" s="188"/>
      <c r="J186" s="188"/>
      <c r="K186" s="188"/>
      <c r="L186" s="188"/>
      <c r="M186" s="188"/>
      <c r="N186" s="188"/>
      <c r="O186" s="188"/>
    </row>
    <row r="187" spans="1:15" x14ac:dyDescent="0.2">
      <c r="A187" s="188"/>
      <c r="B187" s="188"/>
      <c r="C187" s="188"/>
      <c r="D187" s="188"/>
      <c r="E187" s="188"/>
      <c r="F187" s="188"/>
      <c r="G187" s="188"/>
      <c r="H187" s="188"/>
      <c r="I187" s="188"/>
      <c r="J187" s="188"/>
      <c r="K187" s="188"/>
      <c r="L187" s="188"/>
      <c r="M187" s="188"/>
      <c r="N187" s="188"/>
      <c r="O187" s="188"/>
    </row>
    <row r="188" spans="1:15" x14ac:dyDescent="0.2">
      <c r="A188" s="188"/>
      <c r="B188" s="188"/>
      <c r="C188" s="188"/>
      <c r="D188" s="188"/>
      <c r="E188" s="188"/>
      <c r="F188" s="188"/>
      <c r="G188" s="188"/>
      <c r="H188" s="188"/>
      <c r="I188" s="188"/>
      <c r="J188" s="188"/>
      <c r="K188" s="188"/>
      <c r="L188" s="188"/>
      <c r="M188" s="188"/>
      <c r="N188" s="188"/>
      <c r="O188" s="188"/>
    </row>
    <row r="189" spans="1:15" x14ac:dyDescent="0.2">
      <c r="A189" s="188"/>
      <c r="B189" s="188"/>
      <c r="C189" s="188"/>
      <c r="D189" s="188"/>
      <c r="E189" s="188"/>
      <c r="F189" s="188"/>
      <c r="G189" s="188"/>
      <c r="H189" s="188"/>
      <c r="I189" s="188"/>
      <c r="J189" s="188"/>
      <c r="K189" s="188"/>
      <c r="L189" s="188"/>
      <c r="M189" s="188"/>
      <c r="N189" s="188"/>
      <c r="O189" s="188"/>
    </row>
    <row r="190" spans="1:15" x14ac:dyDescent="0.2">
      <c r="A190" s="188"/>
      <c r="B190" s="188"/>
      <c r="C190" s="188"/>
      <c r="D190" s="188"/>
      <c r="E190" s="188"/>
      <c r="F190" s="188"/>
      <c r="G190" s="188"/>
      <c r="H190" s="188"/>
      <c r="I190" s="188"/>
      <c r="J190" s="188"/>
      <c r="K190" s="188"/>
      <c r="L190" s="188"/>
      <c r="M190" s="188"/>
      <c r="N190" s="188"/>
      <c r="O190" s="188"/>
    </row>
    <row r="191" spans="1:15" x14ac:dyDescent="0.2">
      <c r="A191" s="188"/>
      <c r="B191" s="188"/>
      <c r="C191" s="188"/>
      <c r="D191" s="188"/>
      <c r="E191" s="188"/>
      <c r="F191" s="188"/>
      <c r="G191" s="188"/>
      <c r="H191" s="188"/>
      <c r="I191" s="188"/>
      <c r="J191" s="188"/>
      <c r="K191" s="188"/>
      <c r="L191" s="188"/>
      <c r="M191" s="188"/>
      <c r="N191" s="188"/>
      <c r="O191" s="188"/>
    </row>
    <row r="192" spans="1:15" x14ac:dyDescent="0.2">
      <c r="A192" s="188"/>
      <c r="B192" s="188"/>
      <c r="C192" s="188"/>
      <c r="D192" s="188"/>
      <c r="E192" s="188"/>
      <c r="F192" s="188"/>
      <c r="G192" s="188"/>
      <c r="H192" s="188"/>
      <c r="I192" s="188"/>
      <c r="J192" s="188"/>
      <c r="K192" s="188"/>
      <c r="L192" s="188"/>
      <c r="M192" s="188"/>
      <c r="N192" s="188"/>
      <c r="O192" s="188"/>
    </row>
    <row r="193" spans="1:15" x14ac:dyDescent="0.2">
      <c r="A193" s="188"/>
      <c r="B193" s="188"/>
      <c r="C193" s="188"/>
      <c r="D193" s="188"/>
      <c r="E193" s="188"/>
      <c r="F193" s="188"/>
      <c r="G193" s="188"/>
      <c r="H193" s="188"/>
      <c r="I193" s="188"/>
      <c r="J193" s="188"/>
      <c r="K193" s="188"/>
      <c r="L193" s="188"/>
      <c r="M193" s="188"/>
      <c r="N193" s="188"/>
      <c r="O193" s="188"/>
    </row>
    <row r="194" spans="1:15" x14ac:dyDescent="0.2">
      <c r="A194" s="188"/>
      <c r="B194" s="188"/>
      <c r="C194" s="188"/>
      <c r="D194" s="188"/>
      <c r="E194" s="188"/>
      <c r="F194" s="188"/>
      <c r="G194" s="188"/>
      <c r="H194" s="188"/>
      <c r="I194" s="188"/>
      <c r="J194" s="188"/>
      <c r="K194" s="188"/>
      <c r="L194" s="188"/>
      <c r="M194" s="188"/>
      <c r="N194" s="188"/>
      <c r="O194" s="188"/>
    </row>
    <row r="195" spans="1:15" x14ac:dyDescent="0.2">
      <c r="A195" s="188"/>
      <c r="B195" s="188"/>
      <c r="C195" s="188"/>
      <c r="D195" s="188"/>
      <c r="E195" s="188"/>
      <c r="F195" s="188"/>
      <c r="G195" s="188"/>
      <c r="H195" s="188"/>
      <c r="I195" s="188"/>
      <c r="J195" s="188"/>
      <c r="K195" s="188"/>
      <c r="L195" s="188"/>
      <c r="M195" s="188"/>
      <c r="N195" s="188"/>
      <c r="O195" s="188"/>
    </row>
    <row r="196" spans="1:15" x14ac:dyDescent="0.2">
      <c r="A196" s="188"/>
      <c r="B196" s="188"/>
      <c r="C196" s="188"/>
      <c r="D196" s="188"/>
      <c r="E196" s="188"/>
      <c r="F196" s="188"/>
      <c r="G196" s="188"/>
      <c r="H196" s="188"/>
      <c r="I196" s="188"/>
      <c r="J196" s="188"/>
      <c r="K196" s="188"/>
      <c r="L196" s="188"/>
      <c r="M196" s="188"/>
      <c r="N196" s="188"/>
      <c r="O196" s="188"/>
    </row>
    <row r="197" spans="1:15" x14ac:dyDescent="0.2">
      <c r="A197" s="188"/>
      <c r="B197" s="188"/>
      <c r="C197" s="188"/>
      <c r="D197" s="188"/>
      <c r="E197" s="188"/>
      <c r="F197" s="188"/>
      <c r="G197" s="188"/>
      <c r="H197" s="188"/>
      <c r="I197" s="188"/>
      <c r="J197" s="188"/>
      <c r="K197" s="188"/>
      <c r="L197" s="188"/>
      <c r="M197" s="188"/>
      <c r="N197" s="188"/>
      <c r="O197" s="188"/>
    </row>
    <row r="198" spans="1:15" x14ac:dyDescent="0.2">
      <c r="A198" s="188"/>
      <c r="B198" s="188"/>
      <c r="C198" s="188"/>
      <c r="D198" s="188"/>
      <c r="E198" s="188"/>
      <c r="F198" s="188"/>
      <c r="G198" s="188"/>
      <c r="H198" s="188"/>
      <c r="I198" s="188"/>
      <c r="J198" s="188"/>
      <c r="K198" s="188"/>
      <c r="L198" s="188"/>
      <c r="M198" s="188"/>
      <c r="N198" s="188"/>
      <c r="O198" s="188"/>
    </row>
    <row r="199" spans="1:15" x14ac:dyDescent="0.2">
      <c r="A199" s="188"/>
      <c r="B199" s="188"/>
      <c r="C199" s="188"/>
      <c r="D199" s="188"/>
      <c r="E199" s="188"/>
      <c r="F199" s="188"/>
      <c r="G199" s="188"/>
      <c r="H199" s="188"/>
      <c r="I199" s="188"/>
      <c r="J199" s="188"/>
      <c r="K199" s="188"/>
      <c r="L199" s="188"/>
      <c r="M199" s="188"/>
      <c r="N199" s="188"/>
      <c r="O199" s="188"/>
    </row>
    <row r="200" spans="1:15" x14ac:dyDescent="0.2">
      <c r="A200" s="188"/>
      <c r="B200" s="188"/>
      <c r="C200" s="188"/>
      <c r="D200" s="188"/>
      <c r="E200" s="188"/>
      <c r="F200" s="188"/>
      <c r="G200" s="188"/>
      <c r="H200" s="188"/>
      <c r="I200" s="188"/>
      <c r="J200" s="188"/>
      <c r="K200" s="188"/>
      <c r="L200" s="188"/>
      <c r="M200" s="188"/>
      <c r="N200" s="188"/>
      <c r="O200" s="188"/>
    </row>
    <row r="201" spans="1:15" x14ac:dyDescent="0.2">
      <c r="A201" s="188"/>
      <c r="B201" s="188"/>
      <c r="C201" s="188"/>
      <c r="D201" s="188"/>
      <c r="E201" s="188"/>
      <c r="F201" s="188"/>
      <c r="G201" s="188"/>
      <c r="H201" s="188"/>
      <c r="I201" s="188"/>
      <c r="J201" s="188"/>
      <c r="K201" s="188"/>
      <c r="L201" s="188"/>
      <c r="M201" s="188"/>
      <c r="N201" s="188"/>
      <c r="O201" s="188"/>
    </row>
    <row r="202" spans="1:15" x14ac:dyDescent="0.2">
      <c r="A202" s="188"/>
      <c r="B202" s="188"/>
      <c r="C202" s="188"/>
      <c r="D202" s="188"/>
      <c r="E202" s="188"/>
      <c r="F202" s="188"/>
      <c r="G202" s="188"/>
      <c r="H202" s="188"/>
      <c r="I202" s="188"/>
      <c r="J202" s="188"/>
      <c r="K202" s="188"/>
      <c r="L202" s="188"/>
      <c r="M202" s="188"/>
      <c r="N202" s="188"/>
      <c r="O202" s="188"/>
    </row>
    <row r="203" spans="1:15" x14ac:dyDescent="0.2">
      <c r="A203" s="188"/>
      <c r="B203" s="188"/>
      <c r="C203" s="188"/>
      <c r="D203" s="188"/>
      <c r="E203" s="188"/>
      <c r="F203" s="188"/>
      <c r="G203" s="188"/>
      <c r="H203" s="188"/>
      <c r="I203" s="188"/>
      <c r="J203" s="188"/>
      <c r="K203" s="188"/>
      <c r="L203" s="188"/>
      <c r="M203" s="188"/>
      <c r="N203" s="188"/>
      <c r="O203" s="188"/>
    </row>
    <row r="204" spans="1:15" x14ac:dyDescent="0.2">
      <c r="A204" s="188"/>
      <c r="B204" s="188"/>
      <c r="C204" s="188"/>
      <c r="D204" s="188"/>
      <c r="E204" s="188"/>
      <c r="F204" s="188"/>
      <c r="G204" s="188"/>
      <c r="H204" s="188"/>
      <c r="I204" s="188"/>
      <c r="J204" s="188"/>
      <c r="K204" s="188"/>
      <c r="L204" s="188"/>
      <c r="M204" s="188"/>
      <c r="N204" s="188"/>
      <c r="O204" s="188"/>
    </row>
    <row r="205" spans="1:15" x14ac:dyDescent="0.2">
      <c r="A205" s="188"/>
      <c r="B205" s="188"/>
      <c r="C205" s="188"/>
      <c r="D205" s="188"/>
      <c r="E205" s="188"/>
      <c r="F205" s="188"/>
      <c r="G205" s="188"/>
      <c r="H205" s="188"/>
      <c r="I205" s="188"/>
      <c r="J205" s="188"/>
      <c r="K205" s="188"/>
      <c r="L205" s="188"/>
      <c r="M205" s="188"/>
      <c r="N205" s="188"/>
      <c r="O205" s="188"/>
    </row>
    <row r="206" spans="1:15" x14ac:dyDescent="0.2">
      <c r="A206" s="188"/>
      <c r="B206" s="188"/>
      <c r="C206" s="188"/>
      <c r="D206" s="188"/>
      <c r="E206" s="188"/>
      <c r="F206" s="188"/>
      <c r="G206" s="188"/>
      <c r="H206" s="188"/>
      <c r="I206" s="188"/>
      <c r="J206" s="188"/>
      <c r="K206" s="188"/>
      <c r="L206" s="188"/>
      <c r="M206" s="188"/>
      <c r="N206" s="188"/>
      <c r="O206" s="188"/>
    </row>
    <row r="207" spans="1:15" x14ac:dyDescent="0.2">
      <c r="A207" s="188"/>
      <c r="B207" s="188"/>
      <c r="C207" s="188"/>
      <c r="D207" s="188"/>
      <c r="E207" s="188"/>
      <c r="F207" s="188"/>
      <c r="G207" s="188"/>
      <c r="H207" s="188"/>
      <c r="I207" s="188"/>
      <c r="J207" s="188"/>
      <c r="K207" s="188"/>
      <c r="L207" s="188"/>
      <c r="M207" s="188"/>
      <c r="N207" s="188"/>
      <c r="O207" s="188"/>
    </row>
    <row r="208" spans="1:15" x14ac:dyDescent="0.2">
      <c r="A208" s="188"/>
      <c r="B208" s="188"/>
      <c r="C208" s="188"/>
      <c r="D208" s="188"/>
      <c r="E208" s="188"/>
      <c r="F208" s="188"/>
      <c r="G208" s="188"/>
      <c r="H208" s="188"/>
      <c r="I208" s="188"/>
      <c r="J208" s="188"/>
      <c r="K208" s="188"/>
      <c r="L208" s="188"/>
      <c r="M208" s="188"/>
      <c r="N208" s="188"/>
      <c r="O208" s="188"/>
    </row>
    <row r="209" spans="1:15" x14ac:dyDescent="0.2">
      <c r="A209" s="188"/>
      <c r="B209" s="188"/>
      <c r="C209" s="188"/>
      <c r="D209" s="188"/>
      <c r="E209" s="188"/>
      <c r="F209" s="188"/>
      <c r="G209" s="188"/>
      <c r="H209" s="188"/>
      <c r="I209" s="188"/>
      <c r="J209" s="188"/>
      <c r="K209" s="188"/>
      <c r="L209" s="188"/>
      <c r="M209" s="188"/>
      <c r="N209" s="188"/>
      <c r="O209" s="188"/>
    </row>
    <row r="210" spans="1:15" x14ac:dyDescent="0.2">
      <c r="A210" s="188"/>
      <c r="B210" s="188"/>
      <c r="C210" s="188"/>
      <c r="D210" s="188"/>
      <c r="E210" s="188"/>
      <c r="F210" s="188"/>
      <c r="G210" s="188"/>
      <c r="H210" s="188"/>
      <c r="I210" s="188"/>
      <c r="J210" s="188"/>
      <c r="K210" s="188"/>
      <c r="L210" s="188"/>
      <c r="M210" s="188"/>
      <c r="N210" s="188"/>
      <c r="O210" s="188"/>
    </row>
    <row r="211" spans="1:15" x14ac:dyDescent="0.2">
      <c r="A211" s="188"/>
      <c r="B211" s="188"/>
      <c r="C211" s="188"/>
      <c r="D211" s="188"/>
      <c r="E211" s="188"/>
      <c r="F211" s="188"/>
      <c r="G211" s="188"/>
      <c r="H211" s="188"/>
      <c r="I211" s="188"/>
      <c r="J211" s="188"/>
      <c r="K211" s="188"/>
      <c r="L211" s="188"/>
      <c r="M211" s="188"/>
      <c r="N211" s="188"/>
      <c r="O211" s="188"/>
    </row>
    <row r="212" spans="1:15" x14ac:dyDescent="0.2">
      <c r="A212" s="188"/>
      <c r="B212" s="188"/>
      <c r="C212" s="188"/>
      <c r="D212" s="188"/>
      <c r="E212" s="188"/>
      <c r="F212" s="188"/>
      <c r="G212" s="188"/>
      <c r="H212" s="188"/>
      <c r="I212" s="188"/>
      <c r="J212" s="188"/>
      <c r="K212" s="188"/>
      <c r="L212" s="188"/>
      <c r="M212" s="188"/>
      <c r="N212" s="188"/>
      <c r="O212" s="188"/>
    </row>
    <row r="213" spans="1:15" x14ac:dyDescent="0.2">
      <c r="A213" s="188"/>
      <c r="B213" s="188"/>
      <c r="C213" s="188"/>
      <c r="D213" s="188"/>
      <c r="E213" s="188"/>
      <c r="F213" s="188"/>
      <c r="G213" s="188"/>
      <c r="H213" s="188"/>
      <c r="I213" s="188"/>
      <c r="J213" s="188"/>
      <c r="K213" s="188"/>
      <c r="L213" s="188"/>
      <c r="M213" s="188"/>
      <c r="N213" s="188"/>
      <c r="O213" s="188"/>
    </row>
    <row r="214" spans="1:15" x14ac:dyDescent="0.2">
      <c r="A214" s="188"/>
      <c r="B214" s="188"/>
      <c r="C214" s="188"/>
      <c r="D214" s="188"/>
      <c r="E214" s="188"/>
      <c r="F214" s="188"/>
      <c r="G214" s="188"/>
      <c r="H214" s="188"/>
      <c r="I214" s="188"/>
      <c r="J214" s="188"/>
      <c r="K214" s="188"/>
      <c r="L214" s="188"/>
      <c r="M214" s="188"/>
      <c r="N214" s="188"/>
      <c r="O214" s="188"/>
    </row>
    <row r="215" spans="1:15" x14ac:dyDescent="0.2">
      <c r="A215" s="188"/>
      <c r="B215" s="188"/>
      <c r="C215" s="188"/>
      <c r="D215" s="188"/>
      <c r="E215" s="188"/>
      <c r="F215" s="188"/>
      <c r="G215" s="188"/>
      <c r="H215" s="188"/>
      <c r="I215" s="188"/>
      <c r="J215" s="188"/>
      <c r="K215" s="188"/>
      <c r="L215" s="188"/>
      <c r="M215" s="188"/>
      <c r="N215" s="188"/>
      <c r="O215" s="188"/>
    </row>
    <row r="216" spans="1:15" x14ac:dyDescent="0.2">
      <c r="A216" s="188"/>
      <c r="B216" s="188"/>
      <c r="C216" s="188"/>
      <c r="D216" s="188"/>
      <c r="E216" s="188"/>
      <c r="F216" s="188"/>
      <c r="G216" s="188"/>
      <c r="H216" s="188"/>
      <c r="I216" s="188"/>
      <c r="J216" s="188"/>
      <c r="K216" s="188"/>
      <c r="L216" s="188"/>
      <c r="M216" s="188"/>
      <c r="N216" s="188"/>
      <c r="O216" s="188"/>
    </row>
    <row r="217" spans="1:15" x14ac:dyDescent="0.2">
      <c r="A217" s="188"/>
      <c r="B217" s="188"/>
      <c r="C217" s="188"/>
      <c r="D217" s="188"/>
      <c r="E217" s="188"/>
      <c r="F217" s="188"/>
      <c r="G217" s="188"/>
      <c r="H217" s="188"/>
      <c r="I217" s="188"/>
      <c r="J217" s="188"/>
      <c r="K217" s="188"/>
      <c r="L217" s="188"/>
      <c r="M217" s="188"/>
      <c r="N217" s="188"/>
      <c r="O217" s="188"/>
    </row>
    <row r="218" spans="1:15" x14ac:dyDescent="0.2">
      <c r="A218" s="188"/>
      <c r="B218" s="188"/>
      <c r="C218" s="188"/>
      <c r="D218" s="188"/>
      <c r="E218" s="188"/>
      <c r="F218" s="188"/>
      <c r="G218" s="188"/>
      <c r="H218" s="188"/>
      <c r="I218" s="188"/>
      <c r="J218" s="188"/>
      <c r="K218" s="188"/>
      <c r="L218" s="188"/>
      <c r="M218" s="188"/>
      <c r="N218" s="188"/>
      <c r="O218" s="188"/>
    </row>
    <row r="219" spans="1:15" x14ac:dyDescent="0.2">
      <c r="A219" s="188"/>
      <c r="B219" s="188"/>
      <c r="C219" s="188"/>
      <c r="D219" s="188"/>
      <c r="E219" s="188"/>
      <c r="F219" s="188"/>
      <c r="G219" s="188"/>
      <c r="H219" s="188"/>
      <c r="I219" s="188"/>
      <c r="J219" s="188"/>
      <c r="K219" s="188"/>
      <c r="L219" s="188"/>
      <c r="M219" s="188"/>
      <c r="N219" s="188"/>
      <c r="O219" s="188"/>
    </row>
    <row r="220" spans="1:15" x14ac:dyDescent="0.2">
      <c r="A220" s="188"/>
      <c r="B220" s="188"/>
      <c r="C220" s="188"/>
      <c r="D220" s="188"/>
      <c r="E220" s="188"/>
      <c r="F220" s="188"/>
      <c r="G220" s="188"/>
      <c r="H220" s="188"/>
      <c r="I220" s="188"/>
      <c r="J220" s="188"/>
      <c r="K220" s="188"/>
      <c r="L220" s="188"/>
      <c r="M220" s="188"/>
      <c r="N220" s="188"/>
      <c r="O220" s="188"/>
    </row>
    <row r="221" spans="1:15" x14ac:dyDescent="0.2">
      <c r="A221" s="188"/>
      <c r="B221" s="188"/>
      <c r="C221" s="188"/>
      <c r="D221" s="188"/>
      <c r="E221" s="188"/>
      <c r="F221" s="188"/>
      <c r="G221" s="188"/>
      <c r="H221" s="188"/>
      <c r="I221" s="188"/>
      <c r="J221" s="188"/>
      <c r="K221" s="188"/>
      <c r="L221" s="188"/>
      <c r="M221" s="188"/>
      <c r="N221" s="188"/>
      <c r="O221" s="188"/>
    </row>
    <row r="222" spans="1:15" x14ac:dyDescent="0.2">
      <c r="A222" s="188"/>
      <c r="B222" s="188"/>
      <c r="C222" s="188"/>
      <c r="D222" s="188"/>
      <c r="E222" s="188"/>
      <c r="F222" s="188"/>
      <c r="G222" s="188"/>
      <c r="H222" s="188"/>
      <c r="I222" s="188"/>
      <c r="J222" s="188"/>
      <c r="K222" s="188"/>
      <c r="L222" s="188"/>
      <c r="M222" s="188"/>
      <c r="N222" s="188"/>
      <c r="O222" s="188"/>
    </row>
    <row r="223" spans="1:15" x14ac:dyDescent="0.2">
      <c r="A223" s="188"/>
      <c r="B223" s="188"/>
      <c r="C223" s="188"/>
      <c r="D223" s="188"/>
      <c r="E223" s="188"/>
      <c r="F223" s="188"/>
      <c r="G223" s="188"/>
      <c r="H223" s="188"/>
      <c r="I223" s="188"/>
      <c r="J223" s="188"/>
      <c r="K223" s="188"/>
      <c r="L223" s="188"/>
      <c r="M223" s="188"/>
      <c r="N223" s="188"/>
      <c r="O223" s="188"/>
    </row>
    <row r="224" spans="1:15" x14ac:dyDescent="0.2">
      <c r="A224" s="188"/>
      <c r="B224" s="188"/>
      <c r="C224" s="188"/>
      <c r="D224" s="188"/>
      <c r="E224" s="188"/>
      <c r="F224" s="188"/>
      <c r="G224" s="188"/>
      <c r="H224" s="188"/>
      <c r="I224" s="188"/>
      <c r="J224" s="188"/>
      <c r="K224" s="188"/>
      <c r="L224" s="188"/>
      <c r="M224" s="188"/>
      <c r="N224" s="188"/>
      <c r="O224" s="188"/>
    </row>
    <row r="225" spans="1:15" x14ac:dyDescent="0.2">
      <c r="A225" s="188"/>
      <c r="B225" s="188"/>
      <c r="C225" s="188"/>
      <c r="D225" s="188"/>
      <c r="E225" s="188"/>
      <c r="F225" s="188"/>
      <c r="G225" s="188"/>
      <c r="H225" s="188"/>
      <c r="I225" s="188"/>
      <c r="J225" s="188"/>
      <c r="K225" s="188"/>
      <c r="L225" s="188"/>
      <c r="M225" s="188"/>
      <c r="N225" s="188"/>
      <c r="O225" s="188"/>
    </row>
    <row r="226" spans="1:15" x14ac:dyDescent="0.2">
      <c r="A226" s="188"/>
      <c r="B226" s="188"/>
      <c r="C226" s="188"/>
      <c r="D226" s="188"/>
      <c r="E226" s="188"/>
      <c r="F226" s="188"/>
      <c r="G226" s="188"/>
      <c r="H226" s="188"/>
      <c r="I226" s="188"/>
      <c r="J226" s="188"/>
      <c r="K226" s="188"/>
      <c r="L226" s="188"/>
      <c r="M226" s="188"/>
      <c r="N226" s="188"/>
      <c r="O226" s="188"/>
    </row>
    <row r="227" spans="1:15" x14ac:dyDescent="0.2">
      <c r="A227" s="188"/>
      <c r="B227" s="188"/>
      <c r="C227" s="188"/>
      <c r="D227" s="188"/>
      <c r="E227" s="188"/>
      <c r="F227" s="188"/>
      <c r="G227" s="188"/>
      <c r="H227" s="188"/>
      <c r="I227" s="188"/>
      <c r="J227" s="188"/>
      <c r="K227" s="188"/>
      <c r="L227" s="188"/>
      <c r="M227" s="188"/>
      <c r="N227" s="188"/>
      <c r="O227" s="188"/>
    </row>
    <row r="228" spans="1:15" x14ac:dyDescent="0.2">
      <c r="A228" s="188"/>
      <c r="B228" s="188"/>
      <c r="C228" s="188"/>
      <c r="D228" s="188"/>
      <c r="E228" s="188"/>
      <c r="F228" s="188"/>
      <c r="G228" s="188"/>
      <c r="H228" s="188"/>
      <c r="I228" s="188"/>
      <c r="J228" s="188"/>
      <c r="K228" s="188"/>
      <c r="L228" s="188"/>
      <c r="M228" s="188"/>
      <c r="N228" s="188"/>
      <c r="O228" s="188"/>
    </row>
    <row r="229" spans="1:15" x14ac:dyDescent="0.2">
      <c r="A229" s="188"/>
      <c r="B229" s="188"/>
      <c r="C229" s="188"/>
      <c r="D229" s="188"/>
      <c r="E229" s="188"/>
      <c r="F229" s="188"/>
      <c r="G229" s="188"/>
      <c r="H229" s="188"/>
      <c r="I229" s="188"/>
      <c r="J229" s="188"/>
      <c r="K229" s="188"/>
      <c r="L229" s="188"/>
      <c r="M229" s="188"/>
      <c r="N229" s="188"/>
      <c r="O229" s="188"/>
    </row>
    <row r="230" spans="1:15" x14ac:dyDescent="0.2">
      <c r="A230" s="188"/>
      <c r="B230" s="188"/>
      <c r="C230" s="188"/>
      <c r="D230" s="188"/>
      <c r="E230" s="188"/>
      <c r="F230" s="188"/>
      <c r="G230" s="188"/>
      <c r="H230" s="188"/>
      <c r="I230" s="188"/>
      <c r="J230" s="188"/>
      <c r="K230" s="188"/>
      <c r="L230" s="188"/>
      <c r="M230" s="188"/>
      <c r="N230" s="188"/>
      <c r="O230" s="188"/>
    </row>
    <row r="231" spans="1:15" x14ac:dyDescent="0.2">
      <c r="A231" s="188"/>
      <c r="B231" s="188"/>
      <c r="C231" s="188"/>
      <c r="D231" s="188"/>
      <c r="E231" s="188"/>
      <c r="F231" s="188"/>
      <c r="G231" s="188"/>
      <c r="H231" s="188"/>
      <c r="I231" s="188"/>
      <c r="J231" s="188"/>
      <c r="K231" s="188"/>
      <c r="L231" s="188"/>
      <c r="M231" s="188"/>
      <c r="N231" s="188"/>
      <c r="O231" s="188"/>
    </row>
    <row r="232" spans="1:15" x14ac:dyDescent="0.2">
      <c r="A232" s="188"/>
      <c r="B232" s="188"/>
      <c r="C232" s="188"/>
      <c r="D232" s="188"/>
      <c r="E232" s="188"/>
      <c r="F232" s="188"/>
      <c r="G232" s="188"/>
      <c r="H232" s="188"/>
      <c r="I232" s="188"/>
      <c r="J232" s="188"/>
      <c r="K232" s="188"/>
      <c r="L232" s="188"/>
      <c r="M232" s="188"/>
      <c r="N232" s="188"/>
      <c r="O232" s="188"/>
    </row>
    <row r="233" spans="1:15" x14ac:dyDescent="0.2">
      <c r="A233" s="188"/>
      <c r="B233" s="188"/>
      <c r="C233" s="188"/>
      <c r="D233" s="188"/>
      <c r="E233" s="188"/>
      <c r="F233" s="188"/>
      <c r="G233" s="188"/>
      <c r="H233" s="188"/>
      <c r="I233" s="188"/>
      <c r="J233" s="188"/>
      <c r="K233" s="188"/>
      <c r="L233" s="188"/>
      <c r="M233" s="188"/>
      <c r="N233" s="188"/>
      <c r="O233" s="188"/>
    </row>
    <row r="234" spans="1:15" x14ac:dyDescent="0.2">
      <c r="A234" s="188"/>
      <c r="B234" s="188"/>
      <c r="C234" s="188"/>
      <c r="D234" s="188"/>
      <c r="E234" s="188"/>
      <c r="F234" s="188"/>
      <c r="G234" s="188"/>
      <c r="H234" s="188"/>
      <c r="I234" s="188"/>
      <c r="J234" s="188"/>
      <c r="K234" s="188"/>
      <c r="L234" s="188"/>
      <c r="M234" s="188"/>
      <c r="N234" s="188"/>
      <c r="O234" s="188"/>
    </row>
    <row r="235" spans="1:15" x14ac:dyDescent="0.2">
      <c r="A235" s="188"/>
      <c r="B235" s="188"/>
      <c r="C235" s="188"/>
      <c r="D235" s="188"/>
      <c r="E235" s="188"/>
      <c r="F235" s="188"/>
      <c r="G235" s="188"/>
      <c r="H235" s="188"/>
      <c r="I235" s="188"/>
      <c r="J235" s="188"/>
      <c r="K235" s="188"/>
      <c r="L235" s="188"/>
      <c r="M235" s="188"/>
      <c r="N235" s="188"/>
      <c r="O235" s="188"/>
    </row>
    <row r="236" spans="1:15" x14ac:dyDescent="0.2">
      <c r="A236" s="188"/>
      <c r="B236" s="188"/>
      <c r="C236" s="188"/>
      <c r="D236" s="188"/>
      <c r="E236" s="188"/>
      <c r="F236" s="188"/>
      <c r="G236" s="188"/>
      <c r="H236" s="188"/>
      <c r="I236" s="188"/>
      <c r="J236" s="188"/>
      <c r="K236" s="188"/>
      <c r="L236" s="188"/>
      <c r="M236" s="188"/>
      <c r="N236" s="188"/>
      <c r="O236" s="188"/>
    </row>
    <row r="237" spans="1:15" x14ac:dyDescent="0.2">
      <c r="A237" s="188"/>
      <c r="B237" s="188"/>
      <c r="C237" s="188"/>
      <c r="D237" s="188"/>
      <c r="E237" s="188"/>
      <c r="F237" s="188"/>
      <c r="G237" s="188"/>
      <c r="H237" s="188"/>
      <c r="I237" s="188"/>
      <c r="J237" s="188"/>
      <c r="K237" s="188"/>
      <c r="L237" s="188"/>
      <c r="M237" s="188"/>
      <c r="N237" s="188"/>
      <c r="O237" s="188"/>
    </row>
    <row r="238" spans="1:15" x14ac:dyDescent="0.2">
      <c r="A238" s="188"/>
      <c r="B238" s="188"/>
      <c r="C238" s="188"/>
      <c r="D238" s="188"/>
      <c r="E238" s="188"/>
      <c r="F238" s="188"/>
      <c r="G238" s="188"/>
      <c r="H238" s="188"/>
      <c r="I238" s="188"/>
      <c r="J238" s="188"/>
      <c r="K238" s="188"/>
      <c r="L238" s="188"/>
      <c r="M238" s="188"/>
      <c r="N238" s="188"/>
      <c r="O238" s="188"/>
    </row>
    <row r="239" spans="1:15" x14ac:dyDescent="0.2">
      <c r="A239" s="188"/>
      <c r="B239" s="188"/>
      <c r="C239" s="188"/>
      <c r="D239" s="188"/>
      <c r="E239" s="188"/>
      <c r="F239" s="188"/>
      <c r="G239" s="188"/>
      <c r="H239" s="188"/>
      <c r="I239" s="188"/>
      <c r="J239" s="188"/>
      <c r="K239" s="188"/>
      <c r="L239" s="188"/>
      <c r="M239" s="188"/>
      <c r="N239" s="188"/>
      <c r="O239" s="188"/>
    </row>
    <row r="240" spans="1:15" x14ac:dyDescent="0.2">
      <c r="A240" s="188"/>
      <c r="B240" s="188"/>
      <c r="C240" s="188"/>
      <c r="D240" s="188"/>
      <c r="E240" s="188"/>
      <c r="F240" s="188"/>
      <c r="G240" s="188"/>
      <c r="H240" s="188"/>
      <c r="I240" s="188"/>
      <c r="J240" s="188"/>
      <c r="K240" s="188"/>
      <c r="L240" s="188"/>
      <c r="M240" s="188"/>
      <c r="N240" s="188"/>
      <c r="O240" s="188"/>
    </row>
    <row r="241" spans="1:15" x14ac:dyDescent="0.2">
      <c r="A241" s="188"/>
      <c r="B241" s="188"/>
      <c r="C241" s="188"/>
      <c r="D241" s="188"/>
      <c r="E241" s="188"/>
      <c r="F241" s="188"/>
      <c r="G241" s="188"/>
      <c r="H241" s="188"/>
      <c r="I241" s="188"/>
      <c r="J241" s="188"/>
      <c r="K241" s="188"/>
      <c r="L241" s="188"/>
      <c r="M241" s="188"/>
      <c r="N241" s="188"/>
      <c r="O241" s="188"/>
    </row>
    <row r="242" spans="1:15" x14ac:dyDescent="0.2">
      <c r="A242" s="188"/>
      <c r="B242" s="188"/>
      <c r="C242" s="188"/>
      <c r="D242" s="188"/>
      <c r="E242" s="188"/>
      <c r="F242" s="188"/>
      <c r="G242" s="188"/>
      <c r="H242" s="188"/>
      <c r="I242" s="188"/>
      <c r="J242" s="188"/>
      <c r="K242" s="188"/>
      <c r="L242" s="188"/>
      <c r="M242" s="188"/>
      <c r="N242" s="188"/>
      <c r="O242" s="188"/>
    </row>
    <row r="243" spans="1:15" x14ac:dyDescent="0.2">
      <c r="A243" s="188"/>
      <c r="B243" s="188"/>
      <c r="C243" s="188"/>
      <c r="D243" s="188"/>
      <c r="E243" s="188"/>
      <c r="F243" s="188"/>
      <c r="G243" s="188"/>
      <c r="H243" s="188"/>
      <c r="I243" s="188"/>
      <c r="J243" s="188"/>
      <c r="K243" s="188"/>
      <c r="L243" s="188"/>
      <c r="M243" s="188"/>
      <c r="N243" s="188"/>
      <c r="O243" s="188"/>
    </row>
    <row r="244" spans="1:15" x14ac:dyDescent="0.2">
      <c r="A244" s="188"/>
      <c r="B244" s="188"/>
      <c r="C244" s="188"/>
      <c r="D244" s="188"/>
      <c r="E244" s="188"/>
      <c r="F244" s="188"/>
      <c r="G244" s="188"/>
      <c r="H244" s="188"/>
      <c r="I244" s="188"/>
      <c r="J244" s="188"/>
      <c r="K244" s="188"/>
      <c r="L244" s="188"/>
      <c r="M244" s="188"/>
      <c r="N244" s="188"/>
      <c r="O244" s="188"/>
    </row>
    <row r="245" spans="1:15" x14ac:dyDescent="0.2">
      <c r="A245" s="188"/>
      <c r="B245" s="188"/>
      <c r="C245" s="188"/>
      <c r="D245" s="188"/>
      <c r="E245" s="188"/>
      <c r="F245" s="188"/>
      <c r="G245" s="188"/>
      <c r="H245" s="188"/>
      <c r="I245" s="188"/>
      <c r="J245" s="188"/>
      <c r="K245" s="188"/>
      <c r="L245" s="188"/>
      <c r="M245" s="188"/>
      <c r="N245" s="188"/>
      <c r="O245" s="188"/>
    </row>
    <row r="246" spans="1:15" x14ac:dyDescent="0.2">
      <c r="A246" s="188"/>
      <c r="B246" s="188"/>
      <c r="C246" s="188"/>
      <c r="D246" s="188"/>
      <c r="E246" s="188"/>
      <c r="F246" s="188"/>
      <c r="G246" s="188"/>
      <c r="H246" s="188"/>
      <c r="I246" s="188"/>
      <c r="J246" s="188"/>
      <c r="K246" s="188"/>
      <c r="L246" s="188"/>
      <c r="M246" s="188"/>
      <c r="N246" s="188"/>
      <c r="O246" s="188"/>
    </row>
    <row r="247" spans="1:15" x14ac:dyDescent="0.2">
      <c r="A247" s="188"/>
      <c r="B247" s="188"/>
      <c r="C247" s="188"/>
      <c r="D247" s="188"/>
      <c r="E247" s="188"/>
      <c r="F247" s="188"/>
      <c r="G247" s="188"/>
      <c r="H247" s="188"/>
      <c r="I247" s="188"/>
      <c r="J247" s="188"/>
      <c r="K247" s="188"/>
      <c r="L247" s="188"/>
      <c r="M247" s="188"/>
      <c r="N247" s="188"/>
      <c r="O247" s="188"/>
    </row>
    <row r="248" spans="1:15" x14ac:dyDescent="0.2">
      <c r="A248" s="188"/>
      <c r="B248" s="188"/>
      <c r="C248" s="188"/>
      <c r="D248" s="188"/>
      <c r="E248" s="188"/>
      <c r="F248" s="188"/>
      <c r="G248" s="188"/>
      <c r="H248" s="188"/>
      <c r="I248" s="188"/>
      <c r="J248" s="188"/>
      <c r="K248" s="188"/>
      <c r="L248" s="188"/>
      <c r="M248" s="188"/>
      <c r="N248" s="188"/>
      <c r="O248" s="188"/>
    </row>
    <row r="249" spans="1:15" x14ac:dyDescent="0.2">
      <c r="A249" s="188"/>
      <c r="B249" s="188"/>
      <c r="C249" s="188"/>
      <c r="D249" s="188"/>
      <c r="E249" s="188"/>
      <c r="F249" s="188"/>
      <c r="G249" s="188"/>
      <c r="H249" s="188"/>
      <c r="I249" s="188"/>
      <c r="J249" s="188"/>
      <c r="K249" s="188"/>
      <c r="L249" s="188"/>
      <c r="M249" s="188"/>
      <c r="N249" s="188"/>
      <c r="O249" s="188"/>
    </row>
    <row r="250" spans="1:15" x14ac:dyDescent="0.2">
      <c r="A250" s="188"/>
      <c r="B250" s="188"/>
      <c r="C250" s="188"/>
      <c r="D250" s="188"/>
      <c r="E250" s="188"/>
      <c r="F250" s="188"/>
      <c r="G250" s="188"/>
      <c r="H250" s="188"/>
      <c r="I250" s="188"/>
      <c r="J250" s="188"/>
      <c r="K250" s="188"/>
      <c r="L250" s="188"/>
      <c r="M250" s="188"/>
      <c r="N250" s="188"/>
      <c r="O250" s="188"/>
    </row>
    <row r="251" spans="1:15" x14ac:dyDescent="0.2">
      <c r="A251" s="188"/>
      <c r="B251" s="188"/>
      <c r="C251" s="188"/>
      <c r="D251" s="188"/>
      <c r="E251" s="188"/>
      <c r="F251" s="188"/>
      <c r="G251" s="188"/>
      <c r="H251" s="188"/>
      <c r="I251" s="188"/>
      <c r="J251" s="188"/>
      <c r="K251" s="188"/>
      <c r="L251" s="188"/>
      <c r="M251" s="188"/>
      <c r="N251" s="188"/>
      <c r="O251" s="188"/>
    </row>
    <row r="252" spans="1:15" x14ac:dyDescent="0.2">
      <c r="A252" s="188"/>
      <c r="B252" s="188"/>
      <c r="C252" s="188"/>
      <c r="D252" s="188"/>
      <c r="E252" s="188"/>
      <c r="F252" s="188"/>
      <c r="G252" s="188"/>
      <c r="H252" s="188"/>
      <c r="I252" s="188"/>
      <c r="J252" s="188"/>
      <c r="K252" s="188"/>
      <c r="L252" s="188"/>
      <c r="M252" s="188"/>
      <c r="N252" s="188"/>
      <c r="O252" s="188"/>
    </row>
    <row r="253" spans="1:15" x14ac:dyDescent="0.2">
      <c r="A253" s="188"/>
      <c r="B253" s="188"/>
      <c r="C253" s="188"/>
      <c r="D253" s="188"/>
      <c r="E253" s="188"/>
      <c r="F253" s="188"/>
      <c r="G253" s="188"/>
      <c r="H253" s="188"/>
      <c r="I253" s="188"/>
      <c r="J253" s="188"/>
      <c r="K253" s="188"/>
      <c r="L253" s="188"/>
      <c r="M253" s="188"/>
      <c r="N253" s="188"/>
      <c r="O253" s="188"/>
    </row>
    <row r="254" spans="1:15" x14ac:dyDescent="0.2">
      <c r="A254" s="188"/>
      <c r="B254" s="188"/>
      <c r="C254" s="188"/>
      <c r="D254" s="188"/>
      <c r="E254" s="188"/>
      <c r="F254" s="188"/>
      <c r="G254" s="188"/>
      <c r="H254" s="188"/>
      <c r="I254" s="188"/>
      <c r="J254" s="188"/>
      <c r="K254" s="188"/>
      <c r="L254" s="188"/>
      <c r="M254" s="188"/>
      <c r="N254" s="188"/>
      <c r="O254" s="188"/>
    </row>
    <row r="255" spans="1:15" x14ac:dyDescent="0.2">
      <c r="A255" s="188"/>
      <c r="B255" s="188"/>
      <c r="C255" s="188"/>
      <c r="D255" s="188"/>
      <c r="E255" s="188"/>
      <c r="F255" s="188"/>
      <c r="G255" s="188"/>
      <c r="H255" s="188"/>
      <c r="I255" s="188"/>
      <c r="J255" s="188"/>
      <c r="K255" s="188"/>
      <c r="L255" s="188"/>
      <c r="M255" s="188"/>
      <c r="N255" s="188"/>
      <c r="O255" s="188"/>
    </row>
    <row r="256" spans="1:15" x14ac:dyDescent="0.2">
      <c r="A256" s="188"/>
      <c r="B256" s="188"/>
      <c r="C256" s="188"/>
      <c r="D256" s="188"/>
      <c r="E256" s="188"/>
      <c r="F256" s="188"/>
      <c r="G256" s="188"/>
      <c r="H256" s="188"/>
      <c r="I256" s="188"/>
      <c r="J256" s="188"/>
      <c r="K256" s="188"/>
      <c r="L256" s="188"/>
      <c r="M256" s="188"/>
      <c r="N256" s="188"/>
      <c r="O256" s="188"/>
    </row>
    <row r="257" spans="1:15" x14ac:dyDescent="0.2">
      <c r="A257" s="188"/>
      <c r="B257" s="188"/>
      <c r="C257" s="188"/>
      <c r="D257" s="188"/>
      <c r="E257" s="188"/>
      <c r="F257" s="188"/>
      <c r="G257" s="188"/>
      <c r="H257" s="188"/>
      <c r="I257" s="188"/>
      <c r="J257" s="188"/>
      <c r="K257" s="188"/>
      <c r="L257" s="188"/>
      <c r="M257" s="188"/>
      <c r="N257" s="188"/>
      <c r="O257" s="188"/>
    </row>
    <row r="258" spans="1:15" x14ac:dyDescent="0.2">
      <c r="A258" s="188"/>
      <c r="B258" s="188"/>
      <c r="C258" s="188"/>
      <c r="D258" s="188"/>
      <c r="E258" s="188"/>
      <c r="F258" s="188"/>
      <c r="G258" s="188"/>
      <c r="H258" s="188"/>
      <c r="I258" s="188"/>
      <c r="J258" s="188"/>
      <c r="K258" s="188"/>
      <c r="L258" s="188"/>
      <c r="M258" s="188"/>
      <c r="N258" s="188"/>
      <c r="O258" s="188"/>
    </row>
    <row r="259" spans="1:15" x14ac:dyDescent="0.2">
      <c r="A259" s="188"/>
      <c r="B259" s="188"/>
      <c r="C259" s="188"/>
      <c r="D259" s="188"/>
      <c r="E259" s="188"/>
      <c r="F259" s="188"/>
      <c r="G259" s="188"/>
      <c r="H259" s="188"/>
      <c r="I259" s="188"/>
      <c r="J259" s="188"/>
      <c r="K259" s="188"/>
      <c r="L259" s="188"/>
      <c r="M259" s="188"/>
      <c r="N259" s="188"/>
      <c r="O259" s="188"/>
    </row>
    <row r="260" spans="1:15" x14ac:dyDescent="0.2">
      <c r="A260" s="188"/>
      <c r="B260" s="188"/>
      <c r="C260" s="188"/>
      <c r="D260" s="188"/>
      <c r="E260" s="188"/>
      <c r="F260" s="188"/>
      <c r="G260" s="188"/>
      <c r="H260" s="188"/>
      <c r="I260" s="188"/>
      <c r="J260" s="188"/>
      <c r="K260" s="188"/>
      <c r="L260" s="188"/>
      <c r="M260" s="188"/>
      <c r="N260" s="188"/>
      <c r="O260" s="188"/>
    </row>
    <row r="261" spans="1:15" x14ac:dyDescent="0.2">
      <c r="A261" s="188"/>
      <c r="B261" s="188"/>
      <c r="C261" s="188"/>
      <c r="D261" s="188"/>
      <c r="E261" s="188"/>
      <c r="F261" s="188"/>
      <c r="G261" s="188"/>
      <c r="H261" s="188"/>
      <c r="I261" s="188"/>
      <c r="J261" s="188"/>
      <c r="K261" s="188"/>
      <c r="L261" s="188"/>
      <c r="M261" s="188"/>
      <c r="N261" s="188"/>
      <c r="O261" s="188"/>
    </row>
    <row r="262" spans="1:15" x14ac:dyDescent="0.2">
      <c r="A262" s="188"/>
      <c r="B262" s="188"/>
      <c r="C262" s="188"/>
      <c r="D262" s="188"/>
      <c r="E262" s="188"/>
      <c r="F262" s="188"/>
      <c r="G262" s="188"/>
      <c r="H262" s="188"/>
      <c r="I262" s="188"/>
      <c r="J262" s="188"/>
      <c r="K262" s="188"/>
      <c r="L262" s="188"/>
      <c r="M262" s="188"/>
      <c r="N262" s="188"/>
      <c r="O262" s="188"/>
    </row>
    <row r="263" spans="1:15" x14ac:dyDescent="0.2">
      <c r="A263" s="188"/>
      <c r="B263" s="188"/>
      <c r="C263" s="188"/>
      <c r="D263" s="188"/>
      <c r="E263" s="188"/>
      <c r="F263" s="188"/>
      <c r="G263" s="188"/>
      <c r="H263" s="188"/>
      <c r="I263" s="188"/>
      <c r="J263" s="188"/>
      <c r="K263" s="188"/>
      <c r="L263" s="188"/>
      <c r="M263" s="188"/>
      <c r="N263" s="188"/>
      <c r="O263" s="188"/>
    </row>
    <row r="264" spans="1:15" x14ac:dyDescent="0.2">
      <c r="A264" s="188"/>
      <c r="B264" s="188"/>
      <c r="C264" s="188"/>
      <c r="D264" s="188"/>
      <c r="E264" s="188"/>
      <c r="F264" s="188"/>
      <c r="G264" s="188"/>
      <c r="H264" s="188"/>
      <c r="I264" s="188"/>
      <c r="J264" s="188"/>
      <c r="K264" s="188"/>
      <c r="L264" s="188"/>
      <c r="M264" s="188"/>
      <c r="N264" s="188"/>
      <c r="O264" s="188"/>
    </row>
    <row r="265" spans="1:15" x14ac:dyDescent="0.2">
      <c r="A265" s="188"/>
      <c r="B265" s="188"/>
      <c r="C265" s="188"/>
      <c r="D265" s="188"/>
      <c r="E265" s="188"/>
      <c r="F265" s="188"/>
      <c r="G265" s="188"/>
      <c r="H265" s="188"/>
      <c r="I265" s="188"/>
      <c r="J265" s="188"/>
      <c r="K265" s="188"/>
      <c r="L265" s="188"/>
      <c r="M265" s="188"/>
      <c r="N265" s="188"/>
      <c r="O265" s="188"/>
    </row>
    <row r="266" spans="1:15" x14ac:dyDescent="0.2">
      <c r="A266" s="188"/>
      <c r="B266" s="188"/>
      <c r="C266" s="188"/>
      <c r="D266" s="188"/>
      <c r="E266" s="188"/>
      <c r="F266" s="188"/>
      <c r="G266" s="188"/>
      <c r="H266" s="188"/>
      <c r="I266" s="188"/>
      <c r="J266" s="188"/>
      <c r="K266" s="188"/>
      <c r="L266" s="188"/>
      <c r="M266" s="188"/>
      <c r="N266" s="188"/>
      <c r="O266" s="188"/>
    </row>
    <row r="267" spans="1:15" x14ac:dyDescent="0.2">
      <c r="A267" s="188"/>
      <c r="B267" s="188"/>
      <c r="C267" s="188"/>
      <c r="D267" s="188"/>
      <c r="E267" s="188"/>
      <c r="F267" s="188"/>
      <c r="G267" s="188"/>
      <c r="H267" s="188"/>
      <c r="I267" s="188"/>
      <c r="J267" s="188"/>
      <c r="K267" s="188"/>
      <c r="L267" s="188"/>
      <c r="M267" s="188"/>
      <c r="N267" s="188"/>
      <c r="O267" s="188"/>
    </row>
    <row r="268" spans="1:15" x14ac:dyDescent="0.2">
      <c r="A268" s="188"/>
      <c r="B268" s="188"/>
      <c r="C268" s="188"/>
      <c r="D268" s="188"/>
      <c r="E268" s="188"/>
      <c r="F268" s="188"/>
      <c r="G268" s="188"/>
      <c r="H268" s="188"/>
      <c r="I268" s="188"/>
      <c r="J268" s="188"/>
      <c r="K268" s="188"/>
      <c r="L268" s="188"/>
      <c r="M268" s="188"/>
      <c r="N268" s="188"/>
      <c r="O268" s="188"/>
    </row>
    <row r="269" spans="1:15" x14ac:dyDescent="0.2">
      <c r="A269" s="188"/>
      <c r="B269" s="188"/>
      <c r="C269" s="188"/>
      <c r="D269" s="188"/>
      <c r="E269" s="188"/>
      <c r="F269" s="188"/>
      <c r="G269" s="188"/>
      <c r="H269" s="188"/>
      <c r="I269" s="188"/>
      <c r="J269" s="188"/>
      <c r="K269" s="188"/>
      <c r="L269" s="188"/>
      <c r="M269" s="188"/>
      <c r="N269" s="188"/>
      <c r="O269" s="188"/>
    </row>
    <row r="270" spans="1:15" x14ac:dyDescent="0.2">
      <c r="A270" s="188"/>
      <c r="B270" s="188"/>
      <c r="C270" s="188"/>
      <c r="D270" s="188"/>
      <c r="E270" s="188"/>
      <c r="F270" s="188"/>
      <c r="G270" s="188"/>
      <c r="H270" s="188"/>
      <c r="I270" s="188"/>
      <c r="J270" s="188"/>
      <c r="K270" s="188"/>
      <c r="L270" s="188"/>
      <c r="M270" s="188"/>
      <c r="N270" s="188"/>
      <c r="O270" s="188"/>
    </row>
    <row r="271" spans="1:15" x14ac:dyDescent="0.2">
      <c r="A271" s="188"/>
      <c r="B271" s="188"/>
      <c r="C271" s="188"/>
      <c r="D271" s="188"/>
      <c r="E271" s="188"/>
      <c r="F271" s="188"/>
      <c r="G271" s="188"/>
      <c r="H271" s="188"/>
      <c r="I271" s="188"/>
      <c r="J271" s="188"/>
      <c r="K271" s="188"/>
      <c r="L271" s="188"/>
      <c r="M271" s="188"/>
      <c r="N271" s="188"/>
      <c r="O271" s="188"/>
    </row>
    <row r="272" spans="1:15" x14ac:dyDescent="0.2">
      <c r="A272" s="188"/>
      <c r="B272" s="188"/>
      <c r="C272" s="188"/>
      <c r="D272" s="188"/>
      <c r="E272" s="188"/>
      <c r="F272" s="188"/>
      <c r="G272" s="188"/>
      <c r="H272" s="188"/>
      <c r="I272" s="188"/>
      <c r="J272" s="188"/>
      <c r="K272" s="188"/>
      <c r="L272" s="188"/>
      <c r="M272" s="188"/>
      <c r="N272" s="188"/>
      <c r="O272" s="188"/>
    </row>
    <row r="273" spans="1:15" x14ac:dyDescent="0.2">
      <c r="A273" s="188"/>
      <c r="B273" s="188"/>
      <c r="C273" s="188"/>
      <c r="D273" s="188"/>
      <c r="E273" s="188"/>
      <c r="F273" s="188"/>
      <c r="G273" s="188"/>
      <c r="H273" s="188"/>
      <c r="I273" s="188"/>
      <c r="J273" s="188"/>
      <c r="K273" s="188"/>
      <c r="L273" s="188"/>
      <c r="M273" s="188"/>
      <c r="N273" s="188"/>
      <c r="O273" s="188"/>
    </row>
    <row r="274" spans="1:15" x14ac:dyDescent="0.2">
      <c r="A274" s="188"/>
      <c r="B274" s="188"/>
      <c r="C274" s="188"/>
      <c r="D274" s="188"/>
      <c r="E274" s="188"/>
      <c r="F274" s="188"/>
      <c r="G274" s="188"/>
      <c r="H274" s="188"/>
      <c r="I274" s="188"/>
      <c r="J274" s="188"/>
      <c r="K274" s="188"/>
      <c r="L274" s="188"/>
      <c r="M274" s="188"/>
      <c r="N274" s="188"/>
      <c r="O274" s="188"/>
    </row>
    <row r="275" spans="1:15" x14ac:dyDescent="0.2">
      <c r="A275" s="188"/>
      <c r="B275" s="188"/>
      <c r="C275" s="188"/>
      <c r="D275" s="188"/>
      <c r="E275" s="188"/>
      <c r="F275" s="188"/>
      <c r="G275" s="188"/>
      <c r="H275" s="188"/>
      <c r="I275" s="188"/>
      <c r="J275" s="188"/>
      <c r="K275" s="188"/>
      <c r="L275" s="188"/>
      <c r="M275" s="188"/>
      <c r="N275" s="188"/>
      <c r="O275" s="188"/>
    </row>
    <row r="276" spans="1:15" x14ac:dyDescent="0.2">
      <c r="A276" s="188"/>
      <c r="B276" s="188"/>
      <c r="C276" s="188"/>
      <c r="D276" s="188"/>
      <c r="E276" s="188"/>
      <c r="F276" s="188"/>
      <c r="G276" s="188"/>
      <c r="H276" s="188"/>
      <c r="I276" s="188"/>
      <c r="J276" s="188"/>
      <c r="K276" s="188"/>
      <c r="L276" s="188"/>
      <c r="M276" s="188"/>
      <c r="N276" s="188"/>
      <c r="O276" s="188"/>
    </row>
    <row r="277" spans="1:15" x14ac:dyDescent="0.2">
      <c r="A277" s="188"/>
      <c r="B277" s="188"/>
      <c r="C277" s="188"/>
      <c r="D277" s="188"/>
      <c r="E277" s="188"/>
      <c r="F277" s="188"/>
      <c r="G277" s="188"/>
      <c r="H277" s="188"/>
      <c r="I277" s="188"/>
      <c r="J277" s="188"/>
      <c r="K277" s="188"/>
      <c r="L277" s="188"/>
      <c r="M277" s="188"/>
      <c r="N277" s="188"/>
      <c r="O277" s="188"/>
    </row>
    <row r="278" spans="1:15" x14ac:dyDescent="0.2">
      <c r="A278" s="188"/>
      <c r="B278" s="188"/>
      <c r="C278" s="188"/>
      <c r="D278" s="188"/>
      <c r="E278" s="188"/>
      <c r="F278" s="188"/>
      <c r="G278" s="188"/>
      <c r="H278" s="188"/>
      <c r="I278" s="188"/>
      <c r="J278" s="188"/>
      <c r="K278" s="188"/>
      <c r="L278" s="188"/>
      <c r="M278" s="188"/>
      <c r="N278" s="188"/>
      <c r="O278" s="188"/>
    </row>
    <row r="279" spans="1:15" x14ac:dyDescent="0.2">
      <c r="A279" s="188"/>
      <c r="B279" s="188"/>
      <c r="C279" s="188"/>
      <c r="D279" s="188"/>
      <c r="E279" s="188"/>
      <c r="F279" s="188"/>
      <c r="G279" s="188"/>
      <c r="H279" s="188"/>
      <c r="I279" s="188"/>
      <c r="J279" s="188"/>
      <c r="K279" s="188"/>
      <c r="L279" s="188"/>
      <c r="M279" s="188"/>
      <c r="N279" s="188"/>
      <c r="O279" s="188"/>
    </row>
    <row r="280" spans="1:15" x14ac:dyDescent="0.2">
      <c r="A280" s="188"/>
      <c r="B280" s="188"/>
      <c r="C280" s="188"/>
      <c r="D280" s="188"/>
      <c r="E280" s="188"/>
      <c r="F280" s="188"/>
      <c r="G280" s="188"/>
      <c r="H280" s="188"/>
      <c r="I280" s="188"/>
      <c r="J280" s="188"/>
      <c r="K280" s="188"/>
      <c r="L280" s="188"/>
      <c r="M280" s="188"/>
      <c r="N280" s="188"/>
      <c r="O280" s="188"/>
    </row>
    <row r="281" spans="1:15" x14ac:dyDescent="0.2">
      <c r="A281" s="188"/>
      <c r="B281" s="188"/>
      <c r="C281" s="188"/>
      <c r="D281" s="188"/>
      <c r="E281" s="188"/>
      <c r="F281" s="188"/>
      <c r="G281" s="188"/>
      <c r="H281" s="188"/>
      <c r="I281" s="188"/>
      <c r="J281" s="188"/>
      <c r="K281" s="188"/>
      <c r="L281" s="188"/>
      <c r="M281" s="188"/>
      <c r="N281" s="188"/>
      <c r="O281" s="188"/>
    </row>
    <row r="282" spans="1:15" x14ac:dyDescent="0.2">
      <c r="A282" s="188"/>
      <c r="B282" s="188"/>
      <c r="C282" s="188"/>
      <c r="D282" s="188"/>
      <c r="E282" s="188"/>
      <c r="F282" s="188"/>
      <c r="G282" s="188"/>
      <c r="H282" s="188"/>
      <c r="I282" s="188"/>
      <c r="J282" s="188"/>
      <c r="K282" s="188"/>
      <c r="L282" s="188"/>
      <c r="M282" s="188"/>
      <c r="N282" s="188"/>
      <c r="O282" s="188"/>
    </row>
    <row r="283" spans="1:15" x14ac:dyDescent="0.2">
      <c r="A283" s="188"/>
      <c r="B283" s="188"/>
      <c r="C283" s="188"/>
      <c r="D283" s="188"/>
      <c r="E283" s="188"/>
      <c r="F283" s="188"/>
      <c r="G283" s="188"/>
      <c r="H283" s="188"/>
      <c r="I283" s="188"/>
      <c r="J283" s="188"/>
      <c r="K283" s="188"/>
      <c r="L283" s="188"/>
      <c r="M283" s="188"/>
      <c r="N283" s="188"/>
      <c r="O283" s="188"/>
    </row>
    <row r="284" spans="1:15" x14ac:dyDescent="0.2">
      <c r="A284" s="188"/>
      <c r="B284" s="188"/>
      <c r="C284" s="188"/>
      <c r="D284" s="188"/>
      <c r="E284" s="188"/>
      <c r="F284" s="188"/>
      <c r="G284" s="188"/>
      <c r="H284" s="188"/>
      <c r="I284" s="188"/>
      <c r="J284" s="188"/>
      <c r="K284" s="188"/>
      <c r="L284" s="188"/>
      <c r="M284" s="188"/>
      <c r="N284" s="188"/>
      <c r="O284" s="188"/>
    </row>
    <row r="285" spans="1:15" x14ac:dyDescent="0.2">
      <c r="A285" s="188"/>
      <c r="B285" s="188"/>
      <c r="C285" s="188"/>
      <c r="D285" s="188"/>
      <c r="E285" s="188"/>
      <c r="F285" s="188"/>
      <c r="G285" s="188"/>
      <c r="H285" s="188"/>
      <c r="I285" s="188"/>
      <c r="J285" s="188"/>
      <c r="K285" s="188"/>
      <c r="L285" s="188"/>
      <c r="M285" s="188"/>
      <c r="N285" s="188"/>
      <c r="O285" s="188"/>
    </row>
    <row r="286" spans="1:15" x14ac:dyDescent="0.2">
      <c r="A286" s="188"/>
      <c r="B286" s="188"/>
      <c r="C286" s="188"/>
      <c r="D286" s="188"/>
      <c r="E286" s="188"/>
      <c r="F286" s="188"/>
      <c r="G286" s="188"/>
      <c r="H286" s="188"/>
      <c r="I286" s="188"/>
      <c r="J286" s="188"/>
      <c r="K286" s="188"/>
      <c r="L286" s="188"/>
      <c r="M286" s="188"/>
      <c r="N286" s="188"/>
      <c r="O286" s="188"/>
    </row>
  </sheetData>
  <mergeCells count="25">
    <mergeCell ref="H30:K30"/>
    <mergeCell ref="H28:K28"/>
    <mergeCell ref="H29:K29"/>
    <mergeCell ref="A1:O1"/>
    <mergeCell ref="A24:F24"/>
    <mergeCell ref="H26:K26"/>
    <mergeCell ref="H27:K27"/>
    <mergeCell ref="H31:K31"/>
    <mergeCell ref="H32:K32"/>
    <mergeCell ref="H33:K33"/>
    <mergeCell ref="H34:K34"/>
    <mergeCell ref="H40:K40"/>
    <mergeCell ref="H35:K35"/>
    <mergeCell ref="H39:K39"/>
    <mergeCell ref="H36:K36"/>
    <mergeCell ref="H37:K37"/>
    <mergeCell ref="H38:K38"/>
    <mergeCell ref="H41:K41"/>
    <mergeCell ref="H48:K48"/>
    <mergeCell ref="H42:K42"/>
    <mergeCell ref="H43:K43"/>
    <mergeCell ref="H44:K44"/>
    <mergeCell ref="H45:K45"/>
    <mergeCell ref="H46:K46"/>
    <mergeCell ref="H47:K47"/>
  </mergeCells>
  <phoneticPr fontId="33"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SchmidtTheory</vt:lpstr>
      <vt:lpstr>ValveSIZING</vt:lpstr>
      <vt:lpstr>ActuatorSIZING</vt:lpstr>
      <vt:lpstr>SPL</vt:lpstr>
      <vt:lpstr>Pressure Drop</vt:lpstr>
      <vt:lpstr>vapor</vt:lpstr>
      <vt:lpstr>Viscosity</vt:lpstr>
      <vt:lpstr>SELECTION</vt:lpstr>
      <vt:lpstr>PipingSchedule</vt:lpstr>
      <vt:lpstr>Property Examples</vt:lpstr>
      <vt:lpstr>FLUID Data</vt:lpstr>
      <vt:lpstr>SteamProperties</vt:lpstr>
      <vt:lpstr>SteamFunctions</vt:lpstr>
      <vt:lpstr>CV</vt:lpstr>
      <vt:lpstr>BODY</vt:lpstr>
      <vt:lpstr>=</vt:lpstr>
      <vt:lpstr>Valve body</vt:lpstr>
      <vt:lpstr>vapor!Print_Area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Francesca</cp:lastModifiedBy>
  <dcterms:created xsi:type="dcterms:W3CDTF">1996-10-14T23:33:28Z</dcterms:created>
  <dcterms:modified xsi:type="dcterms:W3CDTF">2020-02-25T14:45:13Z</dcterms:modified>
</cp:coreProperties>
</file>