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5" yWindow="-240" windowWidth="18975" windowHeight="2700" firstSheet="2" activeTab="8"/>
  </bookViews>
  <sheets>
    <sheet name="Հունվար" sheetId="1" r:id="rId1"/>
    <sheet name="Փետրվար" sheetId="2" r:id="rId2"/>
    <sheet name="Մարտ" sheetId="3" r:id="rId3"/>
    <sheet name="Ապրիլ" sheetId="5" r:id="rId4"/>
    <sheet name="Մայիս" sheetId="4" r:id="rId5"/>
    <sheet name="Հունիս" sheetId="6" r:id="rId6"/>
    <sheet name="հուլիս" sheetId="7" r:id="rId7"/>
    <sheet name="Օգոստոս" sheetId="8" r:id="rId8"/>
    <sheet name="Սեպտեմբեր" sheetId="9" r:id="rId9"/>
    <sheet name="Հոկտեմբեր" sheetId="10" r:id="rId10"/>
    <sheet name="Նոյեմբեր" sheetId="11" r:id="rId11"/>
    <sheet name="դեկ" sheetId="12" r:id="rId12"/>
    <sheet name="Sheet1" sheetId="13" r:id="rId13"/>
  </sheets>
  <calcPr calcId="145621"/>
</workbook>
</file>

<file path=xl/calcChain.xml><?xml version="1.0" encoding="utf-8"?>
<calcChain xmlns="http://schemas.openxmlformats.org/spreadsheetml/2006/main">
  <c r="J4" i="13" l="1"/>
  <c r="G4" i="13"/>
  <c r="D4" i="13"/>
  <c r="J3" i="13" l="1"/>
  <c r="G3" i="13"/>
  <c r="D3" i="13"/>
  <c r="E109" i="12" l="1"/>
  <c r="K112" i="12" l="1"/>
  <c r="H112" i="12"/>
  <c r="E112" i="12"/>
  <c r="R52" i="12"/>
  <c r="K52" i="12"/>
  <c r="E52" i="12"/>
  <c r="K43" i="12"/>
  <c r="E43" i="12"/>
  <c r="R189" i="12"/>
  <c r="R181" i="12"/>
  <c r="M190" i="12"/>
  <c r="M21" i="12" s="1"/>
  <c r="L190" i="12"/>
  <c r="N190" i="12" s="1"/>
  <c r="N21" i="12" s="1"/>
  <c r="J190" i="12"/>
  <c r="J21" i="12" s="1"/>
  <c r="I190" i="12"/>
  <c r="I21" i="12" s="1"/>
  <c r="G190" i="12"/>
  <c r="G21" i="12" s="1"/>
  <c r="F190" i="12"/>
  <c r="F21" i="12" s="1"/>
  <c r="D190" i="12"/>
  <c r="D21" i="12" s="1"/>
  <c r="C190" i="12"/>
  <c r="C21" i="12" s="1"/>
  <c r="N189" i="12"/>
  <c r="K189" i="12"/>
  <c r="H189" i="12"/>
  <c r="E189" i="12"/>
  <c r="Q190" i="12"/>
  <c r="Q21" i="12" s="1"/>
  <c r="O190" i="12"/>
  <c r="O21" i="12" s="1"/>
  <c r="R188" i="12"/>
  <c r="N188" i="12"/>
  <c r="K188" i="12"/>
  <c r="H188" i="12"/>
  <c r="E188" i="12"/>
  <c r="R187" i="12"/>
  <c r="N187" i="12"/>
  <c r="K187" i="12"/>
  <c r="H187" i="12"/>
  <c r="E187" i="12"/>
  <c r="R186" i="12"/>
  <c r="N186" i="12"/>
  <c r="K186" i="12"/>
  <c r="H186" i="12"/>
  <c r="E186" i="12"/>
  <c r="R185" i="12"/>
  <c r="N185" i="12"/>
  <c r="K185" i="12"/>
  <c r="H185" i="12"/>
  <c r="E185" i="12"/>
  <c r="R184" i="12"/>
  <c r="N184" i="12"/>
  <c r="K184" i="12"/>
  <c r="H184" i="12"/>
  <c r="E184" i="12"/>
  <c r="R183" i="12"/>
  <c r="N183" i="12"/>
  <c r="K183" i="12"/>
  <c r="H183" i="12"/>
  <c r="E183" i="12"/>
  <c r="R182" i="12"/>
  <c r="N182" i="12"/>
  <c r="K182" i="12"/>
  <c r="H182" i="12"/>
  <c r="E182" i="12"/>
  <c r="L21" i="12" l="1"/>
  <c r="H190" i="12"/>
  <c r="H21" i="12" s="1"/>
  <c r="R190" i="12"/>
  <c r="K190" i="12"/>
  <c r="K21" i="12" s="1"/>
  <c r="E190" i="12"/>
  <c r="E21" i="12" s="1"/>
  <c r="L102" i="12"/>
  <c r="M177" i="12"/>
  <c r="L177" i="12"/>
  <c r="P190" i="12" l="1"/>
  <c r="P21" i="12" s="1"/>
  <c r="R21" i="12"/>
  <c r="M193" i="12"/>
  <c r="M194" i="12"/>
  <c r="E128" i="12"/>
  <c r="L157" i="12"/>
  <c r="M90" i="12"/>
  <c r="L90" i="12"/>
  <c r="L75" i="12"/>
  <c r="M73" i="12"/>
  <c r="L73" i="12"/>
  <c r="M169" i="12"/>
  <c r="L169" i="12"/>
  <c r="M60" i="12"/>
  <c r="L60" i="12"/>
  <c r="N71" i="12"/>
  <c r="M41" i="12"/>
  <c r="L41" i="12"/>
  <c r="L51" i="12"/>
  <c r="M70" i="12"/>
  <c r="L38" i="12"/>
  <c r="N38" i="12" s="1"/>
  <c r="K38" i="12"/>
  <c r="H38" i="12"/>
  <c r="M115" i="12"/>
  <c r="M91" i="12"/>
  <c r="L107" i="12"/>
  <c r="N117" i="12"/>
  <c r="L136" i="12"/>
  <c r="M162" i="12"/>
  <c r="L162" i="12"/>
  <c r="M40" i="12"/>
  <c r="Q195" i="12"/>
  <c r="O195" i="12"/>
  <c r="O22" i="12" s="1"/>
  <c r="M195" i="12"/>
  <c r="L195" i="12"/>
  <c r="J195" i="12"/>
  <c r="J22" i="12" s="1"/>
  <c r="I195" i="12"/>
  <c r="G195" i="12"/>
  <c r="F195" i="12"/>
  <c r="D195" i="12"/>
  <c r="D22" i="12" s="1"/>
  <c r="C195" i="12"/>
  <c r="R194" i="12"/>
  <c r="N194" i="12"/>
  <c r="K194" i="12"/>
  <c r="H194" i="12"/>
  <c r="E194" i="12"/>
  <c r="R193" i="12"/>
  <c r="R195" i="12" s="1"/>
  <c r="P195" i="12" s="1"/>
  <c r="P22" i="12" s="1"/>
  <c r="N193" i="12"/>
  <c r="K193" i="12"/>
  <c r="H193" i="12"/>
  <c r="E193" i="12"/>
  <c r="Q178" i="12"/>
  <c r="Q13" i="12" s="1"/>
  <c r="O178" i="12"/>
  <c r="O13" i="12" s="1"/>
  <c r="M178" i="12"/>
  <c r="L178" i="12"/>
  <c r="J178" i="12"/>
  <c r="I178" i="12"/>
  <c r="G178" i="12"/>
  <c r="F178" i="12"/>
  <c r="D178" i="12"/>
  <c r="C178" i="12"/>
  <c r="R177" i="12"/>
  <c r="N177" i="12"/>
  <c r="K177" i="12"/>
  <c r="H177" i="12"/>
  <c r="E177" i="12"/>
  <c r="R176" i="12"/>
  <c r="N176" i="12"/>
  <c r="K176" i="12"/>
  <c r="H176" i="12"/>
  <c r="E176" i="12"/>
  <c r="R175" i="12"/>
  <c r="N175" i="12"/>
  <c r="K175" i="12"/>
  <c r="H175" i="12"/>
  <c r="E175" i="12"/>
  <c r="R174" i="12"/>
  <c r="N174" i="12"/>
  <c r="K174" i="12"/>
  <c r="H174" i="12"/>
  <c r="E174" i="12"/>
  <c r="R173" i="12"/>
  <c r="R172" i="12"/>
  <c r="N172" i="12"/>
  <c r="K172" i="12"/>
  <c r="H172" i="12"/>
  <c r="E172" i="12"/>
  <c r="R171" i="12"/>
  <c r="N171" i="12"/>
  <c r="K171" i="12"/>
  <c r="H171" i="12"/>
  <c r="E171" i="12"/>
  <c r="R170" i="12"/>
  <c r="N170" i="12"/>
  <c r="K170" i="12"/>
  <c r="E170" i="12"/>
  <c r="R169" i="12"/>
  <c r="N169" i="12"/>
  <c r="K169" i="12"/>
  <c r="H169" i="12"/>
  <c r="E169" i="12"/>
  <c r="R168" i="12"/>
  <c r="K168" i="12"/>
  <c r="H168" i="12"/>
  <c r="E168" i="12"/>
  <c r="Q165" i="12"/>
  <c r="O165" i="12"/>
  <c r="M165" i="12"/>
  <c r="L165" i="12"/>
  <c r="J165" i="12"/>
  <c r="I165" i="12"/>
  <c r="G165" i="12"/>
  <c r="F165" i="12"/>
  <c r="D165" i="12"/>
  <c r="C165" i="12"/>
  <c r="R164" i="12"/>
  <c r="K164" i="12"/>
  <c r="H164" i="12"/>
  <c r="E164" i="12"/>
  <c r="R163" i="12"/>
  <c r="R162" i="12"/>
  <c r="N162" i="12"/>
  <c r="K162" i="12"/>
  <c r="H162" i="12"/>
  <c r="E162" i="12"/>
  <c r="Q159" i="12"/>
  <c r="O159" i="12"/>
  <c r="O12" i="12" s="1"/>
  <c r="M159" i="12"/>
  <c r="L159" i="12"/>
  <c r="J159" i="12"/>
  <c r="I159" i="12"/>
  <c r="G159" i="12"/>
  <c r="F159" i="12"/>
  <c r="D159" i="12"/>
  <c r="C159" i="12"/>
  <c r="R158" i="12"/>
  <c r="K158" i="12"/>
  <c r="H158" i="12"/>
  <c r="E158" i="12"/>
  <c r="R157" i="12"/>
  <c r="N157" i="12"/>
  <c r="K157" i="12"/>
  <c r="H157" i="12"/>
  <c r="E157" i="12"/>
  <c r="R156" i="12"/>
  <c r="R155" i="12"/>
  <c r="N155" i="12"/>
  <c r="K155" i="12"/>
  <c r="H155" i="12"/>
  <c r="E155" i="12"/>
  <c r="R154" i="12"/>
  <c r="K154" i="12"/>
  <c r="H154" i="12"/>
  <c r="E154" i="12"/>
  <c r="Q149" i="12"/>
  <c r="O149" i="12"/>
  <c r="M149" i="12"/>
  <c r="L149" i="12"/>
  <c r="L11" i="12" s="1"/>
  <c r="J149" i="12"/>
  <c r="I149" i="12"/>
  <c r="I11" i="12" s="1"/>
  <c r="G149" i="12"/>
  <c r="F149" i="12"/>
  <c r="D149" i="12"/>
  <c r="C149" i="12"/>
  <c r="R148" i="12"/>
  <c r="R147" i="12"/>
  <c r="N147" i="12"/>
  <c r="K147" i="12"/>
  <c r="H147" i="12"/>
  <c r="E147" i="12"/>
  <c r="R146" i="12"/>
  <c r="N146" i="12"/>
  <c r="K146" i="12"/>
  <c r="H146" i="12"/>
  <c r="E146" i="12"/>
  <c r="R145" i="12"/>
  <c r="K145" i="12"/>
  <c r="H145" i="12"/>
  <c r="E145" i="12"/>
  <c r="R144" i="12"/>
  <c r="N144" i="12"/>
  <c r="K144" i="12"/>
  <c r="H144" i="12"/>
  <c r="E144" i="12"/>
  <c r="R143" i="12"/>
  <c r="N143" i="12"/>
  <c r="K143" i="12"/>
  <c r="H143" i="12"/>
  <c r="E143" i="12"/>
  <c r="R142" i="12"/>
  <c r="N142" i="12"/>
  <c r="K142" i="12"/>
  <c r="H142" i="12"/>
  <c r="E142" i="12"/>
  <c r="Q139" i="12"/>
  <c r="Q150" i="12" s="1"/>
  <c r="O139" i="12"/>
  <c r="O150" i="12" s="1"/>
  <c r="M139" i="12"/>
  <c r="M150" i="12" s="1"/>
  <c r="L139" i="12"/>
  <c r="L150" i="12" s="1"/>
  <c r="J139" i="12"/>
  <c r="J150" i="12" s="1"/>
  <c r="I139" i="12"/>
  <c r="I150" i="12" s="1"/>
  <c r="G139" i="12"/>
  <c r="G150" i="12" s="1"/>
  <c r="F139" i="12"/>
  <c r="F150" i="12" s="1"/>
  <c r="D139" i="12"/>
  <c r="D150" i="12" s="1"/>
  <c r="C139" i="12"/>
  <c r="C150" i="12" s="1"/>
  <c r="R138" i="12"/>
  <c r="R137" i="12"/>
  <c r="N137" i="12"/>
  <c r="K137" i="12"/>
  <c r="H137" i="12"/>
  <c r="E137" i="12"/>
  <c r="R136" i="12"/>
  <c r="N136" i="12"/>
  <c r="K136" i="12"/>
  <c r="H136" i="12"/>
  <c r="E136" i="12"/>
  <c r="R135" i="12"/>
  <c r="N135" i="12"/>
  <c r="K135" i="12"/>
  <c r="H135" i="12"/>
  <c r="E135" i="12"/>
  <c r="R134" i="12"/>
  <c r="N134" i="12"/>
  <c r="K134" i="12"/>
  <c r="H134" i="12"/>
  <c r="E134" i="12"/>
  <c r="Q131" i="12"/>
  <c r="O131" i="12"/>
  <c r="M131" i="12"/>
  <c r="L131" i="12"/>
  <c r="J131" i="12"/>
  <c r="I131" i="12"/>
  <c r="G131" i="12"/>
  <c r="F131" i="12"/>
  <c r="D131" i="12"/>
  <c r="C131" i="12"/>
  <c r="R130" i="12"/>
  <c r="K130" i="12"/>
  <c r="H130" i="12"/>
  <c r="E130" i="12"/>
  <c r="R129" i="12"/>
  <c r="R128" i="12"/>
  <c r="K128" i="12"/>
  <c r="H128" i="12"/>
  <c r="R127" i="12"/>
  <c r="R126" i="12"/>
  <c r="R125" i="12"/>
  <c r="K125" i="12"/>
  <c r="H125" i="12"/>
  <c r="E125" i="12"/>
  <c r="R124" i="12"/>
  <c r="R123" i="12"/>
  <c r="R122" i="12"/>
  <c r="Q120" i="12"/>
  <c r="O120" i="12"/>
  <c r="M120" i="12"/>
  <c r="L120" i="12"/>
  <c r="J120" i="12"/>
  <c r="I120" i="12"/>
  <c r="G120" i="12"/>
  <c r="F120" i="12"/>
  <c r="D120" i="12"/>
  <c r="D19" i="12" s="1"/>
  <c r="C120" i="12"/>
  <c r="R119" i="12"/>
  <c r="K119" i="12"/>
  <c r="H119" i="12"/>
  <c r="E119" i="12"/>
  <c r="R118" i="12"/>
  <c r="K118" i="12"/>
  <c r="H118" i="12"/>
  <c r="E118" i="12"/>
  <c r="R117" i="12"/>
  <c r="K117" i="12"/>
  <c r="H117" i="12"/>
  <c r="E117" i="12"/>
  <c r="R116" i="12"/>
  <c r="K116" i="12"/>
  <c r="H116" i="12"/>
  <c r="E116" i="12"/>
  <c r="R115" i="12"/>
  <c r="N115" i="12"/>
  <c r="K115" i="12"/>
  <c r="H115" i="12"/>
  <c r="E115" i="12"/>
  <c r="R114" i="12"/>
  <c r="R113" i="12"/>
  <c r="R112" i="12"/>
  <c r="R111" i="12"/>
  <c r="K111" i="12"/>
  <c r="H111" i="12"/>
  <c r="E111" i="12"/>
  <c r="R110" i="12"/>
  <c r="K110" i="12"/>
  <c r="E110" i="12"/>
  <c r="R109" i="12"/>
  <c r="R108" i="12"/>
  <c r="R107" i="12"/>
  <c r="N107" i="12"/>
  <c r="K107" i="12"/>
  <c r="H107" i="12"/>
  <c r="E107" i="12"/>
  <c r="R106" i="12"/>
  <c r="K106" i="12"/>
  <c r="H106" i="12"/>
  <c r="E106" i="12"/>
  <c r="R105" i="12"/>
  <c r="R104" i="12"/>
  <c r="N104" i="12"/>
  <c r="K104" i="12"/>
  <c r="E104" i="12"/>
  <c r="R103" i="12"/>
  <c r="R102" i="12"/>
  <c r="N102" i="12"/>
  <c r="K102" i="12"/>
  <c r="H102" i="12"/>
  <c r="E102" i="12"/>
  <c r="R101" i="12"/>
  <c r="R100" i="12"/>
  <c r="R99" i="12"/>
  <c r="N99" i="12"/>
  <c r="K99" i="12"/>
  <c r="H99" i="12"/>
  <c r="E99" i="12"/>
  <c r="R98" i="12"/>
  <c r="R97" i="12"/>
  <c r="R96" i="12"/>
  <c r="R95" i="12"/>
  <c r="N95" i="12"/>
  <c r="K95" i="12"/>
  <c r="H95" i="12"/>
  <c r="E95" i="12"/>
  <c r="Q92" i="12"/>
  <c r="O92" i="12"/>
  <c r="M92" i="12"/>
  <c r="L92" i="12"/>
  <c r="J92" i="12"/>
  <c r="I92" i="12"/>
  <c r="G92" i="12"/>
  <c r="F92" i="12"/>
  <c r="D92" i="12"/>
  <c r="C92" i="12"/>
  <c r="R91" i="12"/>
  <c r="N91" i="12"/>
  <c r="K91" i="12"/>
  <c r="H91" i="12"/>
  <c r="E91" i="12"/>
  <c r="R90" i="12"/>
  <c r="N90" i="12"/>
  <c r="K90" i="12"/>
  <c r="H90" i="12"/>
  <c r="E90" i="12"/>
  <c r="R89" i="12"/>
  <c r="K89" i="12"/>
  <c r="H89" i="12"/>
  <c r="E89" i="12"/>
  <c r="R88" i="12"/>
  <c r="N88" i="12"/>
  <c r="K88" i="12"/>
  <c r="H88" i="12"/>
  <c r="E88" i="12"/>
  <c r="R87" i="12"/>
  <c r="K87" i="12"/>
  <c r="E87" i="12"/>
  <c r="R86" i="12"/>
  <c r="R85" i="12"/>
  <c r="K85" i="12"/>
  <c r="H85" i="12"/>
  <c r="E85" i="12"/>
  <c r="R84" i="12"/>
  <c r="K84" i="12"/>
  <c r="H84" i="12"/>
  <c r="E84" i="12"/>
  <c r="R83" i="12"/>
  <c r="N83" i="12"/>
  <c r="K83" i="12"/>
  <c r="H83" i="12"/>
  <c r="E83" i="12"/>
  <c r="R82" i="12"/>
  <c r="N82" i="12"/>
  <c r="K82" i="12"/>
  <c r="H82" i="12"/>
  <c r="E82" i="12"/>
  <c r="R81" i="12"/>
  <c r="K81" i="12"/>
  <c r="H81" i="12"/>
  <c r="E81" i="12"/>
  <c r="Q77" i="12"/>
  <c r="O77" i="12"/>
  <c r="M77" i="12"/>
  <c r="L77" i="12"/>
  <c r="J77" i="12"/>
  <c r="I77" i="12"/>
  <c r="G77" i="12"/>
  <c r="F77" i="12"/>
  <c r="D77" i="12"/>
  <c r="D16" i="12" s="1"/>
  <c r="C77" i="12"/>
  <c r="R76" i="12"/>
  <c r="K76" i="12"/>
  <c r="E76" i="12"/>
  <c r="R75" i="12"/>
  <c r="N75" i="12"/>
  <c r="K75" i="12"/>
  <c r="H75" i="12"/>
  <c r="E75" i="12"/>
  <c r="R74" i="12"/>
  <c r="N74" i="12"/>
  <c r="K74" i="12"/>
  <c r="H74" i="12"/>
  <c r="E74" i="12"/>
  <c r="R73" i="12"/>
  <c r="N73" i="12"/>
  <c r="K73" i="12"/>
  <c r="H73" i="12"/>
  <c r="E73" i="12"/>
  <c r="R72" i="12"/>
  <c r="K72" i="12"/>
  <c r="H72" i="12"/>
  <c r="E72" i="12"/>
  <c r="R71" i="12"/>
  <c r="K71" i="12"/>
  <c r="H71" i="12"/>
  <c r="E71" i="12"/>
  <c r="R70" i="12"/>
  <c r="N70" i="12"/>
  <c r="K70" i="12"/>
  <c r="H70" i="12"/>
  <c r="E70" i="12"/>
  <c r="R69" i="12"/>
  <c r="N69" i="12"/>
  <c r="K69" i="12"/>
  <c r="H69" i="12"/>
  <c r="E69" i="12"/>
  <c r="Q66" i="12"/>
  <c r="O66" i="12"/>
  <c r="O15" i="12" s="1"/>
  <c r="M66" i="12"/>
  <c r="L66" i="12"/>
  <c r="J66" i="12"/>
  <c r="I66" i="12"/>
  <c r="G66" i="12"/>
  <c r="F66" i="12"/>
  <c r="D66" i="12"/>
  <c r="C66" i="12"/>
  <c r="R65" i="12"/>
  <c r="R64" i="12"/>
  <c r="N64" i="12"/>
  <c r="K64" i="12"/>
  <c r="E64" i="12"/>
  <c r="R63" i="12"/>
  <c r="N63" i="12"/>
  <c r="K63" i="12"/>
  <c r="H63" i="12"/>
  <c r="E63" i="12"/>
  <c r="R62" i="12"/>
  <c r="N62" i="12"/>
  <c r="K62" i="12"/>
  <c r="H62" i="12"/>
  <c r="E62" i="12"/>
  <c r="R61" i="12"/>
  <c r="R60" i="12"/>
  <c r="N60" i="12"/>
  <c r="K60" i="12"/>
  <c r="H60" i="12"/>
  <c r="E60" i="12"/>
  <c r="R59" i="12"/>
  <c r="K59" i="12"/>
  <c r="H59" i="12"/>
  <c r="E59" i="12"/>
  <c r="R58" i="12"/>
  <c r="K58" i="12"/>
  <c r="H58" i="12"/>
  <c r="E58" i="12"/>
  <c r="R57" i="12"/>
  <c r="N57" i="12"/>
  <c r="K57" i="12"/>
  <c r="H57" i="12"/>
  <c r="E57" i="12"/>
  <c r="Q54" i="12"/>
  <c r="O54" i="12"/>
  <c r="M54" i="12"/>
  <c r="M14" i="12" s="1"/>
  <c r="L54" i="12"/>
  <c r="J54" i="12"/>
  <c r="J14" i="12" s="1"/>
  <c r="I54" i="12"/>
  <c r="I14" i="12" s="1"/>
  <c r="G54" i="12"/>
  <c r="F54" i="12"/>
  <c r="D54" i="12"/>
  <c r="D14" i="12" s="1"/>
  <c r="C54" i="12"/>
  <c r="R53" i="12"/>
  <c r="R51" i="12"/>
  <c r="N51" i="12"/>
  <c r="K51" i="12"/>
  <c r="H51" i="12"/>
  <c r="E51" i="12"/>
  <c r="R50" i="12"/>
  <c r="K50" i="12"/>
  <c r="H50" i="12"/>
  <c r="E50" i="12"/>
  <c r="R49" i="12"/>
  <c r="K49" i="12"/>
  <c r="H49" i="12"/>
  <c r="E49" i="12"/>
  <c r="R48" i="12"/>
  <c r="N48" i="12"/>
  <c r="K48" i="12"/>
  <c r="E48" i="12"/>
  <c r="R47" i="12"/>
  <c r="N47" i="12"/>
  <c r="K47" i="12"/>
  <c r="E47" i="12"/>
  <c r="R46" i="12"/>
  <c r="N46" i="12"/>
  <c r="K46" i="12"/>
  <c r="E46" i="12"/>
  <c r="R45" i="12"/>
  <c r="K45" i="12"/>
  <c r="H45" i="12"/>
  <c r="E45" i="12"/>
  <c r="R44" i="12"/>
  <c r="K44" i="12"/>
  <c r="H44" i="12"/>
  <c r="E44" i="12"/>
  <c r="R43" i="12"/>
  <c r="R42" i="12"/>
  <c r="N42" i="12"/>
  <c r="K42" i="12"/>
  <c r="H42" i="12"/>
  <c r="E42" i="12"/>
  <c r="R41" i="12"/>
  <c r="N41" i="12"/>
  <c r="K41" i="12"/>
  <c r="H41" i="12"/>
  <c r="E41" i="12"/>
  <c r="R40" i="12"/>
  <c r="N40" i="12"/>
  <c r="K40" i="12"/>
  <c r="H40" i="12"/>
  <c r="E40" i="12"/>
  <c r="R39" i="12"/>
  <c r="N39" i="12"/>
  <c r="K39" i="12"/>
  <c r="H39" i="12"/>
  <c r="E39" i="12"/>
  <c r="R38" i="12"/>
  <c r="E38" i="12"/>
  <c r="R37" i="12"/>
  <c r="N37" i="12"/>
  <c r="K37" i="12"/>
  <c r="H37" i="12"/>
  <c r="E37" i="12"/>
  <c r="Q22" i="12"/>
  <c r="M22" i="12"/>
  <c r="L22" i="12"/>
  <c r="I22" i="12"/>
  <c r="G22" i="12"/>
  <c r="F22" i="12"/>
  <c r="C22" i="12"/>
  <c r="Q20" i="12"/>
  <c r="O20" i="12"/>
  <c r="N20" i="12"/>
  <c r="M20" i="12"/>
  <c r="L20" i="12"/>
  <c r="J20" i="12"/>
  <c r="I20" i="12"/>
  <c r="G20" i="12"/>
  <c r="F20" i="12"/>
  <c r="D20" i="12"/>
  <c r="C20" i="12"/>
  <c r="Q19" i="12"/>
  <c r="O19" i="12"/>
  <c r="M19" i="12"/>
  <c r="L19" i="12"/>
  <c r="J19" i="12"/>
  <c r="I19" i="12"/>
  <c r="G19" i="12"/>
  <c r="F19" i="12"/>
  <c r="C19" i="12"/>
  <c r="Q18" i="12"/>
  <c r="O18" i="12"/>
  <c r="N18" i="12"/>
  <c r="M18" i="12"/>
  <c r="L18" i="12"/>
  <c r="J18" i="12"/>
  <c r="I18" i="12"/>
  <c r="G18" i="12"/>
  <c r="F18" i="12"/>
  <c r="D18" i="12"/>
  <c r="C18" i="12"/>
  <c r="Q17" i="12"/>
  <c r="O17" i="12"/>
  <c r="M17" i="12"/>
  <c r="L17" i="12"/>
  <c r="J17" i="12"/>
  <c r="I17" i="12"/>
  <c r="G17" i="12"/>
  <c r="F17" i="12"/>
  <c r="D17" i="12"/>
  <c r="C17" i="12"/>
  <c r="Q16" i="12"/>
  <c r="O16" i="12"/>
  <c r="M16" i="12"/>
  <c r="L16" i="12"/>
  <c r="J16" i="12"/>
  <c r="I16" i="12"/>
  <c r="G16" i="12"/>
  <c r="F16" i="12"/>
  <c r="C16" i="12"/>
  <c r="Q15" i="12"/>
  <c r="M15" i="12"/>
  <c r="L15" i="12"/>
  <c r="J15" i="12"/>
  <c r="I15" i="12"/>
  <c r="G15" i="12"/>
  <c r="F15" i="12"/>
  <c r="D15" i="12"/>
  <c r="C15" i="12"/>
  <c r="Q14" i="12"/>
  <c r="L14" i="12"/>
  <c r="F14" i="12"/>
  <c r="C14" i="12"/>
  <c r="M13" i="12"/>
  <c r="L13" i="12"/>
  <c r="J13" i="12"/>
  <c r="I13" i="12"/>
  <c r="G13" i="12"/>
  <c r="F13" i="12"/>
  <c r="D13" i="12"/>
  <c r="C13" i="12"/>
  <c r="Q12" i="12"/>
  <c r="M12" i="12"/>
  <c r="L12" i="12"/>
  <c r="J12" i="12"/>
  <c r="I12" i="12"/>
  <c r="G12" i="12"/>
  <c r="F12" i="12"/>
  <c r="D12" i="12"/>
  <c r="C12" i="12"/>
  <c r="Q11" i="12"/>
  <c r="O11" i="12"/>
  <c r="M11" i="12"/>
  <c r="J11" i="12"/>
  <c r="G11" i="12"/>
  <c r="F11" i="12"/>
  <c r="D11" i="12"/>
  <c r="C11" i="12"/>
  <c r="Q10" i="12"/>
  <c r="O10" i="12"/>
  <c r="M10" i="12"/>
  <c r="L10" i="12"/>
  <c r="J10" i="12"/>
  <c r="I10" i="12"/>
  <c r="G10" i="12"/>
  <c r="F10" i="12"/>
  <c r="R131" i="12" l="1"/>
  <c r="P131" i="12" s="1"/>
  <c r="P20" i="12" s="1"/>
  <c r="R149" i="12"/>
  <c r="P149" i="12" s="1"/>
  <c r="P11" i="12" s="1"/>
  <c r="R165" i="12"/>
  <c r="P165" i="12" s="1"/>
  <c r="P18" i="12" s="1"/>
  <c r="R139" i="12"/>
  <c r="C10" i="12"/>
  <c r="N195" i="12"/>
  <c r="N22" i="12" s="1"/>
  <c r="K195" i="12"/>
  <c r="K22" i="12" s="1"/>
  <c r="H195" i="12"/>
  <c r="H22" i="12" s="1"/>
  <c r="E195" i="12"/>
  <c r="E22" i="12" s="1"/>
  <c r="R54" i="12"/>
  <c r="R92" i="12"/>
  <c r="P92" i="12" s="1"/>
  <c r="P17" i="12" s="1"/>
  <c r="N178" i="12"/>
  <c r="N13" i="12" s="1"/>
  <c r="D78" i="12"/>
  <c r="R77" i="12"/>
  <c r="P77" i="12" s="1"/>
  <c r="P16" i="12" s="1"/>
  <c r="O78" i="12"/>
  <c r="F78" i="12"/>
  <c r="M23" i="12"/>
  <c r="R66" i="12"/>
  <c r="P66" i="12" s="1"/>
  <c r="P15" i="12" s="1"/>
  <c r="R15" i="12" s="1"/>
  <c r="M78" i="12"/>
  <c r="G78" i="12"/>
  <c r="J78" i="12"/>
  <c r="H77" i="12"/>
  <c r="H16" i="12" s="1"/>
  <c r="D10" i="12"/>
  <c r="D23" i="12" s="1"/>
  <c r="N77" i="12"/>
  <c r="N16" i="12" s="1"/>
  <c r="K77" i="12"/>
  <c r="K16" i="12" s="1"/>
  <c r="E77" i="12"/>
  <c r="E16" i="12" s="1"/>
  <c r="R120" i="12"/>
  <c r="P120" i="12" s="1"/>
  <c r="P19" i="12" s="1"/>
  <c r="R19" i="12" s="1"/>
  <c r="N66" i="12"/>
  <c r="N15" i="12" s="1"/>
  <c r="K66" i="12"/>
  <c r="K15" i="12" s="1"/>
  <c r="H66" i="12"/>
  <c r="H15" i="12" s="1"/>
  <c r="E66" i="12"/>
  <c r="E15" i="12" s="1"/>
  <c r="R20" i="12"/>
  <c r="K131" i="12"/>
  <c r="K20" i="12" s="1"/>
  <c r="H131" i="12"/>
  <c r="H20" i="12" s="1"/>
  <c r="E131" i="12"/>
  <c r="E20" i="12" s="1"/>
  <c r="K178" i="12"/>
  <c r="K13" i="12" s="1"/>
  <c r="H178" i="12"/>
  <c r="H13" i="12" s="1"/>
  <c r="E178" i="12"/>
  <c r="E13" i="12" s="1"/>
  <c r="N120" i="12"/>
  <c r="N19" i="12" s="1"/>
  <c r="K120" i="12"/>
  <c r="K19" i="12" s="1"/>
  <c r="H120" i="12"/>
  <c r="H19" i="12" s="1"/>
  <c r="E120" i="12"/>
  <c r="E19" i="12" s="1"/>
  <c r="R17" i="12"/>
  <c r="N92" i="12"/>
  <c r="N17" i="12" s="1"/>
  <c r="K92" i="12"/>
  <c r="K17" i="12" s="1"/>
  <c r="H92" i="12"/>
  <c r="H17" i="12" s="1"/>
  <c r="E92" i="12"/>
  <c r="E17" i="12" s="1"/>
  <c r="N159" i="12"/>
  <c r="N12" i="12" s="1"/>
  <c r="K159" i="12"/>
  <c r="K12" i="12" s="1"/>
  <c r="H159" i="12"/>
  <c r="H12" i="12" s="1"/>
  <c r="E159" i="12"/>
  <c r="E12" i="12" s="1"/>
  <c r="K165" i="12"/>
  <c r="K18" i="12" s="1"/>
  <c r="H165" i="12"/>
  <c r="H18" i="12" s="1"/>
  <c r="E165" i="12"/>
  <c r="E18" i="12" s="1"/>
  <c r="J23" i="12"/>
  <c r="F23" i="12"/>
  <c r="I23" i="12"/>
  <c r="H150" i="12"/>
  <c r="O14" i="12"/>
  <c r="O23" i="12" s="1"/>
  <c r="K54" i="12"/>
  <c r="K14" i="12" s="1"/>
  <c r="E54" i="12"/>
  <c r="E14" i="12" s="1"/>
  <c r="N150" i="12"/>
  <c r="N149" i="12"/>
  <c r="N11" i="12" s="1"/>
  <c r="K150" i="12"/>
  <c r="K149" i="12"/>
  <c r="K11" i="12" s="1"/>
  <c r="H149" i="12"/>
  <c r="H11" i="12" s="1"/>
  <c r="E150" i="12"/>
  <c r="E149" i="12"/>
  <c r="E11" i="12" s="1"/>
  <c r="R22" i="12"/>
  <c r="R178" i="12"/>
  <c r="P178" i="12" s="1"/>
  <c r="P13" i="12" s="1"/>
  <c r="R13" i="12" s="1"/>
  <c r="R18" i="12"/>
  <c r="R159" i="12"/>
  <c r="P159" i="12" s="1"/>
  <c r="P12" i="12" s="1"/>
  <c r="R12" i="12" s="1"/>
  <c r="R11" i="12"/>
  <c r="Q23" i="12"/>
  <c r="R16" i="12"/>
  <c r="Q78" i="12"/>
  <c r="L23" i="12"/>
  <c r="N23" i="12" s="1"/>
  <c r="L78" i="12"/>
  <c r="G14" i="12"/>
  <c r="G23" i="12" s="1"/>
  <c r="P54" i="12"/>
  <c r="P14" i="12" s="1"/>
  <c r="R150" i="12"/>
  <c r="P150" i="12" s="1"/>
  <c r="P139" i="12"/>
  <c r="P10" i="12" s="1"/>
  <c r="R10" i="12" s="1"/>
  <c r="H54" i="12"/>
  <c r="H14" i="12" s="1"/>
  <c r="N54" i="12"/>
  <c r="N14" i="12" s="1"/>
  <c r="C78" i="12"/>
  <c r="E78" i="12" s="1"/>
  <c r="I78" i="12"/>
  <c r="H139" i="12"/>
  <c r="H10" i="12" s="1"/>
  <c r="N139" i="12"/>
  <c r="N10" i="12" s="1"/>
  <c r="E139" i="12"/>
  <c r="E10" i="12" s="1"/>
  <c r="K139" i="12"/>
  <c r="K10" i="12" s="1"/>
  <c r="Q197" i="11"/>
  <c r="Q192" i="11"/>
  <c r="Q178" i="11"/>
  <c r="Q165" i="11"/>
  <c r="Q159" i="11"/>
  <c r="Q149" i="11"/>
  <c r="Q139" i="11"/>
  <c r="Q150" i="11" s="1"/>
  <c r="Q131" i="11"/>
  <c r="Q120" i="11"/>
  <c r="Q92" i="11"/>
  <c r="Q77" i="11"/>
  <c r="Q66" i="11"/>
  <c r="Q78" i="11" s="1"/>
  <c r="Q54" i="11"/>
  <c r="H78" i="12" l="1"/>
  <c r="C23" i="12"/>
  <c r="K78" i="12"/>
  <c r="N78" i="12"/>
  <c r="R78" i="12"/>
  <c r="P78" i="12" s="1"/>
  <c r="E23" i="12"/>
  <c r="H23" i="12"/>
  <c r="K23" i="12"/>
  <c r="R14" i="12"/>
  <c r="R23" i="12" s="1"/>
  <c r="P23" i="12" s="1"/>
  <c r="E38" i="11"/>
  <c r="E76" i="11"/>
  <c r="E82" i="11"/>
  <c r="O197" i="11"/>
  <c r="M197" i="11"/>
  <c r="L197" i="11"/>
  <c r="J197" i="11"/>
  <c r="I197" i="11"/>
  <c r="G197" i="11"/>
  <c r="F197" i="11"/>
  <c r="D197" i="11"/>
  <c r="C197" i="11"/>
  <c r="R196" i="11"/>
  <c r="R197" i="11" s="1"/>
  <c r="P197" i="11" s="1"/>
  <c r="N196" i="11"/>
  <c r="K196" i="11"/>
  <c r="H196" i="11"/>
  <c r="E196" i="11"/>
  <c r="R195" i="11"/>
  <c r="N195" i="11"/>
  <c r="K195" i="11"/>
  <c r="H195" i="11"/>
  <c r="E195" i="11"/>
  <c r="O192" i="11"/>
  <c r="M192" i="11"/>
  <c r="L192" i="11"/>
  <c r="N192" i="11" s="1"/>
  <c r="J192" i="11"/>
  <c r="I192" i="11"/>
  <c r="K192" i="11" s="1"/>
  <c r="K21" i="11" s="1"/>
  <c r="G192" i="11"/>
  <c r="F192" i="11"/>
  <c r="H192" i="11" s="1"/>
  <c r="D192" i="11"/>
  <c r="C192" i="11"/>
  <c r="E192" i="11" s="1"/>
  <c r="E21" i="11" s="1"/>
  <c r="R191" i="11"/>
  <c r="N191" i="11"/>
  <c r="K191" i="11"/>
  <c r="H191" i="11"/>
  <c r="E191" i="11"/>
  <c r="R190" i="11"/>
  <c r="N190" i="11"/>
  <c r="K190" i="11"/>
  <c r="H190" i="11"/>
  <c r="E190" i="11"/>
  <c r="R189" i="11"/>
  <c r="N189" i="11"/>
  <c r="K189" i="11"/>
  <c r="H189" i="11"/>
  <c r="E189" i="11"/>
  <c r="R188" i="11"/>
  <c r="N188" i="11"/>
  <c r="K188" i="11"/>
  <c r="H188" i="11"/>
  <c r="E188" i="11"/>
  <c r="R187" i="11"/>
  <c r="R186" i="11"/>
  <c r="N186" i="11"/>
  <c r="K186" i="11"/>
  <c r="H186" i="11"/>
  <c r="E186" i="11"/>
  <c r="R185" i="11"/>
  <c r="N185" i="11"/>
  <c r="K185" i="11"/>
  <c r="H185" i="11"/>
  <c r="E185" i="11"/>
  <c r="R184" i="11"/>
  <c r="N184" i="11"/>
  <c r="K184" i="11"/>
  <c r="H184" i="11"/>
  <c r="E184" i="11"/>
  <c r="R183" i="11"/>
  <c r="R182" i="11"/>
  <c r="N182" i="11"/>
  <c r="K182" i="11"/>
  <c r="H182" i="11"/>
  <c r="E182" i="11"/>
  <c r="R181" i="11"/>
  <c r="R192" i="11" s="1"/>
  <c r="P192" i="11" s="1"/>
  <c r="N181" i="11"/>
  <c r="K181" i="11"/>
  <c r="H181" i="11"/>
  <c r="E181" i="11"/>
  <c r="O178" i="11"/>
  <c r="J178" i="11"/>
  <c r="I178" i="11"/>
  <c r="G178" i="11"/>
  <c r="F178" i="11"/>
  <c r="D178" i="11"/>
  <c r="C178" i="11"/>
  <c r="R177" i="11"/>
  <c r="M178" i="11"/>
  <c r="N177" i="11"/>
  <c r="K177" i="11"/>
  <c r="H177" i="11"/>
  <c r="E177" i="11"/>
  <c r="R176" i="11"/>
  <c r="N176" i="11"/>
  <c r="K176" i="11"/>
  <c r="H176" i="11"/>
  <c r="E176" i="11"/>
  <c r="R175" i="11"/>
  <c r="N175" i="11"/>
  <c r="K175" i="11"/>
  <c r="H175" i="11"/>
  <c r="E175" i="11"/>
  <c r="R174" i="11"/>
  <c r="N174" i="11"/>
  <c r="K174" i="11"/>
  <c r="H174" i="11"/>
  <c r="E174" i="11"/>
  <c r="R173" i="11"/>
  <c r="R172" i="11"/>
  <c r="N172" i="11"/>
  <c r="K172" i="11"/>
  <c r="H172" i="11"/>
  <c r="E172" i="11"/>
  <c r="R171" i="11"/>
  <c r="N171" i="11"/>
  <c r="K171" i="11"/>
  <c r="H171" i="11"/>
  <c r="E171" i="11"/>
  <c r="R170" i="11"/>
  <c r="N170" i="11"/>
  <c r="K170" i="11"/>
  <c r="E170" i="11"/>
  <c r="R169" i="11"/>
  <c r="N169" i="11"/>
  <c r="K169" i="11"/>
  <c r="H169" i="11"/>
  <c r="E169" i="11"/>
  <c r="R168" i="11"/>
  <c r="R178" i="11" s="1"/>
  <c r="P178" i="11" s="1"/>
  <c r="K168" i="11"/>
  <c r="H168" i="11"/>
  <c r="E168" i="11"/>
  <c r="O165" i="11"/>
  <c r="J165" i="11"/>
  <c r="I165" i="11"/>
  <c r="G165" i="11"/>
  <c r="F165" i="11"/>
  <c r="D165" i="11"/>
  <c r="C165" i="11"/>
  <c r="R164" i="11"/>
  <c r="K164" i="11"/>
  <c r="H164" i="11"/>
  <c r="E164" i="11"/>
  <c r="R163" i="11"/>
  <c r="R162" i="11"/>
  <c r="R165" i="11" s="1"/>
  <c r="P165" i="11" s="1"/>
  <c r="M165" i="11"/>
  <c r="M18" i="11" s="1"/>
  <c r="L165" i="11"/>
  <c r="K162" i="11"/>
  <c r="H162" i="11"/>
  <c r="E162" i="11"/>
  <c r="O159" i="11"/>
  <c r="M159" i="11"/>
  <c r="L159" i="11"/>
  <c r="J159" i="11"/>
  <c r="I159" i="11"/>
  <c r="G159" i="11"/>
  <c r="F159" i="11"/>
  <c r="D159" i="11"/>
  <c r="C159" i="11"/>
  <c r="R158" i="11"/>
  <c r="K158" i="11"/>
  <c r="H158" i="11"/>
  <c r="E158" i="11"/>
  <c r="R157" i="11"/>
  <c r="N157" i="11"/>
  <c r="K157" i="11"/>
  <c r="H157" i="11"/>
  <c r="E157" i="11"/>
  <c r="R156" i="11"/>
  <c r="R155" i="11"/>
  <c r="N155" i="11"/>
  <c r="K155" i="11"/>
  <c r="H155" i="11"/>
  <c r="E155" i="11"/>
  <c r="R154" i="11"/>
  <c r="R159" i="11" s="1"/>
  <c r="P159" i="11" s="1"/>
  <c r="K154" i="11"/>
  <c r="H154" i="11"/>
  <c r="E154" i="11"/>
  <c r="O149" i="11"/>
  <c r="M149" i="11"/>
  <c r="L149" i="11"/>
  <c r="J149" i="11"/>
  <c r="I149" i="11"/>
  <c r="G149" i="11"/>
  <c r="F149" i="11"/>
  <c r="D149" i="11"/>
  <c r="C149" i="11"/>
  <c r="R148" i="11"/>
  <c r="R147" i="11"/>
  <c r="N147" i="11"/>
  <c r="K147" i="11"/>
  <c r="H147" i="11"/>
  <c r="E147" i="11"/>
  <c r="R146" i="11"/>
  <c r="N146" i="11"/>
  <c r="K146" i="11"/>
  <c r="H146" i="11"/>
  <c r="E146" i="11"/>
  <c r="R145" i="11"/>
  <c r="K145" i="11"/>
  <c r="H145" i="11"/>
  <c r="E145" i="11"/>
  <c r="R144" i="11"/>
  <c r="N144" i="11"/>
  <c r="K144" i="11"/>
  <c r="H144" i="11"/>
  <c r="E144" i="11"/>
  <c r="R143" i="11"/>
  <c r="N143" i="11"/>
  <c r="K143" i="11"/>
  <c r="H143" i="11"/>
  <c r="E143" i="11"/>
  <c r="R142" i="11"/>
  <c r="R149" i="11" s="1"/>
  <c r="P149" i="11" s="1"/>
  <c r="N142" i="11"/>
  <c r="K142" i="11"/>
  <c r="H142" i="11"/>
  <c r="E142" i="11"/>
  <c r="O139" i="11"/>
  <c r="O150" i="11" s="1"/>
  <c r="M139" i="11"/>
  <c r="M150" i="11" s="1"/>
  <c r="J139" i="11"/>
  <c r="I139" i="11"/>
  <c r="G139" i="11"/>
  <c r="F139" i="11"/>
  <c r="D139" i="11"/>
  <c r="C139" i="11"/>
  <c r="R138" i="11"/>
  <c r="N138" i="11"/>
  <c r="K138" i="11"/>
  <c r="H138" i="11"/>
  <c r="E138" i="11"/>
  <c r="R137" i="11"/>
  <c r="N137" i="11"/>
  <c r="K137" i="11"/>
  <c r="H137" i="11"/>
  <c r="E137" i="11"/>
  <c r="R136" i="11"/>
  <c r="N136" i="11"/>
  <c r="K136" i="11"/>
  <c r="H136" i="11"/>
  <c r="E136" i="11"/>
  <c r="R135" i="11"/>
  <c r="R139" i="11" s="1"/>
  <c r="N135" i="11"/>
  <c r="K135" i="11"/>
  <c r="H135" i="11"/>
  <c r="E135" i="11"/>
  <c r="R134" i="11"/>
  <c r="N134" i="11"/>
  <c r="K134" i="11"/>
  <c r="H134" i="11"/>
  <c r="E134" i="11"/>
  <c r="O131" i="11"/>
  <c r="M131" i="11"/>
  <c r="L131" i="11"/>
  <c r="J131" i="11"/>
  <c r="I131" i="11"/>
  <c r="G131" i="11"/>
  <c r="F131" i="11"/>
  <c r="D131" i="11"/>
  <c r="C131" i="11"/>
  <c r="R130" i="11"/>
  <c r="K130" i="11"/>
  <c r="H130" i="11"/>
  <c r="E130" i="11"/>
  <c r="R129" i="11"/>
  <c r="R128" i="11"/>
  <c r="K128" i="11"/>
  <c r="H128" i="11"/>
  <c r="E128" i="11"/>
  <c r="R127" i="11"/>
  <c r="R126" i="11"/>
  <c r="R125" i="11"/>
  <c r="K125" i="11"/>
  <c r="H125" i="11"/>
  <c r="E125" i="11"/>
  <c r="R124" i="11"/>
  <c r="R131" i="11" s="1"/>
  <c r="P131" i="11" s="1"/>
  <c r="R123" i="11"/>
  <c r="R122" i="11"/>
  <c r="O120" i="11"/>
  <c r="J120" i="11"/>
  <c r="I120" i="11"/>
  <c r="G120" i="11"/>
  <c r="F120" i="11"/>
  <c r="D120" i="11"/>
  <c r="C120" i="11"/>
  <c r="R119" i="11"/>
  <c r="K119" i="11"/>
  <c r="H119" i="11"/>
  <c r="E119" i="11"/>
  <c r="R118" i="11"/>
  <c r="K118" i="11"/>
  <c r="H118" i="11"/>
  <c r="E118" i="11"/>
  <c r="R117" i="11"/>
  <c r="K117" i="11"/>
  <c r="H117" i="11"/>
  <c r="E117" i="11"/>
  <c r="R116" i="11"/>
  <c r="K116" i="11"/>
  <c r="H116" i="11"/>
  <c r="E116" i="11"/>
  <c r="R115" i="11"/>
  <c r="N115" i="11"/>
  <c r="K115" i="11"/>
  <c r="H115" i="11"/>
  <c r="E115" i="11"/>
  <c r="R114" i="11"/>
  <c r="R113" i="11"/>
  <c r="R112" i="11"/>
  <c r="N112" i="11"/>
  <c r="K112" i="11"/>
  <c r="H112" i="11"/>
  <c r="E112" i="11"/>
  <c r="R111" i="11"/>
  <c r="K111" i="11"/>
  <c r="H111" i="11"/>
  <c r="E111" i="11"/>
  <c r="R110" i="11"/>
  <c r="K110" i="11"/>
  <c r="H110" i="11"/>
  <c r="E110" i="11"/>
  <c r="R109" i="11"/>
  <c r="R108" i="11"/>
  <c r="R107" i="11"/>
  <c r="N107" i="11"/>
  <c r="K107" i="11"/>
  <c r="H107" i="11"/>
  <c r="E107" i="11"/>
  <c r="R106" i="11"/>
  <c r="K106" i="11"/>
  <c r="H106" i="11"/>
  <c r="E106" i="11"/>
  <c r="R105" i="11"/>
  <c r="R104" i="11"/>
  <c r="N104" i="11"/>
  <c r="K104" i="11"/>
  <c r="H104" i="11"/>
  <c r="E104" i="11"/>
  <c r="R103" i="11"/>
  <c r="R102" i="11"/>
  <c r="N102" i="11"/>
  <c r="L120" i="11"/>
  <c r="K102" i="11"/>
  <c r="H102" i="11"/>
  <c r="E102" i="11"/>
  <c r="R101" i="11"/>
  <c r="R100" i="11"/>
  <c r="R99" i="11"/>
  <c r="N99" i="11"/>
  <c r="K99" i="11"/>
  <c r="H99" i="11"/>
  <c r="E99" i="11"/>
  <c r="R98" i="11"/>
  <c r="K98" i="11"/>
  <c r="E98" i="11"/>
  <c r="R97" i="11"/>
  <c r="R96" i="11"/>
  <c r="R95" i="11"/>
  <c r="N95" i="11"/>
  <c r="K95" i="11"/>
  <c r="H95" i="11"/>
  <c r="E95" i="11"/>
  <c r="O92" i="11"/>
  <c r="J92" i="11"/>
  <c r="I92" i="11"/>
  <c r="G92" i="11"/>
  <c r="F92" i="11"/>
  <c r="D92" i="11"/>
  <c r="C92" i="11"/>
  <c r="C17" i="11" s="1"/>
  <c r="R91" i="11"/>
  <c r="N91" i="11"/>
  <c r="K91" i="11"/>
  <c r="H91" i="11"/>
  <c r="E91" i="11"/>
  <c r="R90" i="11"/>
  <c r="M92" i="11"/>
  <c r="M17" i="11" s="1"/>
  <c r="L92" i="11"/>
  <c r="K90" i="11"/>
  <c r="H90" i="11"/>
  <c r="E90" i="11"/>
  <c r="R89" i="11"/>
  <c r="K89" i="11"/>
  <c r="H89" i="11"/>
  <c r="E89" i="11"/>
  <c r="R88" i="11"/>
  <c r="N88" i="11"/>
  <c r="K88" i="11"/>
  <c r="H88" i="11"/>
  <c r="E88" i="11"/>
  <c r="R87" i="11"/>
  <c r="K87" i="11"/>
  <c r="H87" i="11"/>
  <c r="E87" i="11"/>
  <c r="R86" i="11"/>
  <c r="R85" i="11"/>
  <c r="K85" i="11"/>
  <c r="H85" i="11"/>
  <c r="E85" i="11"/>
  <c r="R84" i="11"/>
  <c r="N84" i="11"/>
  <c r="K84" i="11"/>
  <c r="H84" i="11"/>
  <c r="E84" i="11"/>
  <c r="R83" i="11"/>
  <c r="N83" i="11"/>
  <c r="K83" i="11"/>
  <c r="H83" i="11"/>
  <c r="E83" i="11"/>
  <c r="R82" i="11"/>
  <c r="R92" i="11" s="1"/>
  <c r="P92" i="11" s="1"/>
  <c r="N82" i="11"/>
  <c r="K82" i="11"/>
  <c r="H82" i="11"/>
  <c r="R81" i="11"/>
  <c r="K81" i="11"/>
  <c r="H81" i="11"/>
  <c r="E81" i="11"/>
  <c r="O77" i="11"/>
  <c r="J77" i="11"/>
  <c r="J16" i="11" s="1"/>
  <c r="I77" i="11"/>
  <c r="G77" i="11"/>
  <c r="F77" i="11"/>
  <c r="D77" i="11"/>
  <c r="C77" i="11"/>
  <c r="R76" i="11"/>
  <c r="K76" i="11"/>
  <c r="R75" i="11"/>
  <c r="N75" i="11"/>
  <c r="K75" i="11"/>
  <c r="H75" i="11"/>
  <c r="E75" i="11"/>
  <c r="R74" i="11"/>
  <c r="N74" i="11"/>
  <c r="K74" i="11"/>
  <c r="H74" i="11"/>
  <c r="E74" i="11"/>
  <c r="R73" i="11"/>
  <c r="M77" i="11"/>
  <c r="L77" i="11"/>
  <c r="K73" i="11"/>
  <c r="H73" i="11"/>
  <c r="E73" i="11"/>
  <c r="R72" i="11"/>
  <c r="K72" i="11"/>
  <c r="H72" i="11"/>
  <c r="E72" i="11"/>
  <c r="R71" i="11"/>
  <c r="K71" i="11"/>
  <c r="H71" i="11"/>
  <c r="E71" i="11"/>
  <c r="R70" i="11"/>
  <c r="N70" i="11"/>
  <c r="K70" i="11"/>
  <c r="H70" i="11"/>
  <c r="E70" i="11"/>
  <c r="R69" i="11"/>
  <c r="N69" i="11"/>
  <c r="K69" i="11"/>
  <c r="H69" i="11"/>
  <c r="E69" i="11"/>
  <c r="O66" i="11"/>
  <c r="M66" i="11"/>
  <c r="L66" i="11"/>
  <c r="J66" i="11"/>
  <c r="I66" i="11"/>
  <c r="G66" i="11"/>
  <c r="F66" i="11"/>
  <c r="D66" i="11"/>
  <c r="C66" i="11"/>
  <c r="R65" i="11"/>
  <c r="R64" i="11"/>
  <c r="N64" i="11"/>
  <c r="K64" i="11"/>
  <c r="H64" i="11"/>
  <c r="E64" i="11"/>
  <c r="R63" i="11"/>
  <c r="N63" i="11"/>
  <c r="K63" i="11"/>
  <c r="H63" i="11"/>
  <c r="E63" i="11"/>
  <c r="R62" i="11"/>
  <c r="N62" i="11"/>
  <c r="K62" i="11"/>
  <c r="H62" i="11"/>
  <c r="E62" i="11"/>
  <c r="R61" i="11"/>
  <c r="R60" i="11"/>
  <c r="N60" i="11"/>
  <c r="K60" i="11"/>
  <c r="H60" i="11"/>
  <c r="E60" i="11"/>
  <c r="R59" i="11"/>
  <c r="K59" i="11"/>
  <c r="H59" i="11"/>
  <c r="E59" i="11"/>
  <c r="R58" i="11"/>
  <c r="K58" i="11"/>
  <c r="H58" i="11"/>
  <c r="E58" i="11"/>
  <c r="R57" i="11"/>
  <c r="N57" i="11"/>
  <c r="K57" i="11"/>
  <c r="H57" i="11"/>
  <c r="E57" i="11"/>
  <c r="O54" i="11"/>
  <c r="O78" i="11" s="1"/>
  <c r="M54" i="11"/>
  <c r="J54" i="11"/>
  <c r="I54" i="11"/>
  <c r="I78" i="11" s="1"/>
  <c r="G54" i="11"/>
  <c r="G78" i="11" s="1"/>
  <c r="F54" i="11"/>
  <c r="D54" i="11"/>
  <c r="D78" i="11" s="1"/>
  <c r="C54" i="11"/>
  <c r="C78" i="11" s="1"/>
  <c r="R53" i="11"/>
  <c r="R52" i="11"/>
  <c r="K52" i="11"/>
  <c r="E52" i="11"/>
  <c r="R51" i="11"/>
  <c r="N51" i="11"/>
  <c r="K51" i="11"/>
  <c r="H51" i="11"/>
  <c r="E51" i="11"/>
  <c r="R50" i="11"/>
  <c r="K50" i="11"/>
  <c r="H50" i="11"/>
  <c r="E50" i="11"/>
  <c r="R49" i="11"/>
  <c r="K49" i="11"/>
  <c r="H49" i="11"/>
  <c r="E49" i="11"/>
  <c r="R48" i="11"/>
  <c r="N48" i="11"/>
  <c r="K48" i="11"/>
  <c r="H48" i="11"/>
  <c r="E48" i="11"/>
  <c r="R47" i="11"/>
  <c r="N47" i="11"/>
  <c r="K47" i="11"/>
  <c r="H47" i="11"/>
  <c r="E47" i="11"/>
  <c r="R46" i="11"/>
  <c r="N46" i="11"/>
  <c r="K46" i="11"/>
  <c r="H46" i="11"/>
  <c r="E46" i="11"/>
  <c r="R45" i="11"/>
  <c r="K45" i="11"/>
  <c r="H45" i="11"/>
  <c r="E45" i="11"/>
  <c r="R44" i="11"/>
  <c r="K44" i="11"/>
  <c r="H44" i="11"/>
  <c r="E44" i="11"/>
  <c r="R43" i="11"/>
  <c r="K43" i="11"/>
  <c r="E43" i="11"/>
  <c r="R42" i="11"/>
  <c r="N42" i="11"/>
  <c r="K42" i="11"/>
  <c r="H42" i="11"/>
  <c r="E42" i="11"/>
  <c r="R41" i="11"/>
  <c r="L54" i="11"/>
  <c r="L14" i="11" s="1"/>
  <c r="K41" i="11"/>
  <c r="H41" i="11"/>
  <c r="E41" i="11"/>
  <c r="R40" i="11"/>
  <c r="N40" i="11"/>
  <c r="K40" i="11"/>
  <c r="H40" i="11"/>
  <c r="E40" i="11"/>
  <c r="R39" i="11"/>
  <c r="N39" i="11"/>
  <c r="K39" i="11"/>
  <c r="H39" i="11"/>
  <c r="E39" i="11"/>
  <c r="R38" i="11"/>
  <c r="R37" i="11"/>
  <c r="N37" i="11"/>
  <c r="K37" i="11"/>
  <c r="H37" i="11"/>
  <c r="E37" i="11"/>
  <c r="Q22" i="11"/>
  <c r="P22" i="11"/>
  <c r="R22" i="11" s="1"/>
  <c r="O22" i="11"/>
  <c r="M22" i="11"/>
  <c r="L22" i="11"/>
  <c r="J22" i="11"/>
  <c r="I22" i="11"/>
  <c r="G22" i="11"/>
  <c r="F22" i="11"/>
  <c r="D22" i="11"/>
  <c r="C22" i="11"/>
  <c r="Q21" i="11"/>
  <c r="P21" i="11"/>
  <c r="R21" i="11" s="1"/>
  <c r="O21" i="11"/>
  <c r="N21" i="11"/>
  <c r="M21" i="11"/>
  <c r="L21" i="11"/>
  <c r="J21" i="11"/>
  <c r="I21" i="11"/>
  <c r="H21" i="11"/>
  <c r="G21" i="11"/>
  <c r="F21" i="11"/>
  <c r="D21" i="11"/>
  <c r="C21" i="11"/>
  <c r="Q20" i="11"/>
  <c r="P20" i="11"/>
  <c r="R20" i="11" s="1"/>
  <c r="O20" i="11"/>
  <c r="N20" i="11"/>
  <c r="M20" i="11"/>
  <c r="L20" i="11"/>
  <c r="J20" i="11"/>
  <c r="I20" i="11"/>
  <c r="G20" i="11"/>
  <c r="F20" i="11"/>
  <c r="D20" i="11"/>
  <c r="C20" i="11"/>
  <c r="Q19" i="11"/>
  <c r="O19" i="11"/>
  <c r="L19" i="11"/>
  <c r="J19" i="11"/>
  <c r="I19" i="11"/>
  <c r="G19" i="11"/>
  <c r="F19" i="11"/>
  <c r="D19" i="11"/>
  <c r="C19" i="11"/>
  <c r="Q18" i="11"/>
  <c r="P18" i="11"/>
  <c r="R18" i="11" s="1"/>
  <c r="O18" i="11"/>
  <c r="N18" i="11"/>
  <c r="L18" i="11"/>
  <c r="J18" i="11"/>
  <c r="I18" i="11"/>
  <c r="G18" i="11"/>
  <c r="F18" i="11"/>
  <c r="D18" i="11"/>
  <c r="C18" i="11"/>
  <c r="Q17" i="11"/>
  <c r="P17" i="11"/>
  <c r="O17" i="11"/>
  <c r="L17" i="11"/>
  <c r="J17" i="11"/>
  <c r="I17" i="11"/>
  <c r="G17" i="11"/>
  <c r="F17" i="11"/>
  <c r="D17" i="11"/>
  <c r="Q16" i="11"/>
  <c r="O16" i="11"/>
  <c r="M16" i="11"/>
  <c r="L16" i="11"/>
  <c r="I16" i="11"/>
  <c r="G16" i="11"/>
  <c r="F16" i="11"/>
  <c r="D16" i="11"/>
  <c r="C16" i="11"/>
  <c r="Q15" i="11"/>
  <c r="O15" i="11"/>
  <c r="M15" i="11"/>
  <c r="L15" i="11"/>
  <c r="J15" i="11"/>
  <c r="I15" i="11"/>
  <c r="G15" i="11"/>
  <c r="F15" i="11"/>
  <c r="D15" i="11"/>
  <c r="C15" i="11"/>
  <c r="Q14" i="11"/>
  <c r="O14" i="11"/>
  <c r="M14" i="11"/>
  <c r="J14" i="11"/>
  <c r="I14" i="11"/>
  <c r="G14" i="11"/>
  <c r="F14" i="11"/>
  <c r="D14" i="11"/>
  <c r="Q13" i="11"/>
  <c r="P13" i="11"/>
  <c r="O13" i="11"/>
  <c r="M13" i="11"/>
  <c r="J13" i="11"/>
  <c r="I13" i="11"/>
  <c r="G13" i="11"/>
  <c r="F13" i="11"/>
  <c r="D13" i="11"/>
  <c r="C13" i="11"/>
  <c r="Q12" i="11"/>
  <c r="P12" i="11"/>
  <c r="O12" i="11"/>
  <c r="R12" i="11" s="1"/>
  <c r="M12" i="11"/>
  <c r="L12" i="11"/>
  <c r="J12" i="11"/>
  <c r="I12" i="11"/>
  <c r="G12" i="11"/>
  <c r="F12" i="11"/>
  <c r="D12" i="11"/>
  <c r="C12" i="11"/>
  <c r="Q11" i="11"/>
  <c r="P11" i="11"/>
  <c r="O11" i="11"/>
  <c r="R11" i="11" s="1"/>
  <c r="M11" i="11"/>
  <c r="L11" i="11"/>
  <c r="J11" i="11"/>
  <c r="I11" i="11"/>
  <c r="G11" i="11"/>
  <c r="F11" i="11"/>
  <c r="D11" i="11"/>
  <c r="C11" i="11"/>
  <c r="Q10" i="11"/>
  <c r="Q23" i="11" s="1"/>
  <c r="O10" i="11"/>
  <c r="M10" i="11"/>
  <c r="J10" i="11"/>
  <c r="I10" i="11"/>
  <c r="G10" i="11"/>
  <c r="F10" i="11"/>
  <c r="D10" i="11"/>
  <c r="C10" i="11"/>
  <c r="C14" i="11" l="1"/>
  <c r="C23" i="11" s="1"/>
  <c r="F78" i="11"/>
  <c r="J150" i="11"/>
  <c r="D150" i="11"/>
  <c r="K165" i="11"/>
  <c r="K18" i="11" s="1"/>
  <c r="H165" i="11"/>
  <c r="H18" i="11" s="1"/>
  <c r="E165" i="11"/>
  <c r="E18" i="11" s="1"/>
  <c r="N197" i="11"/>
  <c r="N22" i="11" s="1"/>
  <c r="K197" i="11"/>
  <c r="K22" i="11" s="1"/>
  <c r="H197" i="11"/>
  <c r="H22" i="11" s="1"/>
  <c r="E197" i="11"/>
  <c r="E22" i="11" s="1"/>
  <c r="R13" i="11"/>
  <c r="G23" i="11"/>
  <c r="R77" i="11"/>
  <c r="P77" i="11" s="1"/>
  <c r="P16" i="11" s="1"/>
  <c r="R16" i="11" s="1"/>
  <c r="R66" i="11"/>
  <c r="P66" i="11" s="1"/>
  <c r="P15" i="11" s="1"/>
  <c r="R15" i="11" s="1"/>
  <c r="M78" i="11"/>
  <c r="K66" i="11"/>
  <c r="K15" i="11" s="1"/>
  <c r="H66" i="11"/>
  <c r="H15" i="11" s="1"/>
  <c r="E66" i="11"/>
  <c r="E15" i="11" s="1"/>
  <c r="R17" i="11"/>
  <c r="I150" i="11"/>
  <c r="K150" i="11" s="1"/>
  <c r="G150" i="11"/>
  <c r="C150" i="11"/>
  <c r="E131" i="11"/>
  <c r="E20" i="11" s="1"/>
  <c r="K131" i="11"/>
  <c r="K20" i="11" s="1"/>
  <c r="H131" i="11"/>
  <c r="H20" i="11" s="1"/>
  <c r="D23" i="11"/>
  <c r="O23" i="11"/>
  <c r="N77" i="11"/>
  <c r="N16" i="11" s="1"/>
  <c r="J78" i="11"/>
  <c r="K78" i="11" s="1"/>
  <c r="K77" i="11"/>
  <c r="K16" i="11" s="1"/>
  <c r="H77" i="11"/>
  <c r="H16" i="11" s="1"/>
  <c r="E77" i="11"/>
  <c r="E16" i="11" s="1"/>
  <c r="R120" i="11"/>
  <c r="P120" i="11" s="1"/>
  <c r="P19" i="11" s="1"/>
  <c r="R19" i="11" s="1"/>
  <c r="K120" i="11"/>
  <c r="K19" i="11" s="1"/>
  <c r="I23" i="11"/>
  <c r="H120" i="11"/>
  <c r="H19" i="11" s="1"/>
  <c r="E120" i="11"/>
  <c r="E19" i="11" s="1"/>
  <c r="N92" i="11"/>
  <c r="N17" i="11" s="1"/>
  <c r="K92" i="11"/>
  <c r="K17" i="11" s="1"/>
  <c r="H92" i="11"/>
  <c r="H17" i="11" s="1"/>
  <c r="E92" i="11"/>
  <c r="E17" i="11" s="1"/>
  <c r="K178" i="11"/>
  <c r="K13" i="11" s="1"/>
  <c r="H178" i="11"/>
  <c r="H13" i="11" s="1"/>
  <c r="F23" i="11"/>
  <c r="E178" i="11"/>
  <c r="E13" i="11" s="1"/>
  <c r="J23" i="11"/>
  <c r="N159" i="11"/>
  <c r="N12" i="11" s="1"/>
  <c r="K159" i="11"/>
  <c r="K12" i="11" s="1"/>
  <c r="H159" i="11"/>
  <c r="H12" i="11" s="1"/>
  <c r="E159" i="11"/>
  <c r="E12" i="11" s="1"/>
  <c r="N149" i="11"/>
  <c r="N11" i="11" s="1"/>
  <c r="K149" i="11"/>
  <c r="K11" i="11" s="1"/>
  <c r="H149" i="11"/>
  <c r="H11" i="11" s="1"/>
  <c r="F150" i="11"/>
  <c r="H150" i="11" s="1"/>
  <c r="E149" i="11"/>
  <c r="E11" i="11" s="1"/>
  <c r="E150" i="11"/>
  <c r="E78" i="11"/>
  <c r="N66" i="11"/>
  <c r="N15" i="11" s="1"/>
  <c r="H78" i="11"/>
  <c r="R54" i="11"/>
  <c r="L78" i="11"/>
  <c r="N54" i="11"/>
  <c r="N14" i="11" s="1"/>
  <c r="N41" i="11"/>
  <c r="R150" i="11"/>
  <c r="P150" i="11" s="1"/>
  <c r="P139" i="11"/>
  <c r="P10" i="11" s="1"/>
  <c r="R10" i="11" s="1"/>
  <c r="E54" i="11"/>
  <c r="E14" i="11" s="1"/>
  <c r="K54" i="11"/>
  <c r="K14" i="11" s="1"/>
  <c r="N90" i="11"/>
  <c r="M120" i="11"/>
  <c r="M19" i="11" s="1"/>
  <c r="M23" i="11" s="1"/>
  <c r="H139" i="11"/>
  <c r="H10" i="11" s="1"/>
  <c r="L139" i="11"/>
  <c r="L178" i="11"/>
  <c r="H54" i="11"/>
  <c r="H14" i="11" s="1"/>
  <c r="N73" i="11"/>
  <c r="E139" i="11"/>
  <c r="E10" i="11" s="1"/>
  <c r="K139" i="11"/>
  <c r="K10" i="11" s="1"/>
  <c r="N162" i="11"/>
  <c r="N196" i="10"/>
  <c r="K196" i="10"/>
  <c r="H196" i="10"/>
  <c r="E196" i="10"/>
  <c r="K46" i="10"/>
  <c r="N138" i="10"/>
  <c r="K138" i="10"/>
  <c r="H138" i="10"/>
  <c r="E138" i="10"/>
  <c r="N78" i="11" l="1"/>
  <c r="H23" i="11"/>
  <c r="E23" i="11"/>
  <c r="K23" i="11"/>
  <c r="N178" i="11"/>
  <c r="N13" i="11" s="1"/>
  <c r="L13" i="11"/>
  <c r="N120" i="11"/>
  <c r="N19" i="11" s="1"/>
  <c r="L150" i="11"/>
  <c r="N150" i="11" s="1"/>
  <c r="N139" i="11"/>
  <c r="N10" i="11" s="1"/>
  <c r="L10" i="11"/>
  <c r="L23" i="11" s="1"/>
  <c r="N23" i="11" s="1"/>
  <c r="R78" i="11"/>
  <c r="P78" i="11" s="1"/>
  <c r="P54" i="11"/>
  <c r="P14" i="11" s="1"/>
  <c r="R14" i="11" s="1"/>
  <c r="R23" i="11" s="1"/>
  <c r="P23" i="11" s="1"/>
  <c r="M162" i="10"/>
  <c r="L162" i="10"/>
  <c r="N162" i="10" s="1"/>
  <c r="M112" i="10"/>
  <c r="L102" i="10"/>
  <c r="M70" i="10"/>
  <c r="M41" i="10"/>
  <c r="L41" i="10"/>
  <c r="L136" i="10"/>
  <c r="M73" i="10"/>
  <c r="L73" i="10"/>
  <c r="E73" i="10"/>
  <c r="M177" i="10"/>
  <c r="L177" i="10"/>
  <c r="H168" i="10"/>
  <c r="L107" i="10"/>
  <c r="M90" i="10"/>
  <c r="L90" i="10"/>
  <c r="Q197" i="10"/>
  <c r="O197" i="10"/>
  <c r="L197" i="10"/>
  <c r="J197" i="10"/>
  <c r="I197" i="10"/>
  <c r="G197" i="10"/>
  <c r="F197" i="10"/>
  <c r="D197" i="10"/>
  <c r="C197" i="10"/>
  <c r="R196" i="10"/>
  <c r="R195" i="10"/>
  <c r="N195" i="10"/>
  <c r="M197" i="10"/>
  <c r="M22" i="10" s="1"/>
  <c r="K195" i="10"/>
  <c r="H195" i="10"/>
  <c r="E195" i="10"/>
  <c r="Q192" i="10"/>
  <c r="O192" i="10"/>
  <c r="M192" i="10"/>
  <c r="L192" i="10"/>
  <c r="J192" i="10"/>
  <c r="I192" i="10"/>
  <c r="K192" i="10" s="1"/>
  <c r="K21" i="10" s="1"/>
  <c r="G192" i="10"/>
  <c r="F192" i="10"/>
  <c r="H192" i="10" s="1"/>
  <c r="H21" i="10" s="1"/>
  <c r="D192" i="10"/>
  <c r="C192" i="10"/>
  <c r="E192" i="10" s="1"/>
  <c r="E21" i="10" s="1"/>
  <c r="R191" i="10"/>
  <c r="N191" i="10"/>
  <c r="K191" i="10"/>
  <c r="H191" i="10"/>
  <c r="E191" i="10"/>
  <c r="R190" i="10"/>
  <c r="N190" i="10"/>
  <c r="K190" i="10"/>
  <c r="H190" i="10"/>
  <c r="E190" i="10"/>
  <c r="R189" i="10"/>
  <c r="N189" i="10"/>
  <c r="K189" i="10"/>
  <c r="H189" i="10"/>
  <c r="E189" i="10"/>
  <c r="R188" i="10"/>
  <c r="N188" i="10"/>
  <c r="K188" i="10"/>
  <c r="H188" i="10"/>
  <c r="E188" i="10"/>
  <c r="R187" i="10"/>
  <c r="N187" i="10"/>
  <c r="K187" i="10"/>
  <c r="H187" i="10"/>
  <c r="E187" i="10"/>
  <c r="R186" i="10"/>
  <c r="N186" i="10"/>
  <c r="K186" i="10"/>
  <c r="H186" i="10"/>
  <c r="E186" i="10"/>
  <c r="R185" i="10"/>
  <c r="N185" i="10"/>
  <c r="K185" i="10"/>
  <c r="H185" i="10"/>
  <c r="E185" i="10"/>
  <c r="R184" i="10"/>
  <c r="N184" i="10"/>
  <c r="K184" i="10"/>
  <c r="H184" i="10"/>
  <c r="E184" i="10"/>
  <c r="R183" i="10"/>
  <c r="N183" i="10"/>
  <c r="K183" i="10"/>
  <c r="H183" i="10"/>
  <c r="E183" i="10"/>
  <c r="R182" i="10"/>
  <c r="N182" i="10"/>
  <c r="K182" i="10"/>
  <c r="H182" i="10"/>
  <c r="E182" i="10"/>
  <c r="R181" i="10"/>
  <c r="N181" i="10"/>
  <c r="K181" i="10"/>
  <c r="H181" i="10"/>
  <c r="E181" i="10"/>
  <c r="Q178" i="10"/>
  <c r="O178" i="10"/>
  <c r="J178" i="10"/>
  <c r="I178" i="10"/>
  <c r="I13" i="10" s="1"/>
  <c r="G178" i="10"/>
  <c r="F178" i="10"/>
  <c r="D178" i="10"/>
  <c r="D13" i="10" s="1"/>
  <c r="C178" i="10"/>
  <c r="C13" i="10" s="1"/>
  <c r="R177" i="10"/>
  <c r="M178" i="10"/>
  <c r="M13" i="10" s="1"/>
  <c r="L178" i="10"/>
  <c r="K177" i="10"/>
  <c r="H177" i="10"/>
  <c r="E177" i="10"/>
  <c r="R176" i="10"/>
  <c r="N176" i="10"/>
  <c r="K176" i="10"/>
  <c r="H176" i="10"/>
  <c r="E176" i="10"/>
  <c r="R175" i="10"/>
  <c r="N175" i="10"/>
  <c r="K175" i="10"/>
  <c r="H175" i="10"/>
  <c r="E175" i="10"/>
  <c r="R174" i="10"/>
  <c r="N174" i="10"/>
  <c r="K174" i="10"/>
  <c r="H174" i="10"/>
  <c r="E174" i="10"/>
  <c r="R173" i="10"/>
  <c r="R172" i="10"/>
  <c r="N172" i="10"/>
  <c r="K172" i="10"/>
  <c r="H172" i="10"/>
  <c r="E172" i="10"/>
  <c r="R171" i="10"/>
  <c r="N171" i="10"/>
  <c r="K171" i="10"/>
  <c r="H171" i="10"/>
  <c r="E171" i="10"/>
  <c r="R170" i="10"/>
  <c r="N170" i="10"/>
  <c r="K170" i="10"/>
  <c r="E170" i="10"/>
  <c r="R169" i="10"/>
  <c r="N169" i="10"/>
  <c r="K169" i="10"/>
  <c r="H169" i="10"/>
  <c r="E169" i="10"/>
  <c r="R168" i="10"/>
  <c r="K168" i="10"/>
  <c r="E168" i="10"/>
  <c r="Q165" i="10"/>
  <c r="O165" i="10"/>
  <c r="J165" i="10"/>
  <c r="I165" i="10"/>
  <c r="G165" i="10"/>
  <c r="F165" i="10"/>
  <c r="D165" i="10"/>
  <c r="C165" i="10"/>
  <c r="R164" i="10"/>
  <c r="K164" i="10"/>
  <c r="H164" i="10"/>
  <c r="E164" i="10"/>
  <c r="R163" i="10"/>
  <c r="R162" i="10"/>
  <c r="R165" i="10" s="1"/>
  <c r="P165" i="10" s="1"/>
  <c r="P18" i="10" s="1"/>
  <c r="M165" i="10"/>
  <c r="M18" i="10" s="1"/>
  <c r="L165" i="10"/>
  <c r="L18" i="10" s="1"/>
  <c r="K162" i="10"/>
  <c r="H162" i="10"/>
  <c r="E162" i="10"/>
  <c r="Q159" i="10"/>
  <c r="O159" i="10"/>
  <c r="M159" i="10"/>
  <c r="L159" i="10"/>
  <c r="J159" i="10"/>
  <c r="I159" i="10"/>
  <c r="G159" i="10"/>
  <c r="F159" i="10"/>
  <c r="D159" i="10"/>
  <c r="C159" i="10"/>
  <c r="R158" i="10"/>
  <c r="K158" i="10"/>
  <c r="H158" i="10"/>
  <c r="E158" i="10"/>
  <c r="R157" i="10"/>
  <c r="N157" i="10"/>
  <c r="K157" i="10"/>
  <c r="H157" i="10"/>
  <c r="E157" i="10"/>
  <c r="R156" i="10"/>
  <c r="R155" i="10"/>
  <c r="N155" i="10"/>
  <c r="K155" i="10"/>
  <c r="H155" i="10"/>
  <c r="E155" i="10"/>
  <c r="R154" i="10"/>
  <c r="R159" i="10" s="1"/>
  <c r="P159" i="10" s="1"/>
  <c r="P12" i="10" s="1"/>
  <c r="K154" i="10"/>
  <c r="H154" i="10"/>
  <c r="E154" i="10"/>
  <c r="Q149" i="10"/>
  <c r="O149" i="10"/>
  <c r="M149" i="10"/>
  <c r="L149" i="10"/>
  <c r="J149" i="10"/>
  <c r="I149" i="10"/>
  <c r="G149" i="10"/>
  <c r="F149" i="10"/>
  <c r="D149" i="10"/>
  <c r="C149" i="10"/>
  <c r="R148" i="10"/>
  <c r="R147" i="10"/>
  <c r="N147" i="10"/>
  <c r="K147" i="10"/>
  <c r="H147" i="10"/>
  <c r="E147" i="10"/>
  <c r="R146" i="10"/>
  <c r="N146" i="10"/>
  <c r="K146" i="10"/>
  <c r="H146" i="10"/>
  <c r="E146" i="10"/>
  <c r="R145" i="10"/>
  <c r="K145" i="10"/>
  <c r="H145" i="10"/>
  <c r="E145" i="10"/>
  <c r="R144" i="10"/>
  <c r="N144" i="10"/>
  <c r="K144" i="10"/>
  <c r="H144" i="10"/>
  <c r="E144" i="10"/>
  <c r="R143" i="10"/>
  <c r="N143" i="10"/>
  <c r="K143" i="10"/>
  <c r="H143" i="10"/>
  <c r="E143" i="10"/>
  <c r="R142" i="10"/>
  <c r="R149" i="10" s="1"/>
  <c r="P149" i="10" s="1"/>
  <c r="P11" i="10" s="1"/>
  <c r="N142" i="10"/>
  <c r="K142" i="10"/>
  <c r="H142" i="10"/>
  <c r="E142" i="10"/>
  <c r="Q139" i="10"/>
  <c r="Q150" i="10" s="1"/>
  <c r="O139" i="10"/>
  <c r="O150" i="10" s="1"/>
  <c r="M139" i="10"/>
  <c r="M150" i="10" s="1"/>
  <c r="J139" i="10"/>
  <c r="I139" i="10"/>
  <c r="G139" i="10"/>
  <c r="F139" i="10"/>
  <c r="D139" i="10"/>
  <c r="C139" i="10"/>
  <c r="R138" i="10"/>
  <c r="R137" i="10"/>
  <c r="N137" i="10"/>
  <c r="K137" i="10"/>
  <c r="H137" i="10"/>
  <c r="E137" i="10"/>
  <c r="R136" i="10"/>
  <c r="L139" i="10"/>
  <c r="K136" i="10"/>
  <c r="H136" i="10"/>
  <c r="E136" i="10"/>
  <c r="R135" i="10"/>
  <c r="N135" i="10"/>
  <c r="K135" i="10"/>
  <c r="H135" i="10"/>
  <c r="E135" i="10"/>
  <c r="R134" i="10"/>
  <c r="N134" i="10"/>
  <c r="K134" i="10"/>
  <c r="H134" i="10"/>
  <c r="E134" i="10"/>
  <c r="Q131" i="10"/>
  <c r="O131" i="10"/>
  <c r="M131" i="10"/>
  <c r="L131" i="10"/>
  <c r="J131" i="10"/>
  <c r="I131" i="10"/>
  <c r="G131" i="10"/>
  <c r="F131" i="10"/>
  <c r="D131" i="10"/>
  <c r="C131" i="10"/>
  <c r="R130" i="10"/>
  <c r="K130" i="10"/>
  <c r="H130" i="10"/>
  <c r="E130" i="10"/>
  <c r="R129" i="10"/>
  <c r="R128" i="10"/>
  <c r="K128" i="10"/>
  <c r="H128" i="10"/>
  <c r="E128" i="10"/>
  <c r="R127" i="10"/>
  <c r="R126" i="10"/>
  <c r="R125" i="10"/>
  <c r="K125" i="10"/>
  <c r="H125" i="10"/>
  <c r="E125" i="10"/>
  <c r="R124" i="10"/>
  <c r="R123" i="10"/>
  <c r="R122" i="10"/>
  <c r="Q120" i="10"/>
  <c r="O120" i="10"/>
  <c r="O19" i="10" s="1"/>
  <c r="J120" i="10"/>
  <c r="I120" i="10"/>
  <c r="I19" i="10" s="1"/>
  <c r="G120" i="10"/>
  <c r="G19" i="10" s="1"/>
  <c r="F120" i="10"/>
  <c r="F19" i="10" s="1"/>
  <c r="D120" i="10"/>
  <c r="C120" i="10"/>
  <c r="R119" i="10"/>
  <c r="K119" i="10"/>
  <c r="H119" i="10"/>
  <c r="E119" i="10"/>
  <c r="R118" i="10"/>
  <c r="K118" i="10"/>
  <c r="H118" i="10"/>
  <c r="E118" i="10"/>
  <c r="R117" i="10"/>
  <c r="K117" i="10"/>
  <c r="H117" i="10"/>
  <c r="E117" i="10"/>
  <c r="R116" i="10"/>
  <c r="K116" i="10"/>
  <c r="H116" i="10"/>
  <c r="E116" i="10"/>
  <c r="R115" i="10"/>
  <c r="N115" i="10"/>
  <c r="K115" i="10"/>
  <c r="H115" i="10"/>
  <c r="E115" i="10"/>
  <c r="R114" i="10"/>
  <c r="R113" i="10"/>
  <c r="R112" i="10"/>
  <c r="M120" i="10"/>
  <c r="M19" i="10" s="1"/>
  <c r="K112" i="10"/>
  <c r="H112" i="10"/>
  <c r="E112" i="10"/>
  <c r="R111" i="10"/>
  <c r="K111" i="10"/>
  <c r="H111" i="10"/>
  <c r="E111" i="10"/>
  <c r="R110" i="10"/>
  <c r="K110" i="10"/>
  <c r="H110" i="10"/>
  <c r="E110" i="10"/>
  <c r="R109" i="10"/>
  <c r="R108" i="10"/>
  <c r="R107" i="10"/>
  <c r="N107" i="10"/>
  <c r="K107" i="10"/>
  <c r="H107" i="10"/>
  <c r="E107" i="10"/>
  <c r="R106" i="10"/>
  <c r="K106" i="10"/>
  <c r="H106" i="10"/>
  <c r="E106" i="10"/>
  <c r="R105" i="10"/>
  <c r="R104" i="10"/>
  <c r="N104" i="10"/>
  <c r="K104" i="10"/>
  <c r="H104" i="10"/>
  <c r="E104" i="10"/>
  <c r="R103" i="10"/>
  <c r="R102" i="10"/>
  <c r="N102" i="10"/>
  <c r="L120" i="10"/>
  <c r="K102" i="10"/>
  <c r="H102" i="10"/>
  <c r="E102" i="10"/>
  <c r="R101" i="10"/>
  <c r="R100" i="10"/>
  <c r="R99" i="10"/>
  <c r="N99" i="10"/>
  <c r="K99" i="10"/>
  <c r="H99" i="10"/>
  <c r="E99" i="10"/>
  <c r="R98" i="10"/>
  <c r="K98" i="10"/>
  <c r="E98" i="10"/>
  <c r="R97" i="10"/>
  <c r="R96" i="10"/>
  <c r="R95" i="10"/>
  <c r="N95" i="10"/>
  <c r="K95" i="10"/>
  <c r="H95" i="10"/>
  <c r="E95" i="10"/>
  <c r="Q92" i="10"/>
  <c r="O92" i="10"/>
  <c r="O17" i="10" s="1"/>
  <c r="J92" i="10"/>
  <c r="I92" i="10"/>
  <c r="I17" i="10" s="1"/>
  <c r="G92" i="10"/>
  <c r="F92" i="10"/>
  <c r="D92" i="10"/>
  <c r="C92" i="10"/>
  <c r="R91" i="10"/>
  <c r="N91" i="10"/>
  <c r="K91" i="10"/>
  <c r="H91" i="10"/>
  <c r="E91" i="10"/>
  <c r="R90" i="10"/>
  <c r="M92" i="10"/>
  <c r="M17" i="10" s="1"/>
  <c r="L92" i="10"/>
  <c r="K90" i="10"/>
  <c r="H90" i="10"/>
  <c r="E90" i="10"/>
  <c r="R89" i="10"/>
  <c r="K89" i="10"/>
  <c r="H89" i="10"/>
  <c r="E89" i="10"/>
  <c r="R88" i="10"/>
  <c r="N88" i="10"/>
  <c r="K88" i="10"/>
  <c r="H88" i="10"/>
  <c r="E88" i="10"/>
  <c r="R87" i="10"/>
  <c r="K87" i="10"/>
  <c r="H87" i="10"/>
  <c r="E87" i="10"/>
  <c r="R86" i="10"/>
  <c r="R85" i="10"/>
  <c r="K85" i="10"/>
  <c r="H85" i="10"/>
  <c r="E85" i="10"/>
  <c r="R84" i="10"/>
  <c r="N84" i="10"/>
  <c r="K84" i="10"/>
  <c r="H84" i="10"/>
  <c r="E84" i="10"/>
  <c r="R83" i="10"/>
  <c r="N83" i="10"/>
  <c r="K83" i="10"/>
  <c r="H83" i="10"/>
  <c r="E83" i="10"/>
  <c r="R82" i="10"/>
  <c r="N82" i="10"/>
  <c r="K82" i="10"/>
  <c r="H82" i="10"/>
  <c r="E82" i="10"/>
  <c r="R81" i="10"/>
  <c r="K81" i="10"/>
  <c r="H81" i="10"/>
  <c r="E81" i="10"/>
  <c r="Q77" i="10"/>
  <c r="O77" i="10"/>
  <c r="M77" i="10"/>
  <c r="J77" i="10"/>
  <c r="I77" i="10"/>
  <c r="G77" i="10"/>
  <c r="G16" i="10" s="1"/>
  <c r="F77" i="10"/>
  <c r="D77" i="10"/>
  <c r="C77" i="10"/>
  <c r="R76" i="10"/>
  <c r="K76" i="10"/>
  <c r="E76" i="10"/>
  <c r="R75" i="10"/>
  <c r="N75" i="10"/>
  <c r="K75" i="10"/>
  <c r="H75" i="10"/>
  <c r="E75" i="10"/>
  <c r="R74" i="10"/>
  <c r="N74" i="10"/>
  <c r="K74" i="10"/>
  <c r="H74" i="10"/>
  <c r="E74" i="10"/>
  <c r="R73" i="10"/>
  <c r="N73" i="10"/>
  <c r="K73" i="10"/>
  <c r="H73" i="10"/>
  <c r="R72" i="10"/>
  <c r="K72" i="10"/>
  <c r="H72" i="10"/>
  <c r="E72" i="10"/>
  <c r="R71" i="10"/>
  <c r="K71" i="10"/>
  <c r="H71" i="10"/>
  <c r="E71" i="10"/>
  <c r="R70" i="10"/>
  <c r="N70" i="10"/>
  <c r="L77" i="10"/>
  <c r="K70" i="10"/>
  <c r="H70" i="10"/>
  <c r="E70" i="10"/>
  <c r="R69" i="10"/>
  <c r="R77" i="10" s="1"/>
  <c r="P77" i="10" s="1"/>
  <c r="P16" i="10" s="1"/>
  <c r="N69" i="10"/>
  <c r="K69" i="10"/>
  <c r="H69" i="10"/>
  <c r="E69" i="10"/>
  <c r="Q66" i="10"/>
  <c r="O66" i="10"/>
  <c r="J66" i="10"/>
  <c r="I66" i="10"/>
  <c r="G66" i="10"/>
  <c r="F66" i="10"/>
  <c r="D66" i="10"/>
  <c r="C66" i="10"/>
  <c r="R65" i="10"/>
  <c r="R64" i="10"/>
  <c r="N64" i="10"/>
  <c r="K64" i="10"/>
  <c r="H64" i="10"/>
  <c r="E64" i="10"/>
  <c r="R63" i="10"/>
  <c r="N63" i="10"/>
  <c r="K63" i="10"/>
  <c r="H63" i="10"/>
  <c r="E63" i="10"/>
  <c r="R62" i="10"/>
  <c r="N62" i="10"/>
  <c r="K62" i="10"/>
  <c r="H62" i="10"/>
  <c r="E62" i="10"/>
  <c r="R61" i="10"/>
  <c r="R60" i="10"/>
  <c r="M66" i="10"/>
  <c r="M15" i="10" s="1"/>
  <c r="L66" i="10"/>
  <c r="K60" i="10"/>
  <c r="H60" i="10"/>
  <c r="E60" i="10"/>
  <c r="R59" i="10"/>
  <c r="K59" i="10"/>
  <c r="H59" i="10"/>
  <c r="E59" i="10"/>
  <c r="R58" i="10"/>
  <c r="K58" i="10"/>
  <c r="H58" i="10"/>
  <c r="E58" i="10"/>
  <c r="R57" i="10"/>
  <c r="R66" i="10" s="1"/>
  <c r="P66" i="10" s="1"/>
  <c r="P15" i="10" s="1"/>
  <c r="N57" i="10"/>
  <c r="K57" i="10"/>
  <c r="H57" i="10"/>
  <c r="E57" i="10"/>
  <c r="Q54" i="10"/>
  <c r="Q78" i="10" s="1"/>
  <c r="O54" i="10"/>
  <c r="O78" i="10" s="1"/>
  <c r="J54" i="10"/>
  <c r="J78" i="10" s="1"/>
  <c r="I54" i="10"/>
  <c r="I78" i="10" s="1"/>
  <c r="G54" i="10"/>
  <c r="G78" i="10" s="1"/>
  <c r="F54" i="10"/>
  <c r="F78" i="10" s="1"/>
  <c r="D54" i="10"/>
  <c r="D78" i="10" s="1"/>
  <c r="C54" i="10"/>
  <c r="C78" i="10" s="1"/>
  <c r="R53" i="10"/>
  <c r="R52" i="10"/>
  <c r="K52" i="10"/>
  <c r="E52" i="10"/>
  <c r="R51" i="10"/>
  <c r="N51" i="10"/>
  <c r="K51" i="10"/>
  <c r="H51" i="10"/>
  <c r="E51" i="10"/>
  <c r="R50" i="10"/>
  <c r="K50" i="10"/>
  <c r="H50" i="10"/>
  <c r="E50" i="10"/>
  <c r="R49" i="10"/>
  <c r="K49" i="10"/>
  <c r="H49" i="10"/>
  <c r="E49" i="10"/>
  <c r="R48" i="10"/>
  <c r="N48" i="10"/>
  <c r="K48" i="10"/>
  <c r="H48" i="10"/>
  <c r="E48" i="10"/>
  <c r="R47" i="10"/>
  <c r="N47" i="10"/>
  <c r="K47" i="10"/>
  <c r="H47" i="10"/>
  <c r="E47" i="10"/>
  <c r="R46" i="10"/>
  <c r="N46" i="10"/>
  <c r="H46" i="10"/>
  <c r="E46" i="10"/>
  <c r="R45" i="10"/>
  <c r="K45" i="10"/>
  <c r="H45" i="10"/>
  <c r="E45" i="10"/>
  <c r="R44" i="10"/>
  <c r="K44" i="10"/>
  <c r="H44" i="10"/>
  <c r="E44" i="10"/>
  <c r="R43" i="10"/>
  <c r="K43" i="10"/>
  <c r="E43" i="10"/>
  <c r="R42" i="10"/>
  <c r="N42" i="10"/>
  <c r="K42" i="10"/>
  <c r="H42" i="10"/>
  <c r="E42" i="10"/>
  <c r="R41" i="10"/>
  <c r="N41" i="10"/>
  <c r="K41" i="10"/>
  <c r="H41" i="10"/>
  <c r="E41" i="10"/>
  <c r="R40" i="10"/>
  <c r="M54" i="10"/>
  <c r="K40" i="10"/>
  <c r="H40" i="10"/>
  <c r="E40" i="10"/>
  <c r="R39" i="10"/>
  <c r="N39" i="10"/>
  <c r="K39" i="10"/>
  <c r="H39" i="10"/>
  <c r="E39" i="10"/>
  <c r="R38" i="10"/>
  <c r="R37" i="10"/>
  <c r="N37" i="10"/>
  <c r="K37" i="10"/>
  <c r="H37" i="10"/>
  <c r="E37" i="10"/>
  <c r="Q22" i="10"/>
  <c r="O22" i="10"/>
  <c r="L22" i="10"/>
  <c r="J22" i="10"/>
  <c r="I22" i="10"/>
  <c r="G22" i="10"/>
  <c r="F22" i="10"/>
  <c r="D22" i="10"/>
  <c r="C22" i="10"/>
  <c r="Q21" i="10"/>
  <c r="O21" i="10"/>
  <c r="M21" i="10"/>
  <c r="L21" i="10"/>
  <c r="J21" i="10"/>
  <c r="I21" i="10"/>
  <c r="G21" i="10"/>
  <c r="F21" i="10"/>
  <c r="D21" i="10"/>
  <c r="C21" i="10"/>
  <c r="Q20" i="10"/>
  <c r="O20" i="10"/>
  <c r="N20" i="10"/>
  <c r="M20" i="10"/>
  <c r="L20" i="10"/>
  <c r="J20" i="10"/>
  <c r="I20" i="10"/>
  <c r="G20" i="10"/>
  <c r="F20" i="10"/>
  <c r="D20" i="10"/>
  <c r="C20" i="10"/>
  <c r="Q19" i="10"/>
  <c r="J19" i="10"/>
  <c r="D19" i="10"/>
  <c r="C19" i="10"/>
  <c r="Q18" i="10"/>
  <c r="O18" i="10"/>
  <c r="R18" i="10" s="1"/>
  <c r="N18" i="10"/>
  <c r="J18" i="10"/>
  <c r="I18" i="10"/>
  <c r="G18" i="10"/>
  <c r="F18" i="10"/>
  <c r="D18" i="10"/>
  <c r="C18" i="10"/>
  <c r="Q17" i="10"/>
  <c r="J17" i="10"/>
  <c r="G17" i="10"/>
  <c r="F17" i="10"/>
  <c r="D17" i="10"/>
  <c r="C17" i="10"/>
  <c r="Q16" i="10"/>
  <c r="O16" i="10"/>
  <c r="R16" i="10" s="1"/>
  <c r="M16" i="10"/>
  <c r="J16" i="10"/>
  <c r="I16" i="10"/>
  <c r="F16" i="10"/>
  <c r="D16" i="10"/>
  <c r="C16" i="10"/>
  <c r="Q15" i="10"/>
  <c r="O15" i="10"/>
  <c r="R15" i="10" s="1"/>
  <c r="J15" i="10"/>
  <c r="I15" i="10"/>
  <c r="G15" i="10"/>
  <c r="F15" i="10"/>
  <c r="D15" i="10"/>
  <c r="C15" i="10"/>
  <c r="O14" i="10"/>
  <c r="J14" i="10"/>
  <c r="I14" i="10"/>
  <c r="G14" i="10"/>
  <c r="F14" i="10"/>
  <c r="D14" i="10"/>
  <c r="Q13" i="10"/>
  <c r="O13" i="10"/>
  <c r="J13" i="10"/>
  <c r="G13" i="10"/>
  <c r="F13" i="10"/>
  <c r="Q12" i="10"/>
  <c r="O12" i="10"/>
  <c r="M12" i="10"/>
  <c r="L12" i="10"/>
  <c r="J12" i="10"/>
  <c r="I12" i="10"/>
  <c r="G12" i="10"/>
  <c r="F12" i="10"/>
  <c r="D12" i="10"/>
  <c r="C12" i="10"/>
  <c r="Q11" i="10"/>
  <c r="O11" i="10"/>
  <c r="M11" i="10"/>
  <c r="L11" i="10"/>
  <c r="J11" i="10"/>
  <c r="I11" i="10"/>
  <c r="G11" i="10"/>
  <c r="F11" i="10"/>
  <c r="D11" i="10"/>
  <c r="C11" i="10"/>
  <c r="Q10" i="10"/>
  <c r="O10" i="10"/>
  <c r="M10" i="10"/>
  <c r="J10" i="10"/>
  <c r="I10" i="10"/>
  <c r="G10" i="10"/>
  <c r="F10" i="10"/>
  <c r="D10" i="10"/>
  <c r="C10" i="10"/>
  <c r="K52" i="9"/>
  <c r="N192" i="10" l="1"/>
  <c r="N21" i="10" s="1"/>
  <c r="R139" i="10"/>
  <c r="C14" i="10"/>
  <c r="R131" i="10"/>
  <c r="P131" i="10" s="1"/>
  <c r="P20" i="10" s="1"/>
  <c r="R20" i="10" s="1"/>
  <c r="R120" i="10"/>
  <c r="P120" i="10" s="1"/>
  <c r="P19" i="10" s="1"/>
  <c r="R19" i="10" s="1"/>
  <c r="K165" i="10"/>
  <c r="K18" i="10" s="1"/>
  <c r="H165" i="10"/>
  <c r="H18" i="10" s="1"/>
  <c r="E165" i="10"/>
  <c r="E18" i="10" s="1"/>
  <c r="K120" i="10"/>
  <c r="K19" i="10" s="1"/>
  <c r="H120" i="10"/>
  <c r="H19" i="10" s="1"/>
  <c r="E120" i="10"/>
  <c r="E19" i="10" s="1"/>
  <c r="R178" i="10"/>
  <c r="P178" i="10" s="1"/>
  <c r="P13" i="10" s="1"/>
  <c r="R13" i="10" s="1"/>
  <c r="K197" i="10"/>
  <c r="K22" i="10" s="1"/>
  <c r="H197" i="10"/>
  <c r="H22" i="10" s="1"/>
  <c r="E197" i="10"/>
  <c r="E22" i="10" s="1"/>
  <c r="K178" i="10"/>
  <c r="K13" i="10" s="1"/>
  <c r="J150" i="10"/>
  <c r="F150" i="10"/>
  <c r="D150" i="10"/>
  <c r="I23" i="10"/>
  <c r="G23" i="10"/>
  <c r="G150" i="10"/>
  <c r="K77" i="10"/>
  <c r="K16" i="10" s="1"/>
  <c r="H77" i="10"/>
  <c r="H16" i="10" s="1"/>
  <c r="E77" i="10"/>
  <c r="E16" i="10" s="1"/>
  <c r="K92" i="10"/>
  <c r="K17" i="10" s="1"/>
  <c r="H92" i="10"/>
  <c r="H17" i="10" s="1"/>
  <c r="E92" i="10"/>
  <c r="E17" i="10" s="1"/>
  <c r="K131" i="10"/>
  <c r="K20" i="10" s="1"/>
  <c r="H131" i="10"/>
  <c r="H20" i="10" s="1"/>
  <c r="E131" i="10"/>
  <c r="E20" i="10" s="1"/>
  <c r="K66" i="10"/>
  <c r="K15" i="10" s="1"/>
  <c r="H66" i="10"/>
  <c r="H15" i="10" s="1"/>
  <c r="E78" i="10"/>
  <c r="E66" i="10"/>
  <c r="E15" i="10" s="1"/>
  <c r="N159" i="10"/>
  <c r="N12" i="10" s="1"/>
  <c r="K159" i="10"/>
  <c r="K12" i="10" s="1"/>
  <c r="H159" i="10"/>
  <c r="H12" i="10" s="1"/>
  <c r="F23" i="10"/>
  <c r="E159" i="10"/>
  <c r="E12" i="10" s="1"/>
  <c r="J23" i="10"/>
  <c r="H178" i="10"/>
  <c r="H13" i="10" s="1"/>
  <c r="E178" i="10"/>
  <c r="E13" i="10" s="1"/>
  <c r="C23" i="10"/>
  <c r="N149" i="10"/>
  <c r="N11" i="10" s="1"/>
  <c r="K149" i="10"/>
  <c r="K11" i="10" s="1"/>
  <c r="I150" i="10"/>
  <c r="H149" i="10"/>
  <c r="H11" i="10" s="1"/>
  <c r="E149" i="10"/>
  <c r="E11" i="10" s="1"/>
  <c r="D23" i="10"/>
  <c r="E23" i="10" s="1"/>
  <c r="C150" i="10"/>
  <c r="Q14" i="10"/>
  <c r="Q23" i="10" s="1"/>
  <c r="R197" i="10"/>
  <c r="P197" i="10" s="1"/>
  <c r="P22" i="10" s="1"/>
  <c r="R22" i="10" s="1"/>
  <c r="R192" i="10"/>
  <c r="P192" i="10" s="1"/>
  <c r="P21" i="10" s="1"/>
  <c r="R21" i="10" s="1"/>
  <c r="R12" i="10"/>
  <c r="R11" i="10"/>
  <c r="R92" i="10"/>
  <c r="P92" i="10" s="1"/>
  <c r="P17" i="10" s="1"/>
  <c r="R17" i="10" s="1"/>
  <c r="O23" i="10"/>
  <c r="R54" i="10"/>
  <c r="P54" i="10" s="1"/>
  <c r="P14" i="10" s="1"/>
  <c r="R14" i="10" s="1"/>
  <c r="R150" i="10"/>
  <c r="P150" i="10" s="1"/>
  <c r="P139" i="10"/>
  <c r="P10" i="10" s="1"/>
  <c r="R10" i="10" s="1"/>
  <c r="H23" i="10"/>
  <c r="N197" i="10"/>
  <c r="N22" i="10" s="1"/>
  <c r="M78" i="10"/>
  <c r="M14" i="10"/>
  <c r="M23" i="10" s="1"/>
  <c r="N66" i="10"/>
  <c r="N15" i="10" s="1"/>
  <c r="L15" i="10"/>
  <c r="N77" i="10"/>
  <c r="N16" i="10" s="1"/>
  <c r="L16" i="10"/>
  <c r="N92" i="10"/>
  <c r="N17" i="10" s="1"/>
  <c r="L17" i="10"/>
  <c r="N120" i="10"/>
  <c r="N19" i="10" s="1"/>
  <c r="L19" i="10"/>
  <c r="L150" i="10"/>
  <c r="N150" i="10" s="1"/>
  <c r="N139" i="10"/>
  <c r="N10" i="10" s="1"/>
  <c r="L10" i="10"/>
  <c r="N178" i="10"/>
  <c r="N13" i="10" s="1"/>
  <c r="L13" i="10"/>
  <c r="H78" i="10"/>
  <c r="K78" i="10"/>
  <c r="E150" i="10"/>
  <c r="H150" i="10"/>
  <c r="K150" i="10"/>
  <c r="N40" i="10"/>
  <c r="H54" i="10"/>
  <c r="H14" i="10" s="1"/>
  <c r="L54" i="10"/>
  <c r="N112" i="10"/>
  <c r="N136" i="10"/>
  <c r="E139" i="10"/>
  <c r="E10" i="10" s="1"/>
  <c r="K139" i="10"/>
  <c r="K10" i="10" s="1"/>
  <c r="N177" i="10"/>
  <c r="E54" i="10"/>
  <c r="E14" i="10" s="1"/>
  <c r="K54" i="10"/>
  <c r="K14" i="10" s="1"/>
  <c r="N60" i="10"/>
  <c r="N90" i="10"/>
  <c r="H139" i="10"/>
  <c r="H10" i="10" s="1"/>
  <c r="K112" i="9"/>
  <c r="M112" i="9"/>
  <c r="N112" i="9" s="1"/>
  <c r="H112" i="9"/>
  <c r="E112" i="9"/>
  <c r="E115" i="9"/>
  <c r="E116" i="9"/>
  <c r="E117" i="9"/>
  <c r="E118" i="9"/>
  <c r="E119" i="9"/>
  <c r="M162" i="9"/>
  <c r="L162" i="9"/>
  <c r="K162" i="9"/>
  <c r="H162" i="9"/>
  <c r="E162" i="9"/>
  <c r="M195" i="9"/>
  <c r="K195" i="9"/>
  <c r="M196" i="9"/>
  <c r="N196" i="9" s="1"/>
  <c r="L102" i="9"/>
  <c r="L75" i="9"/>
  <c r="L70" i="9"/>
  <c r="M60" i="9"/>
  <c r="L60" i="9"/>
  <c r="M41" i="9"/>
  <c r="L41" i="9"/>
  <c r="L136" i="9"/>
  <c r="M90" i="9"/>
  <c r="L90" i="9"/>
  <c r="L107" i="9"/>
  <c r="H169" i="9"/>
  <c r="E169" i="9"/>
  <c r="M40" i="9"/>
  <c r="E48" i="9"/>
  <c r="M177" i="9"/>
  <c r="L177" i="9"/>
  <c r="H128" i="9"/>
  <c r="N73" i="9"/>
  <c r="L73" i="9"/>
  <c r="Q197" i="9"/>
  <c r="O197" i="9"/>
  <c r="L197" i="9"/>
  <c r="J197" i="9"/>
  <c r="I197" i="9"/>
  <c r="G197" i="9"/>
  <c r="F197" i="9"/>
  <c r="D197" i="9"/>
  <c r="C197" i="9"/>
  <c r="R196" i="9"/>
  <c r="K196" i="9"/>
  <c r="H196" i="9"/>
  <c r="E196" i="9"/>
  <c r="R195" i="9"/>
  <c r="N195" i="9"/>
  <c r="H195" i="9"/>
  <c r="E195" i="9"/>
  <c r="Q192" i="9"/>
  <c r="O192" i="9"/>
  <c r="M192" i="9"/>
  <c r="L192" i="9"/>
  <c r="N192" i="9" s="1"/>
  <c r="N21" i="9" s="1"/>
  <c r="J192" i="9"/>
  <c r="I192" i="9"/>
  <c r="K192" i="9" s="1"/>
  <c r="K21" i="9" s="1"/>
  <c r="G192" i="9"/>
  <c r="F192" i="9"/>
  <c r="D192" i="9"/>
  <c r="C192" i="9"/>
  <c r="E192" i="9" s="1"/>
  <c r="E21" i="9" s="1"/>
  <c r="R191" i="9"/>
  <c r="N191" i="9"/>
  <c r="K191" i="9"/>
  <c r="H191" i="9"/>
  <c r="E191" i="9"/>
  <c r="R190" i="9"/>
  <c r="N190" i="9"/>
  <c r="K190" i="9"/>
  <c r="H190" i="9"/>
  <c r="E190" i="9"/>
  <c r="R189" i="9"/>
  <c r="N189" i="9"/>
  <c r="K189" i="9"/>
  <c r="H189" i="9"/>
  <c r="E189" i="9"/>
  <c r="R188" i="9"/>
  <c r="N188" i="9"/>
  <c r="K188" i="9"/>
  <c r="H188" i="9"/>
  <c r="E188" i="9"/>
  <c r="R187" i="9"/>
  <c r="N187" i="9"/>
  <c r="K187" i="9"/>
  <c r="H187" i="9"/>
  <c r="E187" i="9"/>
  <c r="R186" i="9"/>
  <c r="N186" i="9"/>
  <c r="K186" i="9"/>
  <c r="H186" i="9"/>
  <c r="E186" i="9"/>
  <c r="R185" i="9"/>
  <c r="N185" i="9"/>
  <c r="K185" i="9"/>
  <c r="H185" i="9"/>
  <c r="E185" i="9"/>
  <c r="R184" i="9"/>
  <c r="N184" i="9"/>
  <c r="K184" i="9"/>
  <c r="H184" i="9"/>
  <c r="E184" i="9"/>
  <c r="R183" i="9"/>
  <c r="N183" i="9"/>
  <c r="K183" i="9"/>
  <c r="H183" i="9"/>
  <c r="E183" i="9"/>
  <c r="R182" i="9"/>
  <c r="N182" i="9"/>
  <c r="K182" i="9"/>
  <c r="H182" i="9"/>
  <c r="E182" i="9"/>
  <c r="R181" i="9"/>
  <c r="N181" i="9"/>
  <c r="K181" i="9"/>
  <c r="H181" i="9"/>
  <c r="E181" i="9"/>
  <c r="Q178" i="9"/>
  <c r="Q13" i="9" s="1"/>
  <c r="O178" i="9"/>
  <c r="L178" i="9"/>
  <c r="L13" i="9" s="1"/>
  <c r="J178" i="9"/>
  <c r="J13" i="9" s="1"/>
  <c r="I178" i="9"/>
  <c r="I13" i="9" s="1"/>
  <c r="G178" i="9"/>
  <c r="F178" i="9"/>
  <c r="F13" i="9" s="1"/>
  <c r="D178" i="9"/>
  <c r="C178" i="9"/>
  <c r="C13" i="9" s="1"/>
  <c r="R177" i="9"/>
  <c r="M178" i="9"/>
  <c r="M13" i="9" s="1"/>
  <c r="N177" i="9"/>
  <c r="K177" i="9"/>
  <c r="H177" i="9"/>
  <c r="E177" i="9"/>
  <c r="R176" i="9"/>
  <c r="N176" i="9"/>
  <c r="K176" i="9"/>
  <c r="H176" i="9"/>
  <c r="E176" i="9"/>
  <c r="R175" i="9"/>
  <c r="N175" i="9"/>
  <c r="K175" i="9"/>
  <c r="H175" i="9"/>
  <c r="E175" i="9"/>
  <c r="R174" i="9"/>
  <c r="N174" i="9"/>
  <c r="K174" i="9"/>
  <c r="H174" i="9"/>
  <c r="E174" i="9"/>
  <c r="R173" i="9"/>
  <c r="R172" i="9"/>
  <c r="N172" i="9"/>
  <c r="K172" i="9"/>
  <c r="H172" i="9"/>
  <c r="E172" i="9"/>
  <c r="R171" i="9"/>
  <c r="N171" i="9"/>
  <c r="K171" i="9"/>
  <c r="H171" i="9"/>
  <c r="E171" i="9"/>
  <c r="R170" i="9"/>
  <c r="N170" i="9"/>
  <c r="K170" i="9"/>
  <c r="E170" i="9"/>
  <c r="R169" i="9"/>
  <c r="N169" i="9"/>
  <c r="K169" i="9"/>
  <c r="R168" i="9"/>
  <c r="K168" i="9"/>
  <c r="E168" i="9"/>
  <c r="Q165" i="9"/>
  <c r="O165" i="9"/>
  <c r="O18" i="9" s="1"/>
  <c r="J165" i="9"/>
  <c r="I165" i="9"/>
  <c r="G165" i="9"/>
  <c r="F165" i="9"/>
  <c r="F18" i="9" s="1"/>
  <c r="D165" i="9"/>
  <c r="C165" i="9"/>
  <c r="R164" i="9"/>
  <c r="K164" i="9"/>
  <c r="H164" i="9"/>
  <c r="E164" i="9"/>
  <c r="R163" i="9"/>
  <c r="R162" i="9"/>
  <c r="M165" i="9"/>
  <c r="M18" i="9" s="1"/>
  <c r="L165" i="9"/>
  <c r="L18" i="9" s="1"/>
  <c r="Q159" i="9"/>
  <c r="Q12" i="9" s="1"/>
  <c r="O159" i="9"/>
  <c r="M159" i="9"/>
  <c r="M12" i="9" s="1"/>
  <c r="J159" i="9"/>
  <c r="I159" i="9"/>
  <c r="I12" i="9" s="1"/>
  <c r="G159" i="9"/>
  <c r="F159" i="9"/>
  <c r="D159" i="9"/>
  <c r="C159" i="9"/>
  <c r="R158" i="9"/>
  <c r="K158" i="9"/>
  <c r="H158" i="9"/>
  <c r="E158" i="9"/>
  <c r="R157" i="9"/>
  <c r="N157" i="9"/>
  <c r="L159" i="9"/>
  <c r="K157" i="9"/>
  <c r="H157" i="9"/>
  <c r="E157" i="9"/>
  <c r="R156" i="9"/>
  <c r="R155" i="9"/>
  <c r="N155" i="9"/>
  <c r="K155" i="9"/>
  <c r="H155" i="9"/>
  <c r="E155" i="9"/>
  <c r="R154" i="9"/>
  <c r="K154" i="9"/>
  <c r="H154" i="9"/>
  <c r="E154" i="9"/>
  <c r="Q149" i="9"/>
  <c r="Q11" i="9" s="1"/>
  <c r="O149" i="9"/>
  <c r="M149" i="9"/>
  <c r="L149" i="9"/>
  <c r="J149" i="9"/>
  <c r="I149" i="9"/>
  <c r="G149" i="9"/>
  <c r="F149" i="9"/>
  <c r="D149" i="9"/>
  <c r="C149" i="9"/>
  <c r="R148" i="9"/>
  <c r="R147" i="9"/>
  <c r="N147" i="9"/>
  <c r="K147" i="9"/>
  <c r="H147" i="9"/>
  <c r="E147" i="9"/>
  <c r="R146" i="9"/>
  <c r="N146" i="9"/>
  <c r="K146" i="9"/>
  <c r="H146" i="9"/>
  <c r="E146" i="9"/>
  <c r="R145" i="9"/>
  <c r="K145" i="9"/>
  <c r="H145" i="9"/>
  <c r="E145" i="9"/>
  <c r="R144" i="9"/>
  <c r="N144" i="9"/>
  <c r="K144" i="9"/>
  <c r="H144" i="9"/>
  <c r="E144" i="9"/>
  <c r="R143" i="9"/>
  <c r="N143" i="9"/>
  <c r="K143" i="9"/>
  <c r="H143" i="9"/>
  <c r="E143" i="9"/>
  <c r="R142" i="9"/>
  <c r="N142" i="9"/>
  <c r="K142" i="9"/>
  <c r="H142" i="9"/>
  <c r="E142" i="9"/>
  <c r="Q139" i="9"/>
  <c r="Q150" i="9" s="1"/>
  <c r="O139" i="9"/>
  <c r="O150" i="9" s="1"/>
  <c r="M139" i="9"/>
  <c r="M150" i="9" s="1"/>
  <c r="J139" i="9"/>
  <c r="I139" i="9"/>
  <c r="G139" i="9"/>
  <c r="F139" i="9"/>
  <c r="D139" i="9"/>
  <c r="C139" i="9"/>
  <c r="R138" i="9"/>
  <c r="R137" i="9"/>
  <c r="N137" i="9"/>
  <c r="K137" i="9"/>
  <c r="H137" i="9"/>
  <c r="E137" i="9"/>
  <c r="R136" i="9"/>
  <c r="N136" i="9"/>
  <c r="L139" i="9"/>
  <c r="K136" i="9"/>
  <c r="H136" i="9"/>
  <c r="E136" i="9"/>
  <c r="R135" i="9"/>
  <c r="N135" i="9"/>
  <c r="K135" i="9"/>
  <c r="H135" i="9"/>
  <c r="E135" i="9"/>
  <c r="R134" i="9"/>
  <c r="N134" i="9"/>
  <c r="K134" i="9"/>
  <c r="H134" i="9"/>
  <c r="E134" i="9"/>
  <c r="Q131" i="9"/>
  <c r="O131" i="9"/>
  <c r="M131" i="9"/>
  <c r="M20" i="9" s="1"/>
  <c r="L131" i="9"/>
  <c r="J131" i="9"/>
  <c r="J20" i="9" s="1"/>
  <c r="I131" i="9"/>
  <c r="G131" i="9"/>
  <c r="G20" i="9" s="1"/>
  <c r="F131" i="9"/>
  <c r="D131" i="9"/>
  <c r="D20" i="9" s="1"/>
  <c r="C131" i="9"/>
  <c r="R130" i="9"/>
  <c r="K130" i="9"/>
  <c r="H130" i="9"/>
  <c r="E130" i="9"/>
  <c r="R129" i="9"/>
  <c r="R128" i="9"/>
  <c r="K128" i="9"/>
  <c r="E128" i="9"/>
  <c r="R127" i="9"/>
  <c r="R126" i="9"/>
  <c r="R125" i="9"/>
  <c r="K125" i="9"/>
  <c r="H125" i="9"/>
  <c r="E125" i="9"/>
  <c r="R124" i="9"/>
  <c r="R123" i="9"/>
  <c r="R122" i="9"/>
  <c r="Q120" i="9"/>
  <c r="O120" i="9"/>
  <c r="M120" i="9"/>
  <c r="M19" i="9" s="1"/>
  <c r="J120" i="9"/>
  <c r="J19" i="9" s="1"/>
  <c r="I120" i="9"/>
  <c r="G120" i="9"/>
  <c r="F120" i="9"/>
  <c r="D120" i="9"/>
  <c r="D19" i="9" s="1"/>
  <c r="C120" i="9"/>
  <c r="R119" i="9"/>
  <c r="K119" i="9"/>
  <c r="H119" i="9"/>
  <c r="R118" i="9"/>
  <c r="K118" i="9"/>
  <c r="H118" i="9"/>
  <c r="R117" i="9"/>
  <c r="K117" i="9"/>
  <c r="H117" i="9"/>
  <c r="R116" i="9"/>
  <c r="K116" i="9"/>
  <c r="H116" i="9"/>
  <c r="R115" i="9"/>
  <c r="N115" i="9"/>
  <c r="K115" i="9"/>
  <c r="H115" i="9"/>
  <c r="R114" i="9"/>
  <c r="R113" i="9"/>
  <c r="R112" i="9"/>
  <c r="R111" i="9"/>
  <c r="K111" i="9"/>
  <c r="H111" i="9"/>
  <c r="E111" i="9"/>
  <c r="R110" i="9"/>
  <c r="K110" i="9"/>
  <c r="H110" i="9"/>
  <c r="E110" i="9"/>
  <c r="R109" i="9"/>
  <c r="R108" i="9"/>
  <c r="R107" i="9"/>
  <c r="N107" i="9"/>
  <c r="K107" i="9"/>
  <c r="H107" i="9"/>
  <c r="E107" i="9"/>
  <c r="R106" i="9"/>
  <c r="K106" i="9"/>
  <c r="H106" i="9"/>
  <c r="E106" i="9"/>
  <c r="R105" i="9"/>
  <c r="R104" i="9"/>
  <c r="N104" i="9"/>
  <c r="K104" i="9"/>
  <c r="H104" i="9"/>
  <c r="E104" i="9"/>
  <c r="R103" i="9"/>
  <c r="R102" i="9"/>
  <c r="L120" i="9"/>
  <c r="K102" i="9"/>
  <c r="H102" i="9"/>
  <c r="E102" i="9"/>
  <c r="R101" i="9"/>
  <c r="R100" i="9"/>
  <c r="R99" i="9"/>
  <c r="N99" i="9"/>
  <c r="K99" i="9"/>
  <c r="H99" i="9"/>
  <c r="E99" i="9"/>
  <c r="R98" i="9"/>
  <c r="K98" i="9"/>
  <c r="E98" i="9"/>
  <c r="R97" i="9"/>
  <c r="R96" i="9"/>
  <c r="R95" i="9"/>
  <c r="N95" i="9"/>
  <c r="K95" i="9"/>
  <c r="H95" i="9"/>
  <c r="E95" i="9"/>
  <c r="Q92" i="9"/>
  <c r="O92" i="9"/>
  <c r="J92" i="9"/>
  <c r="I92" i="9"/>
  <c r="G92" i="9"/>
  <c r="F92" i="9"/>
  <c r="D92" i="9"/>
  <c r="C92" i="9"/>
  <c r="R91" i="9"/>
  <c r="N91" i="9"/>
  <c r="K91" i="9"/>
  <c r="H91" i="9"/>
  <c r="E91" i="9"/>
  <c r="R90" i="9"/>
  <c r="M92" i="9"/>
  <c r="M17" i="9" s="1"/>
  <c r="L92" i="9"/>
  <c r="K90" i="9"/>
  <c r="H90" i="9"/>
  <c r="E90" i="9"/>
  <c r="R89" i="9"/>
  <c r="K89" i="9"/>
  <c r="H89" i="9"/>
  <c r="E89" i="9"/>
  <c r="R88" i="9"/>
  <c r="N88" i="9"/>
  <c r="K88" i="9"/>
  <c r="H88" i="9"/>
  <c r="E88" i="9"/>
  <c r="R87" i="9"/>
  <c r="K87" i="9"/>
  <c r="H87" i="9"/>
  <c r="E87" i="9"/>
  <c r="R86" i="9"/>
  <c r="R85" i="9"/>
  <c r="K85" i="9"/>
  <c r="H85" i="9"/>
  <c r="E85" i="9"/>
  <c r="R84" i="9"/>
  <c r="N84" i="9"/>
  <c r="K84" i="9"/>
  <c r="H84" i="9"/>
  <c r="E84" i="9"/>
  <c r="R83" i="9"/>
  <c r="N83" i="9"/>
  <c r="K83" i="9"/>
  <c r="H83" i="9"/>
  <c r="E83" i="9"/>
  <c r="R82" i="9"/>
  <c r="N82" i="9"/>
  <c r="K82" i="9"/>
  <c r="H82" i="9"/>
  <c r="E82" i="9"/>
  <c r="R81" i="9"/>
  <c r="K81" i="9"/>
  <c r="H81" i="9"/>
  <c r="E81" i="9"/>
  <c r="Q77" i="9"/>
  <c r="O77" i="9"/>
  <c r="L77" i="9"/>
  <c r="J77" i="9"/>
  <c r="J16" i="9" s="1"/>
  <c r="I77" i="9"/>
  <c r="I16" i="9" s="1"/>
  <c r="G77" i="9"/>
  <c r="F77" i="9"/>
  <c r="F16" i="9" s="1"/>
  <c r="D77" i="9"/>
  <c r="D16" i="9" s="1"/>
  <c r="C77" i="9"/>
  <c r="C16" i="9" s="1"/>
  <c r="R76" i="9"/>
  <c r="K76" i="9"/>
  <c r="E76" i="9"/>
  <c r="R75" i="9"/>
  <c r="N75" i="9"/>
  <c r="K75" i="9"/>
  <c r="H75" i="9"/>
  <c r="E75" i="9"/>
  <c r="R74" i="9"/>
  <c r="N74" i="9"/>
  <c r="K74" i="9"/>
  <c r="H74" i="9"/>
  <c r="E74" i="9"/>
  <c r="R73" i="9"/>
  <c r="K73" i="9"/>
  <c r="H73" i="9"/>
  <c r="E73" i="9"/>
  <c r="R72" i="9"/>
  <c r="K72" i="9"/>
  <c r="H72" i="9"/>
  <c r="E72" i="9"/>
  <c r="R71" i="9"/>
  <c r="K71" i="9"/>
  <c r="H71" i="9"/>
  <c r="E71" i="9"/>
  <c r="R70" i="9"/>
  <c r="N70" i="9"/>
  <c r="M77" i="9"/>
  <c r="M16" i="9" s="1"/>
  <c r="K70" i="9"/>
  <c r="H70" i="9"/>
  <c r="E70" i="9"/>
  <c r="R69" i="9"/>
  <c r="N69" i="9"/>
  <c r="K69" i="9"/>
  <c r="H69" i="9"/>
  <c r="E69" i="9"/>
  <c r="Q66" i="9"/>
  <c r="O66" i="9"/>
  <c r="O15" i="9" s="1"/>
  <c r="J66" i="9"/>
  <c r="I66" i="9"/>
  <c r="I15" i="9" s="1"/>
  <c r="G66" i="9"/>
  <c r="F66" i="9"/>
  <c r="F15" i="9" s="1"/>
  <c r="D66" i="9"/>
  <c r="C66" i="9"/>
  <c r="C15" i="9" s="1"/>
  <c r="R65" i="9"/>
  <c r="R64" i="9"/>
  <c r="N64" i="9"/>
  <c r="K64" i="9"/>
  <c r="H64" i="9"/>
  <c r="E64" i="9"/>
  <c r="R63" i="9"/>
  <c r="N63" i="9"/>
  <c r="K63" i="9"/>
  <c r="H63" i="9"/>
  <c r="E63" i="9"/>
  <c r="R62" i="9"/>
  <c r="N62" i="9"/>
  <c r="K62" i="9"/>
  <c r="H62" i="9"/>
  <c r="E62" i="9"/>
  <c r="R61" i="9"/>
  <c r="R60" i="9"/>
  <c r="M66" i="9"/>
  <c r="M15" i="9" s="1"/>
  <c r="L66" i="9"/>
  <c r="K60" i="9"/>
  <c r="H60" i="9"/>
  <c r="E60" i="9"/>
  <c r="R59" i="9"/>
  <c r="K59" i="9"/>
  <c r="H59" i="9"/>
  <c r="E59" i="9"/>
  <c r="R58" i="9"/>
  <c r="K58" i="9"/>
  <c r="H58" i="9"/>
  <c r="E58" i="9"/>
  <c r="R57" i="9"/>
  <c r="N57" i="9"/>
  <c r="K57" i="9"/>
  <c r="H57" i="9"/>
  <c r="E57" i="9"/>
  <c r="Q54" i="9"/>
  <c r="O54" i="9"/>
  <c r="O14" i="9" s="1"/>
  <c r="L54" i="9"/>
  <c r="J54" i="9"/>
  <c r="J14" i="9" s="1"/>
  <c r="I54" i="9"/>
  <c r="G54" i="9"/>
  <c r="F54" i="9"/>
  <c r="D54" i="9"/>
  <c r="D14" i="9" s="1"/>
  <c r="C54" i="9"/>
  <c r="R53" i="9"/>
  <c r="R52" i="9"/>
  <c r="E52" i="9"/>
  <c r="R51" i="9"/>
  <c r="N51" i="9"/>
  <c r="K51" i="9"/>
  <c r="H51" i="9"/>
  <c r="E51" i="9"/>
  <c r="R50" i="9"/>
  <c r="K50" i="9"/>
  <c r="H50" i="9"/>
  <c r="E50" i="9"/>
  <c r="R49" i="9"/>
  <c r="K49" i="9"/>
  <c r="H49" i="9"/>
  <c r="E49" i="9"/>
  <c r="R48" i="9"/>
  <c r="N48" i="9"/>
  <c r="K48" i="9"/>
  <c r="H48" i="9"/>
  <c r="R47" i="9"/>
  <c r="N47" i="9"/>
  <c r="K47" i="9"/>
  <c r="H47" i="9"/>
  <c r="E47" i="9"/>
  <c r="R46" i="9"/>
  <c r="N46" i="9"/>
  <c r="K46" i="9"/>
  <c r="H46" i="9"/>
  <c r="E46" i="9"/>
  <c r="R45" i="9"/>
  <c r="K45" i="9"/>
  <c r="H45" i="9"/>
  <c r="E45" i="9"/>
  <c r="R44" i="9"/>
  <c r="K44" i="9"/>
  <c r="H44" i="9"/>
  <c r="E44" i="9"/>
  <c r="R43" i="9"/>
  <c r="K43" i="9"/>
  <c r="E43" i="9"/>
  <c r="R42" i="9"/>
  <c r="N42" i="9"/>
  <c r="K42" i="9"/>
  <c r="H42" i="9"/>
  <c r="E42" i="9"/>
  <c r="R41" i="9"/>
  <c r="N41" i="9"/>
  <c r="K41" i="9"/>
  <c r="H41" i="9"/>
  <c r="E41" i="9"/>
  <c r="R40" i="9"/>
  <c r="N40" i="9"/>
  <c r="M54" i="9"/>
  <c r="K40" i="9"/>
  <c r="H40" i="9"/>
  <c r="E40" i="9"/>
  <c r="R39" i="9"/>
  <c r="N39" i="9"/>
  <c r="K39" i="9"/>
  <c r="H39" i="9"/>
  <c r="E39" i="9"/>
  <c r="R38" i="9"/>
  <c r="R37" i="9"/>
  <c r="N37" i="9"/>
  <c r="K37" i="9"/>
  <c r="H37" i="9"/>
  <c r="E37" i="9"/>
  <c r="Q22" i="9"/>
  <c r="O22" i="9"/>
  <c r="L22" i="9"/>
  <c r="J22" i="9"/>
  <c r="I22" i="9"/>
  <c r="G22" i="9"/>
  <c r="D22" i="9"/>
  <c r="C22" i="9"/>
  <c r="Q21" i="9"/>
  <c r="O21" i="9"/>
  <c r="M21" i="9"/>
  <c r="L21" i="9"/>
  <c r="J21" i="9"/>
  <c r="I21" i="9"/>
  <c r="G21" i="9"/>
  <c r="F21" i="9"/>
  <c r="D21" i="9"/>
  <c r="C21" i="9"/>
  <c r="Q20" i="9"/>
  <c r="O20" i="9"/>
  <c r="N20" i="9"/>
  <c r="L20" i="9"/>
  <c r="I20" i="9"/>
  <c r="F20" i="9"/>
  <c r="C20" i="9"/>
  <c r="Q19" i="9"/>
  <c r="O19" i="9"/>
  <c r="I19" i="9"/>
  <c r="G19" i="9"/>
  <c r="F19" i="9"/>
  <c r="C19" i="9"/>
  <c r="Q18" i="9"/>
  <c r="N18" i="9"/>
  <c r="J18" i="9"/>
  <c r="I18" i="9"/>
  <c r="G18" i="9"/>
  <c r="D18" i="9"/>
  <c r="C18" i="9"/>
  <c r="Q17" i="9"/>
  <c r="O17" i="9"/>
  <c r="J17" i="9"/>
  <c r="I17" i="9"/>
  <c r="G17" i="9"/>
  <c r="F17" i="9"/>
  <c r="D17" i="9"/>
  <c r="C17" i="9"/>
  <c r="Q16" i="9"/>
  <c r="O16" i="9"/>
  <c r="L16" i="9"/>
  <c r="G16" i="9"/>
  <c r="Q15" i="9"/>
  <c r="J15" i="9"/>
  <c r="G15" i="9"/>
  <c r="D15" i="9"/>
  <c r="Q14" i="9"/>
  <c r="I14" i="9"/>
  <c r="F14" i="9"/>
  <c r="O13" i="9"/>
  <c r="G13" i="9"/>
  <c r="D13" i="9"/>
  <c r="O12" i="9"/>
  <c r="J12" i="9"/>
  <c r="G12" i="9"/>
  <c r="F12" i="9"/>
  <c r="D12" i="9"/>
  <c r="O11" i="9"/>
  <c r="M11" i="9"/>
  <c r="L11" i="9"/>
  <c r="J11" i="9"/>
  <c r="I11" i="9"/>
  <c r="G11" i="9"/>
  <c r="F11" i="9"/>
  <c r="D11" i="9"/>
  <c r="C11" i="9"/>
  <c r="Q10" i="9"/>
  <c r="O10" i="9"/>
  <c r="M10" i="9"/>
  <c r="J10" i="9"/>
  <c r="I10" i="9"/>
  <c r="G10" i="9"/>
  <c r="F10" i="9"/>
  <c r="D10" i="9"/>
  <c r="C10" i="9"/>
  <c r="H55" i="8"/>
  <c r="E55" i="8"/>
  <c r="L161" i="8"/>
  <c r="L140" i="8"/>
  <c r="M166" i="8"/>
  <c r="L166" i="8"/>
  <c r="H119" i="8"/>
  <c r="N72" i="8"/>
  <c r="M181" i="8"/>
  <c r="L181" i="8"/>
  <c r="H181" i="8"/>
  <c r="M63" i="8"/>
  <c r="L63" i="8"/>
  <c r="H107" i="8"/>
  <c r="L105" i="8"/>
  <c r="M202" i="8"/>
  <c r="M203" i="8" s="1"/>
  <c r="M25" i="8" s="1"/>
  <c r="M201" i="8"/>
  <c r="H50" i="8"/>
  <c r="H51" i="8"/>
  <c r="M43" i="8"/>
  <c r="L110" i="8"/>
  <c r="E90" i="8"/>
  <c r="K46" i="8"/>
  <c r="H46" i="8"/>
  <c r="E46" i="8"/>
  <c r="L78" i="8"/>
  <c r="L76" i="8"/>
  <c r="M73" i="8"/>
  <c r="N54" i="8"/>
  <c r="H54" i="8"/>
  <c r="M93" i="8"/>
  <c r="L93" i="8"/>
  <c r="Q203" i="8"/>
  <c r="O203" i="8"/>
  <c r="L203" i="8"/>
  <c r="J203" i="8"/>
  <c r="I203" i="8"/>
  <c r="G203" i="8"/>
  <c r="F203" i="8"/>
  <c r="D203" i="8"/>
  <c r="C203" i="8"/>
  <c r="R202" i="8"/>
  <c r="N202" i="8"/>
  <c r="K202" i="8"/>
  <c r="H202" i="8"/>
  <c r="E202" i="8"/>
  <c r="R201" i="8"/>
  <c r="R203" i="8" s="1"/>
  <c r="P203" i="8" s="1"/>
  <c r="P25" i="8" s="1"/>
  <c r="N201" i="8"/>
  <c r="K201" i="8"/>
  <c r="H201" i="8"/>
  <c r="E201" i="8"/>
  <c r="Q196" i="8"/>
  <c r="O196" i="8"/>
  <c r="M196" i="8"/>
  <c r="L196" i="8"/>
  <c r="J196" i="8"/>
  <c r="I196" i="8"/>
  <c r="G196" i="8"/>
  <c r="F196" i="8"/>
  <c r="D196" i="8"/>
  <c r="C196" i="8"/>
  <c r="R195" i="8"/>
  <c r="N195" i="8"/>
  <c r="K195" i="8"/>
  <c r="H195" i="8"/>
  <c r="E195" i="8"/>
  <c r="R194" i="8"/>
  <c r="N194" i="8"/>
  <c r="K194" i="8"/>
  <c r="H194" i="8"/>
  <c r="E194" i="8"/>
  <c r="R193" i="8"/>
  <c r="N193" i="8"/>
  <c r="K193" i="8"/>
  <c r="H193" i="8"/>
  <c r="E193" i="8"/>
  <c r="R192" i="8"/>
  <c r="N192" i="8"/>
  <c r="K192" i="8"/>
  <c r="H192" i="8"/>
  <c r="E192" i="8"/>
  <c r="R191" i="8"/>
  <c r="N191" i="8"/>
  <c r="K191" i="8"/>
  <c r="H191" i="8"/>
  <c r="E191" i="8"/>
  <c r="R190" i="8"/>
  <c r="N190" i="8"/>
  <c r="K190" i="8"/>
  <c r="H190" i="8"/>
  <c r="E190" i="8"/>
  <c r="R189" i="8"/>
  <c r="N189" i="8"/>
  <c r="K189" i="8"/>
  <c r="H189" i="8"/>
  <c r="E189" i="8"/>
  <c r="R188" i="8"/>
  <c r="N188" i="8"/>
  <c r="K188" i="8"/>
  <c r="H188" i="8"/>
  <c r="E188" i="8"/>
  <c r="R187" i="8"/>
  <c r="N187" i="8"/>
  <c r="K187" i="8"/>
  <c r="H187" i="8"/>
  <c r="E187" i="8"/>
  <c r="R186" i="8"/>
  <c r="N186" i="8"/>
  <c r="K186" i="8"/>
  <c r="H186" i="8"/>
  <c r="E186" i="8"/>
  <c r="R185" i="8"/>
  <c r="N185" i="8"/>
  <c r="K185" i="8"/>
  <c r="H185" i="8"/>
  <c r="E185" i="8"/>
  <c r="Q182" i="8"/>
  <c r="O182" i="8"/>
  <c r="M182" i="8"/>
  <c r="M16" i="8" s="1"/>
  <c r="L182" i="8"/>
  <c r="J182" i="8"/>
  <c r="I182" i="8"/>
  <c r="G182" i="8"/>
  <c r="F182" i="8"/>
  <c r="D182" i="8"/>
  <c r="C182" i="8"/>
  <c r="R181" i="8"/>
  <c r="N181" i="8"/>
  <c r="K181" i="8"/>
  <c r="E181" i="8"/>
  <c r="R180" i="8"/>
  <c r="N180" i="8"/>
  <c r="K180" i="8"/>
  <c r="H180" i="8"/>
  <c r="E180" i="8"/>
  <c r="R179" i="8"/>
  <c r="N179" i="8"/>
  <c r="K179" i="8"/>
  <c r="H179" i="8"/>
  <c r="E179" i="8"/>
  <c r="R178" i="8"/>
  <c r="N178" i="8"/>
  <c r="K178" i="8"/>
  <c r="H178" i="8"/>
  <c r="E178" i="8"/>
  <c r="R177" i="8"/>
  <c r="R176" i="8"/>
  <c r="N176" i="8"/>
  <c r="K176" i="8"/>
  <c r="H176" i="8"/>
  <c r="E176" i="8"/>
  <c r="R175" i="8"/>
  <c r="N175" i="8"/>
  <c r="K175" i="8"/>
  <c r="H175" i="8"/>
  <c r="E175" i="8"/>
  <c r="R174" i="8"/>
  <c r="N174" i="8"/>
  <c r="K174" i="8"/>
  <c r="H174" i="8"/>
  <c r="E174" i="8"/>
  <c r="R173" i="8"/>
  <c r="N173" i="8"/>
  <c r="K173" i="8"/>
  <c r="H173" i="8"/>
  <c r="E173" i="8"/>
  <c r="R172" i="8"/>
  <c r="K172" i="8"/>
  <c r="E172" i="8"/>
  <c r="Q169" i="8"/>
  <c r="O169" i="8"/>
  <c r="M169" i="8"/>
  <c r="L169" i="8"/>
  <c r="J169" i="8"/>
  <c r="I169" i="8"/>
  <c r="G169" i="8"/>
  <c r="F169" i="8"/>
  <c r="D169" i="8"/>
  <c r="C169" i="8"/>
  <c r="R168" i="8"/>
  <c r="K168" i="8"/>
  <c r="H168" i="8"/>
  <c r="E168" i="8"/>
  <c r="R167" i="8"/>
  <c r="R166" i="8"/>
  <c r="N166" i="8"/>
  <c r="K166" i="8"/>
  <c r="H166" i="8"/>
  <c r="E166" i="8"/>
  <c r="Q163" i="8"/>
  <c r="O163" i="8"/>
  <c r="M163" i="8"/>
  <c r="L163" i="8"/>
  <c r="J163" i="8"/>
  <c r="I163" i="8"/>
  <c r="G163" i="8"/>
  <c r="F163" i="8"/>
  <c r="D163" i="8"/>
  <c r="D15" i="8" s="1"/>
  <c r="C163" i="8"/>
  <c r="R162" i="8"/>
  <c r="K162" i="8"/>
  <c r="H162" i="8"/>
  <c r="E162" i="8"/>
  <c r="R161" i="8"/>
  <c r="N161" i="8"/>
  <c r="K161" i="8"/>
  <c r="H161" i="8"/>
  <c r="E161" i="8"/>
  <c r="R160" i="8"/>
  <c r="R159" i="8"/>
  <c r="N159" i="8"/>
  <c r="K159" i="8"/>
  <c r="H159" i="8"/>
  <c r="E159" i="8"/>
  <c r="R158" i="8"/>
  <c r="K158" i="8"/>
  <c r="H158" i="8"/>
  <c r="E158" i="8"/>
  <c r="Q153" i="8"/>
  <c r="O153" i="8"/>
  <c r="M153" i="8"/>
  <c r="L153" i="8"/>
  <c r="J153" i="8"/>
  <c r="I153" i="8"/>
  <c r="G153" i="8"/>
  <c r="F153" i="8"/>
  <c r="D153" i="8"/>
  <c r="C153" i="8"/>
  <c r="R152" i="8"/>
  <c r="R151" i="8"/>
  <c r="N151" i="8"/>
  <c r="K151" i="8"/>
  <c r="H151" i="8"/>
  <c r="E151" i="8"/>
  <c r="R150" i="8"/>
  <c r="N150" i="8"/>
  <c r="K150" i="8"/>
  <c r="H150" i="8"/>
  <c r="E150" i="8"/>
  <c r="R149" i="8"/>
  <c r="K149" i="8"/>
  <c r="H149" i="8"/>
  <c r="E149" i="8"/>
  <c r="R148" i="8"/>
  <c r="N148" i="8"/>
  <c r="K148" i="8"/>
  <c r="H148" i="8"/>
  <c r="E148" i="8"/>
  <c r="R147" i="8"/>
  <c r="N147" i="8"/>
  <c r="K147" i="8"/>
  <c r="H147" i="8"/>
  <c r="E147" i="8"/>
  <c r="R146" i="8"/>
  <c r="N146" i="8"/>
  <c r="K146" i="8"/>
  <c r="H146" i="8"/>
  <c r="E146" i="8"/>
  <c r="Q143" i="8"/>
  <c r="Q154" i="8" s="1"/>
  <c r="O143" i="8"/>
  <c r="O154" i="8" s="1"/>
  <c r="O13" i="8" s="1"/>
  <c r="M143" i="8"/>
  <c r="M154" i="8" s="1"/>
  <c r="L143" i="8"/>
  <c r="L154" i="8" s="1"/>
  <c r="J143" i="8"/>
  <c r="J154" i="8" s="1"/>
  <c r="I143" i="8"/>
  <c r="I154" i="8" s="1"/>
  <c r="G143" i="8"/>
  <c r="G154" i="8" s="1"/>
  <c r="F143" i="8"/>
  <c r="F154" i="8" s="1"/>
  <c r="D143" i="8"/>
  <c r="D154" i="8" s="1"/>
  <c r="C143" i="8"/>
  <c r="C154" i="8" s="1"/>
  <c r="R142" i="8"/>
  <c r="R141" i="8"/>
  <c r="N141" i="8"/>
  <c r="K141" i="8"/>
  <c r="H141" i="8"/>
  <c r="E141" i="8"/>
  <c r="R140" i="8"/>
  <c r="N140" i="8"/>
  <c r="K140" i="8"/>
  <c r="H140" i="8"/>
  <c r="E140" i="8"/>
  <c r="R139" i="8"/>
  <c r="N139" i="8"/>
  <c r="K139" i="8"/>
  <c r="H139" i="8"/>
  <c r="E139" i="8"/>
  <c r="R138" i="8"/>
  <c r="N138" i="8"/>
  <c r="K138" i="8"/>
  <c r="H138" i="8"/>
  <c r="E138" i="8"/>
  <c r="Q135" i="8"/>
  <c r="O135" i="8"/>
  <c r="M135" i="8"/>
  <c r="L135" i="8"/>
  <c r="J135" i="8"/>
  <c r="I135" i="8"/>
  <c r="G135" i="8"/>
  <c r="F135" i="8"/>
  <c r="D135" i="8"/>
  <c r="C135" i="8"/>
  <c r="R134" i="8"/>
  <c r="K134" i="8"/>
  <c r="H134" i="8"/>
  <c r="E134" i="8"/>
  <c r="R133" i="8"/>
  <c r="R132" i="8"/>
  <c r="K132" i="8"/>
  <c r="E132" i="8"/>
  <c r="R131" i="8"/>
  <c r="R130" i="8"/>
  <c r="R129" i="8"/>
  <c r="K129" i="8"/>
  <c r="H129" i="8"/>
  <c r="E129" i="8"/>
  <c r="R128" i="8"/>
  <c r="R127" i="8"/>
  <c r="R126" i="8"/>
  <c r="Q123" i="8"/>
  <c r="Q22" i="8" s="1"/>
  <c r="O123" i="8"/>
  <c r="M123" i="8"/>
  <c r="M22" i="8" s="1"/>
  <c r="L123" i="8"/>
  <c r="J123" i="8"/>
  <c r="J22" i="8" s="1"/>
  <c r="I123" i="8"/>
  <c r="G123" i="8"/>
  <c r="G22" i="8" s="1"/>
  <c r="F123" i="8"/>
  <c r="D123" i="8"/>
  <c r="D22" i="8" s="1"/>
  <c r="C123" i="8"/>
  <c r="C22" i="8" s="1"/>
  <c r="R122" i="8"/>
  <c r="K122" i="8"/>
  <c r="H122" i="8"/>
  <c r="E122" i="8"/>
  <c r="R121" i="8"/>
  <c r="K121" i="8"/>
  <c r="H121" i="8"/>
  <c r="E121" i="8"/>
  <c r="R120" i="8"/>
  <c r="K120" i="8"/>
  <c r="H120" i="8"/>
  <c r="E120" i="8"/>
  <c r="R119" i="8"/>
  <c r="K119" i="8"/>
  <c r="E119" i="8"/>
  <c r="R118" i="8"/>
  <c r="N118" i="8"/>
  <c r="K118" i="8"/>
  <c r="H118" i="8"/>
  <c r="E118" i="8"/>
  <c r="R117" i="8"/>
  <c r="R116" i="8"/>
  <c r="R115" i="8"/>
  <c r="R114" i="8"/>
  <c r="K114" i="8"/>
  <c r="H114" i="8"/>
  <c r="E114" i="8"/>
  <c r="R113" i="8"/>
  <c r="K113" i="8"/>
  <c r="H113" i="8"/>
  <c r="E113" i="8"/>
  <c r="R112" i="8"/>
  <c r="R111" i="8"/>
  <c r="R110" i="8"/>
  <c r="N110" i="8"/>
  <c r="K110" i="8"/>
  <c r="H110" i="8"/>
  <c r="E110" i="8"/>
  <c r="R109" i="8"/>
  <c r="K109" i="8"/>
  <c r="H109" i="8"/>
  <c r="E109" i="8"/>
  <c r="R108" i="8"/>
  <c r="R107" i="8"/>
  <c r="N107" i="8"/>
  <c r="K107" i="8"/>
  <c r="E107" i="8"/>
  <c r="R106" i="8"/>
  <c r="R105" i="8"/>
  <c r="N105" i="8"/>
  <c r="K105" i="8"/>
  <c r="H105" i="8"/>
  <c r="E105" i="8"/>
  <c r="R104" i="8"/>
  <c r="R103" i="8"/>
  <c r="R102" i="8"/>
  <c r="N102" i="8"/>
  <c r="K102" i="8"/>
  <c r="H102" i="8"/>
  <c r="E102" i="8"/>
  <c r="R101" i="8"/>
  <c r="K101" i="8"/>
  <c r="E101" i="8"/>
  <c r="R100" i="8"/>
  <c r="R99" i="8"/>
  <c r="R98" i="8"/>
  <c r="N98" i="8"/>
  <c r="K98" i="8"/>
  <c r="H98" i="8"/>
  <c r="E98" i="8"/>
  <c r="Q95" i="8"/>
  <c r="O95" i="8"/>
  <c r="M95" i="8"/>
  <c r="L95" i="8"/>
  <c r="J95" i="8"/>
  <c r="I95" i="8"/>
  <c r="G95" i="8"/>
  <c r="F95" i="8"/>
  <c r="D95" i="8"/>
  <c r="C95" i="8"/>
  <c r="R94" i="8"/>
  <c r="N94" i="8"/>
  <c r="K94" i="8"/>
  <c r="H94" i="8"/>
  <c r="E94" i="8"/>
  <c r="R93" i="8"/>
  <c r="N93" i="8"/>
  <c r="K93" i="8"/>
  <c r="H93" i="8"/>
  <c r="E93" i="8"/>
  <c r="R92" i="8"/>
  <c r="K92" i="8"/>
  <c r="H92" i="8"/>
  <c r="E92" i="8"/>
  <c r="R91" i="8"/>
  <c r="N91" i="8"/>
  <c r="K91" i="8"/>
  <c r="H91" i="8"/>
  <c r="E91" i="8"/>
  <c r="R90" i="8"/>
  <c r="K90" i="8"/>
  <c r="H90" i="8"/>
  <c r="R89" i="8"/>
  <c r="R88" i="8"/>
  <c r="K88" i="8"/>
  <c r="H88" i="8"/>
  <c r="E88" i="8"/>
  <c r="R87" i="8"/>
  <c r="N87" i="8"/>
  <c r="K87" i="8"/>
  <c r="H87" i="8"/>
  <c r="E87" i="8"/>
  <c r="R86" i="8"/>
  <c r="N86" i="8"/>
  <c r="K86" i="8"/>
  <c r="H86" i="8"/>
  <c r="E86" i="8"/>
  <c r="R85" i="8"/>
  <c r="N85" i="8"/>
  <c r="K85" i="8"/>
  <c r="H85" i="8"/>
  <c r="E85" i="8"/>
  <c r="R84" i="8"/>
  <c r="K84" i="8"/>
  <c r="H84" i="8"/>
  <c r="E84" i="8"/>
  <c r="Q80" i="8"/>
  <c r="O80" i="8"/>
  <c r="M80" i="8"/>
  <c r="L80" i="8"/>
  <c r="J80" i="8"/>
  <c r="I80" i="8"/>
  <c r="G80" i="8"/>
  <c r="F80" i="8"/>
  <c r="D80" i="8"/>
  <c r="C80" i="8"/>
  <c r="R79" i="8"/>
  <c r="K79" i="8"/>
  <c r="E79" i="8"/>
  <c r="R78" i="8"/>
  <c r="N78" i="8"/>
  <c r="K78" i="8"/>
  <c r="H78" i="8"/>
  <c r="E78" i="8"/>
  <c r="R77" i="8"/>
  <c r="N77" i="8"/>
  <c r="K77" i="8"/>
  <c r="H77" i="8"/>
  <c r="E77" i="8"/>
  <c r="R76" i="8"/>
  <c r="K76" i="8"/>
  <c r="H76" i="8"/>
  <c r="E76" i="8"/>
  <c r="R75" i="8"/>
  <c r="K75" i="8"/>
  <c r="H75" i="8"/>
  <c r="E75" i="8"/>
  <c r="R74" i="8"/>
  <c r="K74" i="8"/>
  <c r="H74" i="8"/>
  <c r="E74" i="8"/>
  <c r="R73" i="8"/>
  <c r="N73" i="8"/>
  <c r="K73" i="8"/>
  <c r="H73" i="8"/>
  <c r="E73" i="8"/>
  <c r="R72" i="8"/>
  <c r="K72" i="8"/>
  <c r="H72" i="8"/>
  <c r="E72" i="8"/>
  <c r="Q69" i="8"/>
  <c r="O69" i="8"/>
  <c r="M69" i="8"/>
  <c r="L69" i="8"/>
  <c r="J69" i="8"/>
  <c r="I69" i="8"/>
  <c r="G69" i="8"/>
  <c r="F69" i="8"/>
  <c r="D69" i="8"/>
  <c r="C69" i="8"/>
  <c r="R68" i="8"/>
  <c r="R67" i="8"/>
  <c r="N67" i="8"/>
  <c r="K67" i="8"/>
  <c r="H67" i="8"/>
  <c r="E67" i="8"/>
  <c r="R66" i="8"/>
  <c r="N66" i="8"/>
  <c r="K66" i="8"/>
  <c r="H66" i="8"/>
  <c r="E66" i="8"/>
  <c r="R65" i="8"/>
  <c r="N65" i="8"/>
  <c r="K65" i="8"/>
  <c r="H65" i="8"/>
  <c r="E65" i="8"/>
  <c r="R64" i="8"/>
  <c r="R63" i="8"/>
  <c r="N63" i="8"/>
  <c r="K63" i="8"/>
  <c r="H63" i="8"/>
  <c r="E63" i="8"/>
  <c r="R62" i="8"/>
  <c r="K62" i="8"/>
  <c r="H62" i="8"/>
  <c r="E62" i="8"/>
  <c r="R61" i="8"/>
  <c r="K61" i="8"/>
  <c r="H61" i="8"/>
  <c r="E61" i="8"/>
  <c r="R60" i="8"/>
  <c r="N60" i="8"/>
  <c r="K60" i="8"/>
  <c r="H60" i="8"/>
  <c r="E60" i="8"/>
  <c r="Q57" i="8"/>
  <c r="Q81" i="8" s="1"/>
  <c r="O57" i="8"/>
  <c r="O17" i="8" s="1"/>
  <c r="M57" i="8"/>
  <c r="L57" i="8"/>
  <c r="L17" i="8" s="1"/>
  <c r="J57" i="8"/>
  <c r="J17" i="8" s="1"/>
  <c r="I57" i="8"/>
  <c r="I17" i="8" s="1"/>
  <c r="G57" i="8"/>
  <c r="F57" i="8"/>
  <c r="F17" i="8" s="1"/>
  <c r="D57" i="8"/>
  <c r="D17" i="8" s="1"/>
  <c r="C57" i="8"/>
  <c r="R56" i="8"/>
  <c r="R55" i="8"/>
  <c r="R54" i="8"/>
  <c r="K54" i="8"/>
  <c r="E54" i="8"/>
  <c r="R53" i="8"/>
  <c r="K53" i="8"/>
  <c r="H53" i="8"/>
  <c r="E53" i="8"/>
  <c r="R52" i="8"/>
  <c r="K52" i="8"/>
  <c r="H52" i="8"/>
  <c r="E52" i="8"/>
  <c r="R51" i="8"/>
  <c r="N51" i="8"/>
  <c r="K51" i="8"/>
  <c r="E51" i="8"/>
  <c r="R50" i="8"/>
  <c r="N50" i="8"/>
  <c r="K50" i="8"/>
  <c r="E50" i="8"/>
  <c r="R49" i="8"/>
  <c r="N49" i="8"/>
  <c r="K49" i="8"/>
  <c r="H49" i="8"/>
  <c r="E49" i="8"/>
  <c r="R48" i="8"/>
  <c r="K48" i="8"/>
  <c r="H48" i="8"/>
  <c r="E48" i="8"/>
  <c r="R47" i="8"/>
  <c r="K47" i="8"/>
  <c r="H47" i="8"/>
  <c r="E47" i="8"/>
  <c r="R46" i="8"/>
  <c r="R45" i="8"/>
  <c r="N45" i="8"/>
  <c r="K45" i="8"/>
  <c r="H45" i="8"/>
  <c r="E45" i="8"/>
  <c r="R44" i="8"/>
  <c r="N44" i="8"/>
  <c r="K44" i="8"/>
  <c r="H44" i="8"/>
  <c r="E44" i="8"/>
  <c r="R43" i="8"/>
  <c r="N43" i="8"/>
  <c r="K43" i="8"/>
  <c r="H43" i="8"/>
  <c r="E43" i="8"/>
  <c r="R42" i="8"/>
  <c r="N42" i="8"/>
  <c r="K42" i="8"/>
  <c r="H42" i="8"/>
  <c r="E42" i="8"/>
  <c r="R41" i="8"/>
  <c r="R40" i="8"/>
  <c r="N40" i="8"/>
  <c r="K40" i="8"/>
  <c r="H40" i="8"/>
  <c r="E40" i="8"/>
  <c r="Q25" i="8"/>
  <c r="O25" i="8"/>
  <c r="R25" i="8" s="1"/>
  <c r="L25" i="8"/>
  <c r="J25" i="8"/>
  <c r="I25" i="8"/>
  <c r="G25" i="8"/>
  <c r="F25" i="8"/>
  <c r="D25" i="8"/>
  <c r="C25" i="8"/>
  <c r="Q24" i="8"/>
  <c r="O24" i="8"/>
  <c r="M24" i="8"/>
  <c r="L24" i="8"/>
  <c r="J24" i="8"/>
  <c r="I24" i="8"/>
  <c r="G24" i="8"/>
  <c r="F24" i="8"/>
  <c r="D24" i="8"/>
  <c r="C24" i="8"/>
  <c r="Q23" i="8"/>
  <c r="O23" i="8"/>
  <c r="N23" i="8"/>
  <c r="M23" i="8"/>
  <c r="L23" i="8"/>
  <c r="J23" i="8"/>
  <c r="I23" i="8"/>
  <c r="G23" i="8"/>
  <c r="F23" i="8"/>
  <c r="D23" i="8"/>
  <c r="C23" i="8"/>
  <c r="O22" i="8"/>
  <c r="L22" i="8"/>
  <c r="F22" i="8"/>
  <c r="Q21" i="8"/>
  <c r="O21" i="8"/>
  <c r="N21" i="8"/>
  <c r="M21" i="8"/>
  <c r="L21" i="8"/>
  <c r="J21" i="8"/>
  <c r="I21" i="8"/>
  <c r="G21" i="8"/>
  <c r="F21" i="8"/>
  <c r="D21" i="8"/>
  <c r="C21" i="8"/>
  <c r="Q20" i="8"/>
  <c r="O20" i="8"/>
  <c r="M20" i="8"/>
  <c r="L20" i="8"/>
  <c r="J20" i="8"/>
  <c r="I20" i="8"/>
  <c r="G20" i="8"/>
  <c r="F20" i="8"/>
  <c r="D20" i="8"/>
  <c r="C20" i="8"/>
  <c r="Q19" i="8"/>
  <c r="O19" i="8"/>
  <c r="M19" i="8"/>
  <c r="L19" i="8"/>
  <c r="J19" i="8"/>
  <c r="I19" i="8"/>
  <c r="G19" i="8"/>
  <c r="F19" i="8"/>
  <c r="D19" i="8"/>
  <c r="C19" i="8"/>
  <c r="Q18" i="8"/>
  <c r="O18" i="8"/>
  <c r="M18" i="8"/>
  <c r="L18" i="8"/>
  <c r="J18" i="8"/>
  <c r="I18" i="8"/>
  <c r="G18" i="8"/>
  <c r="F18" i="8"/>
  <c r="D18" i="8"/>
  <c r="C18" i="8"/>
  <c r="M17" i="8"/>
  <c r="G17" i="8"/>
  <c r="C17" i="8"/>
  <c r="Q16" i="8"/>
  <c r="O16" i="8"/>
  <c r="L16" i="8"/>
  <c r="J16" i="8"/>
  <c r="I16" i="8"/>
  <c r="G16" i="8"/>
  <c r="F16" i="8"/>
  <c r="D16" i="8"/>
  <c r="C16" i="8"/>
  <c r="Q15" i="8"/>
  <c r="O15" i="8"/>
  <c r="M15" i="8"/>
  <c r="L15" i="8"/>
  <c r="J15" i="8"/>
  <c r="I15" i="8"/>
  <c r="G15" i="8"/>
  <c r="F15" i="8"/>
  <c r="C15" i="8"/>
  <c r="Q14" i="8"/>
  <c r="O14" i="8"/>
  <c r="M14" i="8"/>
  <c r="L14" i="8"/>
  <c r="J14" i="8"/>
  <c r="I14" i="8"/>
  <c r="G14" i="8"/>
  <c r="F14" i="8"/>
  <c r="D14" i="8"/>
  <c r="C14" i="8"/>
  <c r="Q13" i="8"/>
  <c r="M13" i="8"/>
  <c r="L13" i="8"/>
  <c r="J13" i="8"/>
  <c r="I13" i="8"/>
  <c r="G13" i="8"/>
  <c r="F13" i="8"/>
  <c r="D13" i="8"/>
  <c r="C13" i="8"/>
  <c r="Q143" i="7"/>
  <c r="O143" i="7"/>
  <c r="M143" i="7"/>
  <c r="L143" i="7"/>
  <c r="J143" i="7"/>
  <c r="I143" i="7"/>
  <c r="G143" i="7"/>
  <c r="F143" i="7"/>
  <c r="D143" i="7"/>
  <c r="C143" i="7"/>
  <c r="Q153" i="7"/>
  <c r="Q14" i="7" s="1"/>
  <c r="O153" i="7"/>
  <c r="O14" i="7" s="1"/>
  <c r="M153" i="7"/>
  <c r="M14" i="7" s="1"/>
  <c r="L153" i="7"/>
  <c r="L14" i="7" s="1"/>
  <c r="J153" i="7"/>
  <c r="J14" i="7" s="1"/>
  <c r="I153" i="7"/>
  <c r="G153" i="7"/>
  <c r="G14" i="7" s="1"/>
  <c r="F153" i="7"/>
  <c r="F14" i="7" s="1"/>
  <c r="D153" i="7"/>
  <c r="D14" i="7" s="1"/>
  <c r="C153" i="7"/>
  <c r="N161" i="7"/>
  <c r="N173" i="7"/>
  <c r="K173" i="7"/>
  <c r="H173" i="7"/>
  <c r="E173" i="7"/>
  <c r="K161" i="7"/>
  <c r="R15" i="8" l="1"/>
  <c r="R163" i="8"/>
  <c r="P163" i="8" s="1"/>
  <c r="P15" i="8" s="1"/>
  <c r="R169" i="8"/>
  <c r="P169" i="8" s="1"/>
  <c r="P21" i="8" s="1"/>
  <c r="E196" i="8"/>
  <c r="E24" i="8" s="1"/>
  <c r="K196" i="8"/>
  <c r="K24" i="8" s="1"/>
  <c r="N196" i="8"/>
  <c r="N24" i="8" s="1"/>
  <c r="R78" i="10"/>
  <c r="P78" i="10" s="1"/>
  <c r="K23" i="10"/>
  <c r="L78" i="10"/>
  <c r="N78" i="10" s="1"/>
  <c r="N54" i="10"/>
  <c r="N14" i="10" s="1"/>
  <c r="L14" i="10"/>
  <c r="L23" i="10" s="1"/>
  <c r="N23" i="10" s="1"/>
  <c r="R23" i="10"/>
  <c r="P23" i="10" s="1"/>
  <c r="R149" i="9"/>
  <c r="P149" i="9" s="1"/>
  <c r="P11" i="9" s="1"/>
  <c r="E120" i="9"/>
  <c r="H192" i="9"/>
  <c r="H21" i="9" s="1"/>
  <c r="M197" i="9"/>
  <c r="M22" i="9" s="1"/>
  <c r="K197" i="9"/>
  <c r="K22" i="9" s="1"/>
  <c r="H197" i="9"/>
  <c r="H22" i="9" s="1"/>
  <c r="E197" i="9"/>
  <c r="E22" i="9" s="1"/>
  <c r="R165" i="9"/>
  <c r="P165" i="9" s="1"/>
  <c r="P18" i="9" s="1"/>
  <c r="Q78" i="9"/>
  <c r="R159" i="9"/>
  <c r="P159" i="9" s="1"/>
  <c r="P12" i="9" s="1"/>
  <c r="R66" i="9"/>
  <c r="P66" i="9" s="1"/>
  <c r="P15" i="9" s="1"/>
  <c r="R54" i="9"/>
  <c r="I150" i="9"/>
  <c r="G150" i="9"/>
  <c r="G78" i="9"/>
  <c r="R178" i="9"/>
  <c r="P178" i="9" s="1"/>
  <c r="P13" i="9" s="1"/>
  <c r="K165" i="9"/>
  <c r="K18" i="9" s="1"/>
  <c r="H165" i="9"/>
  <c r="H18" i="9" s="1"/>
  <c r="E165" i="9"/>
  <c r="E18" i="9" s="1"/>
  <c r="L78" i="9"/>
  <c r="J150" i="9"/>
  <c r="D150" i="9"/>
  <c r="K159" i="9"/>
  <c r="K12" i="9" s="1"/>
  <c r="K178" i="9"/>
  <c r="K13" i="9" s="1"/>
  <c r="H178" i="9"/>
  <c r="H13" i="9" s="1"/>
  <c r="E178" i="9"/>
  <c r="E13" i="9" s="1"/>
  <c r="N149" i="9"/>
  <c r="N11" i="9" s="1"/>
  <c r="K149" i="9"/>
  <c r="K11" i="9" s="1"/>
  <c r="H149" i="9"/>
  <c r="H11" i="9" s="1"/>
  <c r="E149" i="9"/>
  <c r="E11" i="9" s="1"/>
  <c r="C150" i="9"/>
  <c r="H159" i="9"/>
  <c r="H12" i="9" s="1"/>
  <c r="E159" i="9"/>
  <c r="E12" i="9" s="1"/>
  <c r="C12" i="9"/>
  <c r="K131" i="9"/>
  <c r="K20" i="9" s="1"/>
  <c r="H131" i="9"/>
  <c r="H20" i="9" s="1"/>
  <c r="E131" i="9"/>
  <c r="E20" i="9" s="1"/>
  <c r="K66" i="9"/>
  <c r="K15" i="9" s="1"/>
  <c r="H66" i="9"/>
  <c r="H15" i="9" s="1"/>
  <c r="E66" i="9"/>
  <c r="E15" i="9" s="1"/>
  <c r="J23" i="9"/>
  <c r="J78" i="9"/>
  <c r="O23" i="9"/>
  <c r="K54" i="9"/>
  <c r="K14" i="9" s="1"/>
  <c r="G14" i="9"/>
  <c r="G23" i="9" s="1"/>
  <c r="E54" i="9"/>
  <c r="E14" i="9" s="1"/>
  <c r="K120" i="9"/>
  <c r="K19" i="9" s="1"/>
  <c r="H120" i="9"/>
  <c r="H19" i="9" s="1"/>
  <c r="E19" i="9"/>
  <c r="K92" i="9"/>
  <c r="K17" i="9" s="1"/>
  <c r="I23" i="9"/>
  <c r="K23" i="9" s="1"/>
  <c r="H92" i="9"/>
  <c r="H17" i="9" s="1"/>
  <c r="E92" i="9"/>
  <c r="E17" i="9" s="1"/>
  <c r="O78" i="9"/>
  <c r="K77" i="9"/>
  <c r="K16" i="9" s="1"/>
  <c r="H77" i="9"/>
  <c r="H16" i="9" s="1"/>
  <c r="F78" i="9"/>
  <c r="H78" i="9" s="1"/>
  <c r="R197" i="9"/>
  <c r="P197" i="9" s="1"/>
  <c r="P22" i="9" s="1"/>
  <c r="R22" i="9" s="1"/>
  <c r="F22" i="9"/>
  <c r="F23" i="9" s="1"/>
  <c r="R192" i="9"/>
  <c r="P192" i="9" s="1"/>
  <c r="P21" i="9" s="1"/>
  <c r="R21" i="9" s="1"/>
  <c r="R13" i="9"/>
  <c r="R18" i="9"/>
  <c r="R12" i="9"/>
  <c r="R11" i="9"/>
  <c r="Q23" i="9"/>
  <c r="F150" i="9"/>
  <c r="H150" i="9" s="1"/>
  <c r="R139" i="9"/>
  <c r="P139" i="9" s="1"/>
  <c r="P10" i="9" s="1"/>
  <c r="R10" i="9" s="1"/>
  <c r="R131" i="9"/>
  <c r="P131" i="9" s="1"/>
  <c r="P20" i="9" s="1"/>
  <c r="R20" i="9" s="1"/>
  <c r="R120" i="9"/>
  <c r="P120" i="9" s="1"/>
  <c r="P19" i="9" s="1"/>
  <c r="R19" i="9" s="1"/>
  <c r="R92" i="9"/>
  <c r="P92" i="9" s="1"/>
  <c r="P17" i="9" s="1"/>
  <c r="R17" i="9" s="1"/>
  <c r="R77" i="9"/>
  <c r="P77" i="9" s="1"/>
  <c r="P16" i="9" s="1"/>
  <c r="R16" i="9" s="1"/>
  <c r="D78" i="9"/>
  <c r="E77" i="9"/>
  <c r="E16" i="9" s="1"/>
  <c r="R15" i="9"/>
  <c r="L14" i="9"/>
  <c r="D23" i="9"/>
  <c r="C14" i="9"/>
  <c r="C23" i="9" s="1"/>
  <c r="L17" i="9"/>
  <c r="N92" i="9"/>
  <c r="N17" i="9" s="1"/>
  <c r="L19" i="9"/>
  <c r="N120" i="9"/>
  <c r="N19" i="9" s="1"/>
  <c r="L10" i="9"/>
  <c r="L150" i="9"/>
  <c r="N150" i="9" s="1"/>
  <c r="N139" i="9"/>
  <c r="N10" i="9" s="1"/>
  <c r="N197" i="9"/>
  <c r="N22" i="9" s="1"/>
  <c r="P54" i="9"/>
  <c r="P14" i="9" s="1"/>
  <c r="R14" i="9" s="1"/>
  <c r="M78" i="9"/>
  <c r="M14" i="9"/>
  <c r="M23" i="9" s="1"/>
  <c r="N66" i="9"/>
  <c r="N15" i="9" s="1"/>
  <c r="L15" i="9"/>
  <c r="R150" i="9"/>
  <c r="P150" i="9" s="1"/>
  <c r="L12" i="9"/>
  <c r="N159" i="9"/>
  <c r="N12" i="9" s="1"/>
  <c r="N77" i="9"/>
  <c r="N16" i="9" s="1"/>
  <c r="K150" i="9"/>
  <c r="N178" i="9"/>
  <c r="N13" i="9" s="1"/>
  <c r="H54" i="9"/>
  <c r="H14" i="9" s="1"/>
  <c r="N54" i="9"/>
  <c r="N14" i="9" s="1"/>
  <c r="C78" i="9"/>
  <c r="I78" i="9"/>
  <c r="K78" i="9" s="1"/>
  <c r="N90" i="9"/>
  <c r="N102" i="9"/>
  <c r="H139" i="9"/>
  <c r="H10" i="9" s="1"/>
  <c r="N60" i="9"/>
  <c r="E139" i="9"/>
  <c r="E10" i="9" s="1"/>
  <c r="K139" i="9"/>
  <c r="K10" i="9" s="1"/>
  <c r="H196" i="8"/>
  <c r="H24" i="8" s="1"/>
  <c r="R123" i="8"/>
  <c r="P123" i="8" s="1"/>
  <c r="P22" i="8" s="1"/>
  <c r="R22" i="8" s="1"/>
  <c r="F81" i="8"/>
  <c r="H169" i="8"/>
  <c r="H21" i="8" s="1"/>
  <c r="O81" i="8"/>
  <c r="M81" i="8"/>
  <c r="K182" i="8"/>
  <c r="K16" i="8" s="1"/>
  <c r="H182" i="8"/>
  <c r="H16" i="8" s="1"/>
  <c r="E182" i="8"/>
  <c r="E16" i="8" s="1"/>
  <c r="R69" i="8"/>
  <c r="P69" i="8" s="1"/>
  <c r="P18" i="8" s="1"/>
  <c r="R18" i="8" s="1"/>
  <c r="N203" i="8"/>
  <c r="N25" i="8" s="1"/>
  <c r="K203" i="8"/>
  <c r="K25" i="8" s="1"/>
  <c r="H203" i="8"/>
  <c r="H25" i="8" s="1"/>
  <c r="E203" i="8"/>
  <c r="E25" i="8" s="1"/>
  <c r="K169" i="8"/>
  <c r="K21" i="8" s="1"/>
  <c r="E169" i="8"/>
  <c r="E21" i="8" s="1"/>
  <c r="N163" i="8"/>
  <c r="N15" i="8" s="1"/>
  <c r="K163" i="8"/>
  <c r="K15" i="8" s="1"/>
  <c r="H163" i="8"/>
  <c r="H15" i="8" s="1"/>
  <c r="E163" i="8"/>
  <c r="E15" i="8" s="1"/>
  <c r="L81" i="8"/>
  <c r="G81" i="8"/>
  <c r="H81" i="8" s="1"/>
  <c r="N123" i="8"/>
  <c r="N22" i="8" s="1"/>
  <c r="K123" i="8"/>
  <c r="K22" i="8" s="1"/>
  <c r="H123" i="8"/>
  <c r="H22" i="8" s="1"/>
  <c r="J81" i="8"/>
  <c r="D81" i="8"/>
  <c r="N69" i="8"/>
  <c r="N18" i="8" s="1"/>
  <c r="H69" i="8"/>
  <c r="H18" i="8" s="1"/>
  <c r="E69" i="8"/>
  <c r="E18" i="8" s="1"/>
  <c r="L26" i="8"/>
  <c r="F26" i="8"/>
  <c r="N153" i="8"/>
  <c r="N14" i="8" s="1"/>
  <c r="K153" i="8"/>
  <c r="K14" i="8" s="1"/>
  <c r="H153" i="8"/>
  <c r="H14" i="8" s="1"/>
  <c r="E153" i="8"/>
  <c r="E14" i="8" s="1"/>
  <c r="N80" i="8"/>
  <c r="N19" i="8" s="1"/>
  <c r="K80" i="8"/>
  <c r="K19" i="8" s="1"/>
  <c r="H80" i="8"/>
  <c r="H19" i="8" s="1"/>
  <c r="E80" i="8"/>
  <c r="E19" i="8" s="1"/>
  <c r="K57" i="8"/>
  <c r="K17" i="8" s="1"/>
  <c r="G26" i="8"/>
  <c r="E57" i="8"/>
  <c r="E17" i="8" s="1"/>
  <c r="C26" i="8"/>
  <c r="N95" i="8"/>
  <c r="N20" i="8" s="1"/>
  <c r="E95" i="8"/>
  <c r="E20" i="8" s="1"/>
  <c r="K95" i="8"/>
  <c r="K20" i="8" s="1"/>
  <c r="H95" i="8"/>
  <c r="H20" i="8" s="1"/>
  <c r="K135" i="8"/>
  <c r="K23" i="8" s="1"/>
  <c r="H26" i="8"/>
  <c r="H135" i="8"/>
  <c r="H23" i="8" s="1"/>
  <c r="E135" i="8"/>
  <c r="E23" i="8" s="1"/>
  <c r="R196" i="8"/>
  <c r="P196" i="8" s="1"/>
  <c r="P24" i="8" s="1"/>
  <c r="R24" i="8" s="1"/>
  <c r="R182" i="8"/>
  <c r="P182" i="8" s="1"/>
  <c r="P16" i="8" s="1"/>
  <c r="R16" i="8" s="1"/>
  <c r="M26" i="8"/>
  <c r="N26" i="8" s="1"/>
  <c r="N182" i="8"/>
  <c r="N16" i="8" s="1"/>
  <c r="R21" i="8"/>
  <c r="R153" i="8"/>
  <c r="P153" i="8" s="1"/>
  <c r="P14" i="8" s="1"/>
  <c r="R14" i="8" s="1"/>
  <c r="R143" i="8"/>
  <c r="P143" i="8" s="1"/>
  <c r="P13" i="8" s="1"/>
  <c r="R13" i="8" s="1"/>
  <c r="R135" i="8"/>
  <c r="P135" i="8" s="1"/>
  <c r="P23" i="8" s="1"/>
  <c r="R23" i="8" s="1"/>
  <c r="J26" i="8"/>
  <c r="I22" i="8"/>
  <c r="I26" i="8" s="1"/>
  <c r="D26" i="8"/>
  <c r="E123" i="8"/>
  <c r="E22" i="8" s="1"/>
  <c r="R95" i="8"/>
  <c r="P95" i="8" s="1"/>
  <c r="P20" i="8" s="1"/>
  <c r="R20" i="8" s="1"/>
  <c r="R80" i="8"/>
  <c r="P80" i="8" s="1"/>
  <c r="P19" i="8" s="1"/>
  <c r="R19" i="8" s="1"/>
  <c r="N81" i="8"/>
  <c r="K69" i="8"/>
  <c r="K18" i="8" s="1"/>
  <c r="R57" i="8"/>
  <c r="Q17" i="8"/>
  <c r="Q26" i="8" s="1"/>
  <c r="E154" i="8"/>
  <c r="H154" i="8"/>
  <c r="K154" i="8"/>
  <c r="N154" i="8"/>
  <c r="O26" i="8"/>
  <c r="H57" i="8"/>
  <c r="H17" i="8" s="1"/>
  <c r="N57" i="8"/>
  <c r="N17" i="8" s="1"/>
  <c r="C81" i="8"/>
  <c r="E81" i="8" s="1"/>
  <c r="I81" i="8"/>
  <c r="H143" i="8"/>
  <c r="H13" i="8" s="1"/>
  <c r="N143" i="8"/>
  <c r="N13" i="8" s="1"/>
  <c r="E143" i="8"/>
  <c r="E13" i="8" s="1"/>
  <c r="K143" i="8"/>
  <c r="K13" i="8" s="1"/>
  <c r="E153" i="7"/>
  <c r="E14" i="7" s="1"/>
  <c r="H153" i="7"/>
  <c r="H14" i="7" s="1"/>
  <c r="K153" i="7"/>
  <c r="K14" i="7" s="1"/>
  <c r="N153" i="7"/>
  <c r="N14" i="7" s="1"/>
  <c r="C14" i="7"/>
  <c r="I14" i="7"/>
  <c r="K132" i="7"/>
  <c r="E132" i="7"/>
  <c r="E94" i="7"/>
  <c r="R202" i="7"/>
  <c r="R201" i="7"/>
  <c r="R186" i="7"/>
  <c r="R187" i="7"/>
  <c r="R188" i="7"/>
  <c r="R189" i="7"/>
  <c r="R190" i="7"/>
  <c r="R191" i="7"/>
  <c r="R192" i="7"/>
  <c r="R193" i="7"/>
  <c r="R194" i="7"/>
  <c r="R195" i="7"/>
  <c r="R185" i="7"/>
  <c r="R173" i="7"/>
  <c r="R174" i="7"/>
  <c r="R175" i="7"/>
  <c r="R176" i="7"/>
  <c r="R177" i="7"/>
  <c r="R178" i="7"/>
  <c r="R179" i="7"/>
  <c r="R180" i="7"/>
  <c r="R181" i="7"/>
  <c r="R172" i="7"/>
  <c r="R159" i="7"/>
  <c r="R160" i="7"/>
  <c r="R161" i="7"/>
  <c r="R162" i="7"/>
  <c r="R158" i="7"/>
  <c r="R139" i="7"/>
  <c r="R140" i="7"/>
  <c r="R141" i="7"/>
  <c r="R142" i="7"/>
  <c r="R146" i="7"/>
  <c r="R150" i="7"/>
  <c r="R147" i="7"/>
  <c r="R148" i="7"/>
  <c r="R152" i="7"/>
  <c r="R149" i="7"/>
  <c r="R151" i="7"/>
  <c r="R138" i="7"/>
  <c r="R167" i="7"/>
  <c r="R168" i="7"/>
  <c r="R126" i="7"/>
  <c r="R127" i="7"/>
  <c r="R128" i="7"/>
  <c r="R129" i="7"/>
  <c r="R130" i="7"/>
  <c r="R131" i="7"/>
  <c r="R132" i="7"/>
  <c r="R133" i="7"/>
  <c r="R134" i="7"/>
  <c r="R166" i="7"/>
  <c r="R169" i="7" s="1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98" i="7"/>
  <c r="R85" i="7"/>
  <c r="R86" i="7"/>
  <c r="R87" i="7"/>
  <c r="R88" i="7"/>
  <c r="R89" i="7"/>
  <c r="R90" i="7"/>
  <c r="R91" i="7"/>
  <c r="R92" i="7"/>
  <c r="R93" i="7"/>
  <c r="R94" i="7"/>
  <c r="R84" i="7"/>
  <c r="R73" i="7"/>
  <c r="R74" i="7"/>
  <c r="R75" i="7"/>
  <c r="R76" i="7"/>
  <c r="R77" i="7"/>
  <c r="R78" i="7"/>
  <c r="R79" i="7"/>
  <c r="R72" i="7"/>
  <c r="R61" i="7"/>
  <c r="R62" i="7"/>
  <c r="R63" i="7"/>
  <c r="R64" i="7"/>
  <c r="R65" i="7"/>
  <c r="R66" i="7"/>
  <c r="R67" i="7"/>
  <c r="R68" i="7"/>
  <c r="R6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40" i="7"/>
  <c r="E150" i="9" l="1"/>
  <c r="N78" i="9"/>
  <c r="E78" i="9"/>
  <c r="R23" i="9"/>
  <c r="P23" i="9" s="1"/>
  <c r="R78" i="9"/>
  <c r="P78" i="9" s="1"/>
  <c r="H23" i="9"/>
  <c r="E23" i="9"/>
  <c r="L23" i="9"/>
  <c r="N23" i="9" s="1"/>
  <c r="E26" i="8"/>
  <c r="K81" i="8"/>
  <c r="R81" i="8"/>
  <c r="P81" i="8" s="1"/>
  <c r="P57" i="8"/>
  <c r="P17" i="8" s="1"/>
  <c r="R17" i="8" s="1"/>
  <c r="R26" i="8" s="1"/>
  <c r="P26" i="8" s="1"/>
  <c r="R154" i="8"/>
  <c r="P154" i="8" s="1"/>
  <c r="K26" i="8"/>
  <c r="R143" i="7"/>
  <c r="R153" i="7"/>
  <c r="P153" i="7" s="1"/>
  <c r="P14" i="7" s="1"/>
  <c r="R14" i="7" s="1"/>
  <c r="K107" i="7"/>
  <c r="E107" i="7"/>
  <c r="N98" i="7"/>
  <c r="N195" i="7"/>
  <c r="K195" i="7"/>
  <c r="H195" i="7"/>
  <c r="E195" i="7"/>
  <c r="N194" i="7"/>
  <c r="K194" i="7"/>
  <c r="H194" i="7"/>
  <c r="E194" i="7"/>
  <c r="N193" i="7"/>
  <c r="K193" i="7"/>
  <c r="H193" i="7"/>
  <c r="E193" i="7"/>
  <c r="N192" i="7"/>
  <c r="K192" i="7"/>
  <c r="H192" i="7"/>
  <c r="E192" i="7"/>
  <c r="N191" i="7"/>
  <c r="K191" i="7"/>
  <c r="H191" i="7"/>
  <c r="E191" i="7"/>
  <c r="N190" i="7"/>
  <c r="K190" i="7"/>
  <c r="H190" i="7"/>
  <c r="E190" i="7"/>
  <c r="N189" i="7"/>
  <c r="K189" i="7"/>
  <c r="H189" i="7"/>
  <c r="E189" i="7"/>
  <c r="N188" i="7"/>
  <c r="K188" i="7"/>
  <c r="H188" i="7"/>
  <c r="E188" i="7"/>
  <c r="N187" i="7"/>
  <c r="K187" i="7"/>
  <c r="H187" i="7"/>
  <c r="E187" i="7"/>
  <c r="N186" i="7"/>
  <c r="K186" i="7"/>
  <c r="H186" i="7"/>
  <c r="E186" i="7"/>
  <c r="N185" i="7"/>
  <c r="K185" i="7"/>
  <c r="H185" i="7"/>
  <c r="E185" i="7"/>
  <c r="K201" i="7" l="1"/>
  <c r="K202" i="7"/>
  <c r="Q203" i="7"/>
  <c r="Q196" i="7"/>
  <c r="Q182" i="7"/>
  <c r="Q163" i="7"/>
  <c r="Q135" i="7"/>
  <c r="Q169" i="7"/>
  <c r="Q123" i="7"/>
  <c r="Q95" i="7"/>
  <c r="Q80" i="7"/>
  <c r="Q69" i="7"/>
  <c r="Q57" i="7"/>
  <c r="O203" i="7"/>
  <c r="L203" i="7"/>
  <c r="J203" i="7"/>
  <c r="I203" i="7"/>
  <c r="G203" i="7"/>
  <c r="F203" i="7"/>
  <c r="D203" i="7"/>
  <c r="C203" i="7"/>
  <c r="M203" i="7"/>
  <c r="M25" i="7" s="1"/>
  <c r="H202" i="7"/>
  <c r="E202" i="7"/>
  <c r="R203" i="7"/>
  <c r="N201" i="7"/>
  <c r="H201" i="7"/>
  <c r="E201" i="7"/>
  <c r="O196" i="7"/>
  <c r="M196" i="7"/>
  <c r="L196" i="7"/>
  <c r="J196" i="7"/>
  <c r="I196" i="7"/>
  <c r="G196" i="7"/>
  <c r="F196" i="7"/>
  <c r="D196" i="7"/>
  <c r="C196" i="7"/>
  <c r="R196" i="7"/>
  <c r="P196" i="7" s="1"/>
  <c r="P24" i="7" s="1"/>
  <c r="O182" i="7"/>
  <c r="M182" i="7"/>
  <c r="L182" i="7"/>
  <c r="J182" i="7"/>
  <c r="I182" i="7"/>
  <c r="G182" i="7"/>
  <c r="F182" i="7"/>
  <c r="D182" i="7"/>
  <c r="C182" i="7"/>
  <c r="N181" i="7"/>
  <c r="K181" i="7"/>
  <c r="E181" i="7"/>
  <c r="N180" i="7"/>
  <c r="K180" i="7"/>
  <c r="H180" i="7"/>
  <c r="E180" i="7"/>
  <c r="N179" i="7"/>
  <c r="K179" i="7"/>
  <c r="H179" i="7"/>
  <c r="E179" i="7"/>
  <c r="N178" i="7"/>
  <c r="K178" i="7"/>
  <c r="H178" i="7"/>
  <c r="E178" i="7"/>
  <c r="N176" i="7"/>
  <c r="K176" i="7"/>
  <c r="H176" i="7"/>
  <c r="E176" i="7"/>
  <c r="N175" i="7"/>
  <c r="K175" i="7"/>
  <c r="H175" i="7"/>
  <c r="E175" i="7"/>
  <c r="N174" i="7"/>
  <c r="K174" i="7"/>
  <c r="H174" i="7"/>
  <c r="E174" i="7"/>
  <c r="K172" i="7"/>
  <c r="E172" i="7"/>
  <c r="O163" i="7"/>
  <c r="M163" i="7"/>
  <c r="J163" i="7"/>
  <c r="I163" i="7"/>
  <c r="G163" i="7"/>
  <c r="F163" i="7"/>
  <c r="D163" i="7"/>
  <c r="C163" i="7"/>
  <c r="K162" i="7"/>
  <c r="H162" i="7"/>
  <c r="E162" i="7"/>
  <c r="L163" i="7"/>
  <c r="H161" i="7"/>
  <c r="E161" i="7"/>
  <c r="N159" i="7"/>
  <c r="K159" i="7"/>
  <c r="H159" i="7"/>
  <c r="E159" i="7"/>
  <c r="R163" i="7"/>
  <c r="K158" i="7"/>
  <c r="H158" i="7"/>
  <c r="E158" i="7"/>
  <c r="N151" i="7"/>
  <c r="K151" i="7"/>
  <c r="H151" i="7"/>
  <c r="E151" i="7"/>
  <c r="K149" i="7"/>
  <c r="H149" i="7"/>
  <c r="E149" i="7"/>
  <c r="N148" i="7"/>
  <c r="K148" i="7"/>
  <c r="H148" i="7"/>
  <c r="E148" i="7"/>
  <c r="N147" i="7"/>
  <c r="K147" i="7"/>
  <c r="H147" i="7"/>
  <c r="E147" i="7"/>
  <c r="N150" i="7"/>
  <c r="K150" i="7"/>
  <c r="H150" i="7"/>
  <c r="E150" i="7"/>
  <c r="N146" i="7"/>
  <c r="K146" i="7"/>
  <c r="H146" i="7"/>
  <c r="E146" i="7"/>
  <c r="N141" i="7"/>
  <c r="K141" i="7"/>
  <c r="H141" i="7"/>
  <c r="E141" i="7"/>
  <c r="N140" i="7"/>
  <c r="K140" i="7"/>
  <c r="H140" i="7"/>
  <c r="E140" i="7"/>
  <c r="N139" i="7"/>
  <c r="K139" i="7"/>
  <c r="H139" i="7"/>
  <c r="E139" i="7"/>
  <c r="N138" i="7"/>
  <c r="K138" i="7"/>
  <c r="H138" i="7"/>
  <c r="E138" i="7"/>
  <c r="O135" i="7"/>
  <c r="M135" i="7"/>
  <c r="L135" i="7"/>
  <c r="J135" i="7"/>
  <c r="I135" i="7"/>
  <c r="G135" i="7"/>
  <c r="F135" i="7"/>
  <c r="D135" i="7"/>
  <c r="C135" i="7"/>
  <c r="K134" i="7"/>
  <c r="H134" i="7"/>
  <c r="E134" i="7"/>
  <c r="K129" i="7"/>
  <c r="H129" i="7"/>
  <c r="E129" i="7"/>
  <c r="R135" i="7"/>
  <c r="O169" i="7"/>
  <c r="M169" i="7"/>
  <c r="J169" i="7"/>
  <c r="I169" i="7"/>
  <c r="G169" i="7"/>
  <c r="F169" i="7"/>
  <c r="D169" i="7"/>
  <c r="C169" i="7"/>
  <c r="K168" i="7"/>
  <c r="H168" i="7"/>
  <c r="E168" i="7"/>
  <c r="N166" i="7"/>
  <c r="L169" i="7"/>
  <c r="L21" i="7" s="1"/>
  <c r="K166" i="7"/>
  <c r="H166" i="7"/>
  <c r="E166" i="7"/>
  <c r="O123" i="7"/>
  <c r="M123" i="7"/>
  <c r="J123" i="7"/>
  <c r="I123" i="7"/>
  <c r="G123" i="7"/>
  <c r="F123" i="7"/>
  <c r="D123" i="7"/>
  <c r="C123" i="7"/>
  <c r="K122" i="7"/>
  <c r="H122" i="7"/>
  <c r="E122" i="7"/>
  <c r="K121" i="7"/>
  <c r="H121" i="7"/>
  <c r="E121" i="7"/>
  <c r="K120" i="7"/>
  <c r="H120" i="7"/>
  <c r="E120" i="7"/>
  <c r="K119" i="7"/>
  <c r="E119" i="7"/>
  <c r="N118" i="7"/>
  <c r="K118" i="7"/>
  <c r="H118" i="7"/>
  <c r="E118" i="7"/>
  <c r="K114" i="7"/>
  <c r="H114" i="7"/>
  <c r="E114" i="7"/>
  <c r="K113" i="7"/>
  <c r="H113" i="7"/>
  <c r="E113" i="7"/>
  <c r="N110" i="7"/>
  <c r="L123" i="7"/>
  <c r="K110" i="7"/>
  <c r="H110" i="7"/>
  <c r="E110" i="7"/>
  <c r="K109" i="7"/>
  <c r="H109" i="7"/>
  <c r="E109" i="7"/>
  <c r="N107" i="7"/>
  <c r="N105" i="7"/>
  <c r="K105" i="7"/>
  <c r="H105" i="7"/>
  <c r="E105" i="7"/>
  <c r="N102" i="7"/>
  <c r="K102" i="7"/>
  <c r="H102" i="7"/>
  <c r="E102" i="7"/>
  <c r="K101" i="7"/>
  <c r="E101" i="7"/>
  <c r="K98" i="7"/>
  <c r="H98" i="7"/>
  <c r="E98" i="7"/>
  <c r="O95" i="7"/>
  <c r="J95" i="7"/>
  <c r="I95" i="7"/>
  <c r="G95" i="7"/>
  <c r="F95" i="7"/>
  <c r="D95" i="7"/>
  <c r="C95" i="7"/>
  <c r="N94" i="7"/>
  <c r="K94" i="7"/>
  <c r="H94" i="7"/>
  <c r="M95" i="7"/>
  <c r="M20" i="7" s="1"/>
  <c r="L95" i="7"/>
  <c r="K93" i="7"/>
  <c r="H93" i="7"/>
  <c r="E93" i="7"/>
  <c r="K92" i="7"/>
  <c r="H92" i="7"/>
  <c r="E92" i="7"/>
  <c r="N91" i="7"/>
  <c r="K91" i="7"/>
  <c r="H91" i="7"/>
  <c r="E91" i="7"/>
  <c r="K90" i="7"/>
  <c r="H90" i="7"/>
  <c r="K88" i="7"/>
  <c r="H88" i="7"/>
  <c r="E88" i="7"/>
  <c r="N87" i="7"/>
  <c r="K87" i="7"/>
  <c r="H87" i="7"/>
  <c r="E87" i="7"/>
  <c r="N86" i="7"/>
  <c r="K86" i="7"/>
  <c r="H86" i="7"/>
  <c r="E86" i="7"/>
  <c r="N85" i="7"/>
  <c r="K85" i="7"/>
  <c r="H85" i="7"/>
  <c r="E85" i="7"/>
  <c r="K84" i="7"/>
  <c r="H84" i="7"/>
  <c r="E84" i="7"/>
  <c r="O80" i="7"/>
  <c r="L80" i="7"/>
  <c r="J80" i="7"/>
  <c r="I80" i="7"/>
  <c r="G80" i="7"/>
  <c r="F80" i="7"/>
  <c r="D80" i="7"/>
  <c r="C80" i="7"/>
  <c r="K79" i="7"/>
  <c r="E79" i="7"/>
  <c r="N78" i="7"/>
  <c r="K78" i="7"/>
  <c r="H78" i="7"/>
  <c r="E78" i="7"/>
  <c r="N77" i="7"/>
  <c r="K77" i="7"/>
  <c r="H77" i="7"/>
  <c r="E77" i="7"/>
  <c r="K76" i="7"/>
  <c r="H76" i="7"/>
  <c r="E76" i="7"/>
  <c r="K75" i="7"/>
  <c r="H75" i="7"/>
  <c r="E75" i="7"/>
  <c r="K74" i="7"/>
  <c r="H74" i="7"/>
  <c r="E74" i="7"/>
  <c r="M80" i="7"/>
  <c r="M19" i="7" s="1"/>
  <c r="K73" i="7"/>
  <c r="H73" i="7"/>
  <c r="E73" i="7"/>
  <c r="R80" i="7"/>
  <c r="K72" i="7"/>
  <c r="H72" i="7"/>
  <c r="E72" i="7"/>
  <c r="O69" i="7"/>
  <c r="O18" i="7" s="1"/>
  <c r="J69" i="7"/>
  <c r="I69" i="7"/>
  <c r="G69" i="7"/>
  <c r="G18" i="7" s="1"/>
  <c r="F69" i="7"/>
  <c r="D69" i="7"/>
  <c r="C69" i="7"/>
  <c r="N67" i="7"/>
  <c r="K67" i="7"/>
  <c r="H67" i="7"/>
  <c r="E67" i="7"/>
  <c r="N66" i="7"/>
  <c r="K66" i="7"/>
  <c r="H66" i="7"/>
  <c r="E66" i="7"/>
  <c r="N65" i="7"/>
  <c r="K65" i="7"/>
  <c r="H65" i="7"/>
  <c r="E65" i="7"/>
  <c r="N63" i="7"/>
  <c r="K63" i="7"/>
  <c r="H63" i="7"/>
  <c r="E63" i="7"/>
  <c r="K62" i="7"/>
  <c r="H62" i="7"/>
  <c r="E62" i="7"/>
  <c r="K61" i="7"/>
  <c r="H61" i="7"/>
  <c r="E61" i="7"/>
  <c r="M69" i="7"/>
  <c r="M18" i="7" s="1"/>
  <c r="L69" i="7"/>
  <c r="K60" i="7"/>
  <c r="H60" i="7"/>
  <c r="E60" i="7"/>
  <c r="O57" i="7"/>
  <c r="L57" i="7"/>
  <c r="J57" i="7"/>
  <c r="J81" i="7" s="1"/>
  <c r="I57" i="7"/>
  <c r="I81" i="7" s="1"/>
  <c r="G57" i="7"/>
  <c r="G81" i="7" s="1"/>
  <c r="F57" i="7"/>
  <c r="D57" i="7"/>
  <c r="D81" i="7" s="1"/>
  <c r="C57" i="7"/>
  <c r="K54" i="7"/>
  <c r="E54" i="7"/>
  <c r="K53" i="7"/>
  <c r="H53" i="7"/>
  <c r="E53" i="7"/>
  <c r="K52" i="7"/>
  <c r="H52" i="7"/>
  <c r="E52" i="7"/>
  <c r="N51" i="7"/>
  <c r="K51" i="7"/>
  <c r="E51" i="7"/>
  <c r="N50" i="7"/>
  <c r="K50" i="7"/>
  <c r="E50" i="7"/>
  <c r="N49" i="7"/>
  <c r="K49" i="7"/>
  <c r="H49" i="7"/>
  <c r="E49" i="7"/>
  <c r="K48" i="7"/>
  <c r="H48" i="7"/>
  <c r="E48" i="7"/>
  <c r="K47" i="7"/>
  <c r="H47" i="7"/>
  <c r="E47" i="7"/>
  <c r="N45" i="7"/>
  <c r="K45" i="7"/>
  <c r="H45" i="7"/>
  <c r="E45" i="7"/>
  <c r="N44" i="7"/>
  <c r="K44" i="7"/>
  <c r="H44" i="7"/>
  <c r="E44" i="7"/>
  <c r="N43" i="7"/>
  <c r="M57" i="7"/>
  <c r="K43" i="7"/>
  <c r="H43" i="7"/>
  <c r="E43" i="7"/>
  <c r="N42" i="7"/>
  <c r="K42" i="7"/>
  <c r="H42" i="7"/>
  <c r="E42" i="7"/>
  <c r="N40" i="7"/>
  <c r="K40" i="7"/>
  <c r="H40" i="7"/>
  <c r="E40" i="7"/>
  <c r="Q25" i="7"/>
  <c r="O25" i="7"/>
  <c r="L25" i="7"/>
  <c r="J25" i="7"/>
  <c r="I25" i="7"/>
  <c r="G25" i="7"/>
  <c r="F25" i="7"/>
  <c r="D25" i="7"/>
  <c r="C25" i="7"/>
  <c r="Q24" i="7"/>
  <c r="O24" i="7"/>
  <c r="R24" i="7" s="1"/>
  <c r="M24" i="7"/>
  <c r="L24" i="7"/>
  <c r="J24" i="7"/>
  <c r="I24" i="7"/>
  <c r="G24" i="7"/>
  <c r="F24" i="7"/>
  <c r="D24" i="7"/>
  <c r="C24" i="7"/>
  <c r="Q23" i="7"/>
  <c r="O23" i="7"/>
  <c r="N23" i="7"/>
  <c r="M23" i="7"/>
  <c r="L23" i="7"/>
  <c r="J23" i="7"/>
  <c r="I23" i="7"/>
  <c r="G23" i="7"/>
  <c r="F23" i="7"/>
  <c r="D23" i="7"/>
  <c r="C23" i="7"/>
  <c r="Q22" i="7"/>
  <c r="O22" i="7"/>
  <c r="M22" i="7"/>
  <c r="J22" i="7"/>
  <c r="I22" i="7"/>
  <c r="G22" i="7"/>
  <c r="F22" i="7"/>
  <c r="D22" i="7"/>
  <c r="C22" i="7"/>
  <c r="Q21" i="7"/>
  <c r="O21" i="7"/>
  <c r="N21" i="7"/>
  <c r="M21" i="7"/>
  <c r="J21" i="7"/>
  <c r="I21" i="7"/>
  <c r="G21" i="7"/>
  <c r="F21" i="7"/>
  <c r="D21" i="7"/>
  <c r="C21" i="7"/>
  <c r="Q20" i="7"/>
  <c r="O20" i="7"/>
  <c r="J20" i="7"/>
  <c r="I20" i="7"/>
  <c r="G20" i="7"/>
  <c r="F20" i="7"/>
  <c r="D20" i="7"/>
  <c r="C20" i="7"/>
  <c r="Q19" i="7"/>
  <c r="O19" i="7"/>
  <c r="L19" i="7"/>
  <c r="J19" i="7"/>
  <c r="I19" i="7"/>
  <c r="G19" i="7"/>
  <c r="F19" i="7"/>
  <c r="D19" i="7"/>
  <c r="C19" i="7"/>
  <c r="Q18" i="7"/>
  <c r="J18" i="7"/>
  <c r="I18" i="7"/>
  <c r="F18" i="7"/>
  <c r="D18" i="7"/>
  <c r="C18" i="7"/>
  <c r="Q17" i="7"/>
  <c r="O17" i="7"/>
  <c r="L17" i="7"/>
  <c r="J17" i="7"/>
  <c r="I17" i="7"/>
  <c r="F17" i="7"/>
  <c r="D17" i="7"/>
  <c r="C17" i="7"/>
  <c r="Q16" i="7"/>
  <c r="O16" i="7"/>
  <c r="M16" i="7"/>
  <c r="L16" i="7"/>
  <c r="J16" i="7"/>
  <c r="I16" i="7"/>
  <c r="G16" i="7"/>
  <c r="F16" i="7"/>
  <c r="D16" i="7"/>
  <c r="C16" i="7"/>
  <c r="Q15" i="7"/>
  <c r="O15" i="7"/>
  <c r="M15" i="7"/>
  <c r="J15" i="7"/>
  <c r="I15" i="7"/>
  <c r="G15" i="7"/>
  <c r="F15" i="7"/>
  <c r="D15" i="7"/>
  <c r="C15" i="7"/>
  <c r="E172" i="6"/>
  <c r="M200" i="6"/>
  <c r="N200" i="6" s="1"/>
  <c r="E200" i="6"/>
  <c r="L166" i="6"/>
  <c r="L111" i="6"/>
  <c r="M94" i="6"/>
  <c r="L94" i="6"/>
  <c r="H94" i="6"/>
  <c r="H91" i="6"/>
  <c r="N79" i="6"/>
  <c r="M74" i="6"/>
  <c r="N68" i="6"/>
  <c r="K68" i="6"/>
  <c r="H68" i="6"/>
  <c r="E68" i="6"/>
  <c r="M64" i="6"/>
  <c r="M61" i="6"/>
  <c r="L61" i="6"/>
  <c r="H51" i="6"/>
  <c r="N43" i="6"/>
  <c r="N41" i="6"/>
  <c r="N46" i="6"/>
  <c r="L127" i="6"/>
  <c r="L147" i="6"/>
  <c r="K63" i="6"/>
  <c r="H63" i="6"/>
  <c r="E63" i="6"/>
  <c r="M44" i="6"/>
  <c r="N44" i="6" s="1"/>
  <c r="Q201" i="6"/>
  <c r="O201" i="6"/>
  <c r="M201" i="6"/>
  <c r="L201" i="6"/>
  <c r="J201" i="6"/>
  <c r="I201" i="6"/>
  <c r="G201" i="6"/>
  <c r="F201" i="6"/>
  <c r="D201" i="6"/>
  <c r="C201" i="6"/>
  <c r="R200" i="6"/>
  <c r="K200" i="6"/>
  <c r="H200" i="6"/>
  <c r="R199" i="6"/>
  <c r="N199" i="6"/>
  <c r="K199" i="6"/>
  <c r="H199" i="6"/>
  <c r="E199" i="6"/>
  <c r="Q196" i="6"/>
  <c r="Q22" i="6" s="1"/>
  <c r="O196" i="6"/>
  <c r="M196" i="6"/>
  <c r="M22" i="6" s="1"/>
  <c r="L196" i="6"/>
  <c r="J196" i="6"/>
  <c r="I196" i="6"/>
  <c r="G196" i="6"/>
  <c r="G22" i="6" s="1"/>
  <c r="F196" i="6"/>
  <c r="D196" i="6"/>
  <c r="C196" i="6"/>
  <c r="R195" i="6"/>
  <c r="N195" i="6"/>
  <c r="K195" i="6"/>
  <c r="H195" i="6"/>
  <c r="E195" i="6"/>
  <c r="R194" i="6"/>
  <c r="N194" i="6"/>
  <c r="K194" i="6"/>
  <c r="H194" i="6"/>
  <c r="E194" i="6"/>
  <c r="K193" i="6"/>
  <c r="H193" i="6"/>
  <c r="E193" i="6"/>
  <c r="R192" i="6"/>
  <c r="N192" i="6"/>
  <c r="K192" i="6"/>
  <c r="H192" i="6"/>
  <c r="E192" i="6"/>
  <c r="R191" i="6"/>
  <c r="N191" i="6"/>
  <c r="K191" i="6"/>
  <c r="H191" i="6"/>
  <c r="E191" i="6"/>
  <c r="R190" i="6"/>
  <c r="N190" i="6"/>
  <c r="K190" i="6"/>
  <c r="H190" i="6"/>
  <c r="E190" i="6"/>
  <c r="R189" i="6"/>
  <c r="N189" i="6"/>
  <c r="K189" i="6"/>
  <c r="R188" i="6"/>
  <c r="N188" i="6"/>
  <c r="K188" i="6"/>
  <c r="H188" i="6"/>
  <c r="E188" i="6"/>
  <c r="R187" i="6"/>
  <c r="N187" i="6"/>
  <c r="K187" i="6"/>
  <c r="H187" i="6"/>
  <c r="E187" i="6"/>
  <c r="R186" i="6"/>
  <c r="N186" i="6"/>
  <c r="K186" i="6"/>
  <c r="H186" i="6"/>
  <c r="E186" i="6"/>
  <c r="R185" i="6"/>
  <c r="R196" i="6" s="1"/>
  <c r="N185" i="6"/>
  <c r="K185" i="6"/>
  <c r="H185" i="6"/>
  <c r="E185" i="6"/>
  <c r="Q182" i="6"/>
  <c r="O182" i="6"/>
  <c r="M182" i="6"/>
  <c r="L182" i="6"/>
  <c r="J182" i="6"/>
  <c r="I182" i="6"/>
  <c r="G182" i="6"/>
  <c r="F182" i="6"/>
  <c r="D182" i="6"/>
  <c r="C182" i="6"/>
  <c r="R181" i="6"/>
  <c r="N181" i="6"/>
  <c r="K181" i="6"/>
  <c r="E181" i="6"/>
  <c r="R180" i="6"/>
  <c r="N180" i="6"/>
  <c r="K180" i="6"/>
  <c r="H180" i="6"/>
  <c r="E180" i="6"/>
  <c r="R179" i="6"/>
  <c r="N179" i="6"/>
  <c r="K179" i="6"/>
  <c r="H179" i="6"/>
  <c r="E179" i="6"/>
  <c r="R178" i="6"/>
  <c r="N178" i="6"/>
  <c r="K178" i="6"/>
  <c r="H178" i="6"/>
  <c r="E178" i="6"/>
  <c r="R177" i="6"/>
  <c r="R176" i="6"/>
  <c r="N176" i="6"/>
  <c r="K176" i="6"/>
  <c r="H176" i="6"/>
  <c r="E176" i="6"/>
  <c r="R175" i="6"/>
  <c r="N175" i="6"/>
  <c r="K175" i="6"/>
  <c r="H175" i="6"/>
  <c r="E175" i="6"/>
  <c r="R174" i="6"/>
  <c r="N174" i="6"/>
  <c r="K174" i="6"/>
  <c r="H174" i="6"/>
  <c r="E174" i="6"/>
  <c r="R173" i="6"/>
  <c r="N173" i="6"/>
  <c r="K173" i="6"/>
  <c r="H173" i="6"/>
  <c r="E173" i="6"/>
  <c r="R172" i="6"/>
  <c r="K172" i="6"/>
  <c r="Q168" i="6"/>
  <c r="O168" i="6"/>
  <c r="M168" i="6"/>
  <c r="L168" i="6"/>
  <c r="J168" i="6"/>
  <c r="I168" i="6"/>
  <c r="G168" i="6"/>
  <c r="F168" i="6"/>
  <c r="D168" i="6"/>
  <c r="C168" i="6"/>
  <c r="R167" i="6"/>
  <c r="K167" i="6"/>
  <c r="H167" i="6"/>
  <c r="E167" i="6"/>
  <c r="R166" i="6"/>
  <c r="N166" i="6"/>
  <c r="K166" i="6"/>
  <c r="H166" i="6"/>
  <c r="E166" i="6"/>
  <c r="R165" i="6"/>
  <c r="R164" i="6"/>
  <c r="N164" i="6"/>
  <c r="K164" i="6"/>
  <c r="H164" i="6"/>
  <c r="E164" i="6"/>
  <c r="R163" i="6"/>
  <c r="K163" i="6"/>
  <c r="H163" i="6"/>
  <c r="E163" i="6"/>
  <c r="Q160" i="6"/>
  <c r="O160" i="6"/>
  <c r="O12" i="6" s="1"/>
  <c r="M160" i="6"/>
  <c r="L160" i="6"/>
  <c r="J160" i="6"/>
  <c r="J12" i="6" s="1"/>
  <c r="I160" i="6"/>
  <c r="I12" i="6" s="1"/>
  <c r="G160" i="6"/>
  <c r="F160" i="6"/>
  <c r="D160" i="6"/>
  <c r="C160" i="6"/>
  <c r="R159" i="6"/>
  <c r="N159" i="6"/>
  <c r="K159" i="6"/>
  <c r="H159" i="6"/>
  <c r="E159" i="6"/>
  <c r="R158" i="6"/>
  <c r="K158" i="6"/>
  <c r="H158" i="6"/>
  <c r="E158" i="6"/>
  <c r="R157" i="6"/>
  <c r="R156" i="6"/>
  <c r="R155" i="6"/>
  <c r="N155" i="6"/>
  <c r="K155" i="6"/>
  <c r="H155" i="6"/>
  <c r="E155" i="6"/>
  <c r="R154" i="6"/>
  <c r="N154" i="6"/>
  <c r="K154" i="6"/>
  <c r="H154" i="6"/>
  <c r="E154" i="6"/>
  <c r="R153" i="6"/>
  <c r="N153" i="6"/>
  <c r="K153" i="6"/>
  <c r="H153" i="6"/>
  <c r="E153" i="6"/>
  <c r="R152" i="6"/>
  <c r="R151" i="6"/>
  <c r="R150" i="6"/>
  <c r="N150" i="6"/>
  <c r="K150" i="6"/>
  <c r="H150" i="6"/>
  <c r="E150" i="6"/>
  <c r="R149" i="6"/>
  <c r="R148" i="6"/>
  <c r="N148" i="6"/>
  <c r="K148" i="6"/>
  <c r="H148" i="6"/>
  <c r="E148" i="6"/>
  <c r="R147" i="6"/>
  <c r="N147" i="6"/>
  <c r="K147" i="6"/>
  <c r="H147" i="6"/>
  <c r="E147" i="6"/>
  <c r="R146" i="6"/>
  <c r="N146" i="6"/>
  <c r="K146" i="6"/>
  <c r="H146" i="6"/>
  <c r="E146" i="6"/>
  <c r="R145" i="6"/>
  <c r="N145" i="6"/>
  <c r="K145" i="6"/>
  <c r="H145" i="6"/>
  <c r="E145" i="6"/>
  <c r="Q140" i="6"/>
  <c r="O140" i="6"/>
  <c r="M140" i="6"/>
  <c r="L140" i="6"/>
  <c r="L21" i="6" s="1"/>
  <c r="J140" i="6"/>
  <c r="I140" i="6"/>
  <c r="I21" i="6" s="1"/>
  <c r="G140" i="6"/>
  <c r="F140" i="6"/>
  <c r="F21" i="6" s="1"/>
  <c r="D140" i="6"/>
  <c r="C140" i="6"/>
  <c r="R139" i="6"/>
  <c r="K139" i="6"/>
  <c r="H139" i="6"/>
  <c r="E139" i="6"/>
  <c r="R138" i="6"/>
  <c r="R137" i="6"/>
  <c r="K137" i="6"/>
  <c r="E137" i="6"/>
  <c r="R136" i="6"/>
  <c r="R135" i="6"/>
  <c r="R134" i="6"/>
  <c r="K134" i="6"/>
  <c r="H134" i="6"/>
  <c r="E134" i="6"/>
  <c r="R133" i="6"/>
  <c r="Q130" i="6"/>
  <c r="O130" i="6"/>
  <c r="O19" i="6" s="1"/>
  <c r="M130" i="6"/>
  <c r="L130" i="6"/>
  <c r="J130" i="6"/>
  <c r="I130" i="6"/>
  <c r="G130" i="6"/>
  <c r="F130" i="6"/>
  <c r="D130" i="6"/>
  <c r="C130" i="6"/>
  <c r="R129" i="6"/>
  <c r="K129" i="6"/>
  <c r="H129" i="6"/>
  <c r="E129" i="6"/>
  <c r="R128" i="6"/>
  <c r="R127" i="6"/>
  <c r="N127" i="6"/>
  <c r="K127" i="6"/>
  <c r="H127" i="6"/>
  <c r="E127" i="6"/>
  <c r="Q124" i="6"/>
  <c r="O124" i="6"/>
  <c r="M124" i="6"/>
  <c r="L124" i="6"/>
  <c r="J124" i="6"/>
  <c r="I124" i="6"/>
  <c r="G124" i="6"/>
  <c r="F124" i="6"/>
  <c r="D124" i="6"/>
  <c r="C124" i="6"/>
  <c r="R123" i="6"/>
  <c r="K123" i="6"/>
  <c r="H123" i="6"/>
  <c r="E123" i="6"/>
  <c r="R122" i="6"/>
  <c r="K122" i="6"/>
  <c r="H122" i="6"/>
  <c r="E122" i="6"/>
  <c r="R121" i="6"/>
  <c r="K121" i="6"/>
  <c r="H121" i="6"/>
  <c r="E121" i="6"/>
  <c r="R120" i="6"/>
  <c r="K120" i="6"/>
  <c r="H120" i="6"/>
  <c r="E120" i="6"/>
  <c r="R119" i="6"/>
  <c r="N119" i="6"/>
  <c r="K119" i="6"/>
  <c r="H119" i="6"/>
  <c r="E119" i="6"/>
  <c r="R118" i="6"/>
  <c r="R117" i="6"/>
  <c r="R116" i="6"/>
  <c r="R115" i="6"/>
  <c r="K115" i="6"/>
  <c r="H115" i="6"/>
  <c r="E115" i="6"/>
  <c r="R114" i="6"/>
  <c r="K114" i="6"/>
  <c r="H114" i="6"/>
  <c r="E114" i="6"/>
  <c r="R113" i="6"/>
  <c r="R112" i="6"/>
  <c r="R111" i="6"/>
  <c r="N111" i="6"/>
  <c r="K111" i="6"/>
  <c r="H111" i="6"/>
  <c r="E111" i="6"/>
  <c r="R110" i="6"/>
  <c r="K110" i="6"/>
  <c r="H110" i="6"/>
  <c r="E110" i="6"/>
  <c r="R109" i="6"/>
  <c r="R108" i="6"/>
  <c r="N108" i="6"/>
  <c r="K108" i="6"/>
  <c r="E108" i="6"/>
  <c r="R107" i="6"/>
  <c r="R106" i="6"/>
  <c r="N106" i="6"/>
  <c r="K106" i="6"/>
  <c r="H106" i="6"/>
  <c r="E106" i="6"/>
  <c r="R105" i="6"/>
  <c r="R104" i="6"/>
  <c r="R103" i="6"/>
  <c r="N103" i="6"/>
  <c r="K103" i="6"/>
  <c r="H103" i="6"/>
  <c r="E103" i="6"/>
  <c r="R102" i="6"/>
  <c r="K102" i="6"/>
  <c r="H102" i="6"/>
  <c r="E102" i="6"/>
  <c r="R101" i="6"/>
  <c r="R100" i="6"/>
  <c r="R99" i="6"/>
  <c r="K99" i="6"/>
  <c r="H99" i="6"/>
  <c r="E99" i="6"/>
  <c r="Q96" i="6"/>
  <c r="O96" i="6"/>
  <c r="M96" i="6"/>
  <c r="L96" i="6"/>
  <c r="J96" i="6"/>
  <c r="I96" i="6"/>
  <c r="G96" i="6"/>
  <c r="F96" i="6"/>
  <c r="D96" i="6"/>
  <c r="C96" i="6"/>
  <c r="R95" i="6"/>
  <c r="N95" i="6"/>
  <c r="K95" i="6"/>
  <c r="H95" i="6"/>
  <c r="E95" i="6"/>
  <c r="R94" i="6"/>
  <c r="N94" i="6"/>
  <c r="K94" i="6"/>
  <c r="E94" i="6"/>
  <c r="R93" i="6"/>
  <c r="K93" i="6"/>
  <c r="H93" i="6"/>
  <c r="E93" i="6"/>
  <c r="R92" i="6"/>
  <c r="N92" i="6"/>
  <c r="K92" i="6"/>
  <c r="H92" i="6"/>
  <c r="E92" i="6"/>
  <c r="R91" i="6"/>
  <c r="K91" i="6"/>
  <c r="E91" i="6"/>
  <c r="R90" i="6"/>
  <c r="R89" i="6"/>
  <c r="K89" i="6"/>
  <c r="H89" i="6"/>
  <c r="E89" i="6"/>
  <c r="R88" i="6"/>
  <c r="N88" i="6"/>
  <c r="K88" i="6"/>
  <c r="H88" i="6"/>
  <c r="E88" i="6"/>
  <c r="R87" i="6"/>
  <c r="N87" i="6"/>
  <c r="K87" i="6"/>
  <c r="H87" i="6"/>
  <c r="E87" i="6"/>
  <c r="R86" i="6"/>
  <c r="N86" i="6"/>
  <c r="K86" i="6"/>
  <c r="H86" i="6"/>
  <c r="E86" i="6"/>
  <c r="R85" i="6"/>
  <c r="K85" i="6"/>
  <c r="H85" i="6"/>
  <c r="E85" i="6"/>
  <c r="Q81" i="6"/>
  <c r="O81" i="6"/>
  <c r="M81" i="6"/>
  <c r="M17" i="6" s="1"/>
  <c r="L81" i="6"/>
  <c r="J81" i="6"/>
  <c r="J17" i="6" s="1"/>
  <c r="I81" i="6"/>
  <c r="G81" i="6"/>
  <c r="F81" i="6"/>
  <c r="D81" i="6"/>
  <c r="D17" i="6" s="1"/>
  <c r="C81" i="6"/>
  <c r="R80" i="6"/>
  <c r="K80" i="6"/>
  <c r="H80" i="6"/>
  <c r="E80" i="6"/>
  <c r="R79" i="6"/>
  <c r="K79" i="6"/>
  <c r="H79" i="6"/>
  <c r="E79" i="6"/>
  <c r="R78" i="6"/>
  <c r="N78" i="6"/>
  <c r="K78" i="6"/>
  <c r="H78" i="6"/>
  <c r="E78" i="6"/>
  <c r="R77" i="6"/>
  <c r="K77" i="6"/>
  <c r="H77" i="6"/>
  <c r="E77" i="6"/>
  <c r="R76" i="6"/>
  <c r="K76" i="6"/>
  <c r="H76" i="6"/>
  <c r="E76" i="6"/>
  <c r="R75" i="6"/>
  <c r="K75" i="6"/>
  <c r="H75" i="6"/>
  <c r="E75" i="6"/>
  <c r="R74" i="6"/>
  <c r="N74" i="6"/>
  <c r="K74" i="6"/>
  <c r="H74" i="6"/>
  <c r="E74" i="6"/>
  <c r="R73" i="6"/>
  <c r="K73" i="6"/>
  <c r="H73" i="6"/>
  <c r="E73" i="6"/>
  <c r="Q70" i="6"/>
  <c r="O70" i="6"/>
  <c r="M70" i="6"/>
  <c r="L70" i="6"/>
  <c r="J70" i="6"/>
  <c r="J16" i="6" s="1"/>
  <c r="I70" i="6"/>
  <c r="G70" i="6"/>
  <c r="F70" i="6"/>
  <c r="D70" i="6"/>
  <c r="C70" i="6"/>
  <c r="R69" i="6"/>
  <c r="R68" i="6"/>
  <c r="R67" i="6"/>
  <c r="N67" i="6"/>
  <c r="K67" i="6"/>
  <c r="H67" i="6"/>
  <c r="E67" i="6"/>
  <c r="R66" i="6"/>
  <c r="N66" i="6"/>
  <c r="K66" i="6"/>
  <c r="H66" i="6"/>
  <c r="E66" i="6"/>
  <c r="R65" i="6"/>
  <c r="R64" i="6"/>
  <c r="N64" i="6"/>
  <c r="K64" i="6"/>
  <c r="H64" i="6"/>
  <c r="E64" i="6"/>
  <c r="R63" i="6"/>
  <c r="R62" i="6"/>
  <c r="K62" i="6"/>
  <c r="H62" i="6"/>
  <c r="E62" i="6"/>
  <c r="R61" i="6"/>
  <c r="N61" i="6"/>
  <c r="K61" i="6"/>
  <c r="H61" i="6"/>
  <c r="E61" i="6"/>
  <c r="Q58" i="6"/>
  <c r="Q82" i="6" s="1"/>
  <c r="O58" i="6"/>
  <c r="O82" i="6" s="1"/>
  <c r="M58" i="6"/>
  <c r="M82" i="6" s="1"/>
  <c r="L58" i="6"/>
  <c r="L82" i="6" s="1"/>
  <c r="J58" i="6"/>
  <c r="J82" i="6" s="1"/>
  <c r="I58" i="6"/>
  <c r="I82" i="6" s="1"/>
  <c r="G58" i="6"/>
  <c r="G82" i="6" s="1"/>
  <c r="F58" i="6"/>
  <c r="F82" i="6" s="1"/>
  <c r="D58" i="6"/>
  <c r="D82" i="6" s="1"/>
  <c r="C58" i="6"/>
  <c r="C82" i="6" s="1"/>
  <c r="R57" i="6"/>
  <c r="R56" i="6"/>
  <c r="R55" i="6"/>
  <c r="K55" i="6"/>
  <c r="H55" i="6"/>
  <c r="E55" i="6"/>
  <c r="R54" i="6"/>
  <c r="K54" i="6"/>
  <c r="H54" i="6"/>
  <c r="E54" i="6"/>
  <c r="R53" i="6"/>
  <c r="K53" i="6"/>
  <c r="H53" i="6"/>
  <c r="E53" i="6"/>
  <c r="R52" i="6"/>
  <c r="N52" i="6"/>
  <c r="K52" i="6"/>
  <c r="H52" i="6"/>
  <c r="E52" i="6"/>
  <c r="R51" i="6"/>
  <c r="N51" i="6"/>
  <c r="K51" i="6"/>
  <c r="E51" i="6"/>
  <c r="R50" i="6"/>
  <c r="N50" i="6"/>
  <c r="K50" i="6"/>
  <c r="H50" i="6"/>
  <c r="E50" i="6"/>
  <c r="R49" i="6"/>
  <c r="K49" i="6"/>
  <c r="H49" i="6"/>
  <c r="E49" i="6"/>
  <c r="R48" i="6"/>
  <c r="K48" i="6"/>
  <c r="H48" i="6"/>
  <c r="E48" i="6"/>
  <c r="R47" i="6"/>
  <c r="R46" i="6"/>
  <c r="K46" i="6"/>
  <c r="H46" i="6"/>
  <c r="E46" i="6"/>
  <c r="R45" i="6"/>
  <c r="N45" i="6"/>
  <c r="K45" i="6"/>
  <c r="H45" i="6"/>
  <c r="E45" i="6"/>
  <c r="R44" i="6"/>
  <c r="K44" i="6"/>
  <c r="H44" i="6"/>
  <c r="E44" i="6"/>
  <c r="R43" i="6"/>
  <c r="K43" i="6"/>
  <c r="H43" i="6"/>
  <c r="E43" i="6"/>
  <c r="R42" i="6"/>
  <c r="R41" i="6"/>
  <c r="K41" i="6"/>
  <c r="H41" i="6"/>
  <c r="E41" i="6"/>
  <c r="Q23" i="6"/>
  <c r="O23" i="6"/>
  <c r="M23" i="6"/>
  <c r="L23" i="6"/>
  <c r="J23" i="6"/>
  <c r="I23" i="6"/>
  <c r="G23" i="6"/>
  <c r="F23" i="6"/>
  <c r="D23" i="6"/>
  <c r="C23" i="6"/>
  <c r="O22" i="6"/>
  <c r="L22" i="6"/>
  <c r="J22" i="6"/>
  <c r="I22" i="6"/>
  <c r="F22" i="6"/>
  <c r="D22" i="6"/>
  <c r="C22" i="6"/>
  <c r="Q21" i="6"/>
  <c r="O21" i="6"/>
  <c r="N21" i="6"/>
  <c r="M21" i="6"/>
  <c r="J21" i="6"/>
  <c r="G21" i="6"/>
  <c r="D21" i="6"/>
  <c r="C21" i="6"/>
  <c r="Q20" i="6"/>
  <c r="O20" i="6"/>
  <c r="M20" i="6"/>
  <c r="L20" i="6"/>
  <c r="J20" i="6"/>
  <c r="I20" i="6"/>
  <c r="G20" i="6"/>
  <c r="F20" i="6"/>
  <c r="D20" i="6"/>
  <c r="C20" i="6"/>
  <c r="Q19" i="6"/>
  <c r="N19" i="6"/>
  <c r="M19" i="6"/>
  <c r="L19" i="6"/>
  <c r="J19" i="6"/>
  <c r="I19" i="6"/>
  <c r="G19" i="6"/>
  <c r="F19" i="6"/>
  <c r="D19" i="6"/>
  <c r="C19" i="6"/>
  <c r="Q18" i="6"/>
  <c r="O18" i="6"/>
  <c r="M18" i="6"/>
  <c r="L18" i="6"/>
  <c r="J18" i="6"/>
  <c r="I18" i="6"/>
  <c r="G18" i="6"/>
  <c r="F18" i="6"/>
  <c r="D18" i="6"/>
  <c r="C18" i="6"/>
  <c r="Q17" i="6"/>
  <c r="O17" i="6"/>
  <c r="L17" i="6"/>
  <c r="I17" i="6"/>
  <c r="G17" i="6"/>
  <c r="F17" i="6"/>
  <c r="C17" i="6"/>
  <c r="Q16" i="6"/>
  <c r="O16" i="6"/>
  <c r="M16" i="6"/>
  <c r="L16" i="6"/>
  <c r="I16" i="6"/>
  <c r="G16" i="6"/>
  <c r="F16" i="6"/>
  <c r="D16" i="6"/>
  <c r="C16" i="6"/>
  <c r="Q15" i="6"/>
  <c r="O15" i="6"/>
  <c r="M15" i="6"/>
  <c r="L15" i="6"/>
  <c r="J15" i="6"/>
  <c r="I15" i="6"/>
  <c r="G15" i="6"/>
  <c r="F15" i="6"/>
  <c r="D15" i="6"/>
  <c r="C15" i="6"/>
  <c r="Q14" i="6"/>
  <c r="O14" i="6"/>
  <c r="M14" i="6"/>
  <c r="L14" i="6"/>
  <c r="J14" i="6"/>
  <c r="I14" i="6"/>
  <c r="G14" i="6"/>
  <c r="F14" i="6"/>
  <c r="D14" i="6"/>
  <c r="C14" i="6"/>
  <c r="Q13" i="6"/>
  <c r="O13" i="6"/>
  <c r="M13" i="6"/>
  <c r="L13" i="6"/>
  <c r="J13" i="6"/>
  <c r="I13" i="6"/>
  <c r="G13" i="6"/>
  <c r="F13" i="6"/>
  <c r="D13" i="6"/>
  <c r="C13" i="6"/>
  <c r="Q12" i="6"/>
  <c r="M12" i="6"/>
  <c r="L12" i="6"/>
  <c r="G12" i="6"/>
  <c r="F12" i="6"/>
  <c r="D12" i="6"/>
  <c r="C12" i="6"/>
  <c r="K156" i="4"/>
  <c r="D163" i="4"/>
  <c r="C163" i="4"/>
  <c r="K95" i="4"/>
  <c r="H95" i="4"/>
  <c r="E95" i="4"/>
  <c r="K82" i="4"/>
  <c r="H82" i="4"/>
  <c r="E82" i="4"/>
  <c r="H98" i="4"/>
  <c r="N183" i="4"/>
  <c r="N130" i="4"/>
  <c r="N109" i="4"/>
  <c r="K109" i="4"/>
  <c r="E109" i="4"/>
  <c r="H109" i="4"/>
  <c r="E149" i="4"/>
  <c r="E196" i="6" l="1"/>
  <c r="E22" i="6" s="1"/>
  <c r="E196" i="7"/>
  <c r="E24" i="7" s="1"/>
  <c r="H196" i="7"/>
  <c r="H24" i="7" s="1"/>
  <c r="K196" i="7"/>
  <c r="K24" i="7" s="1"/>
  <c r="G17" i="7"/>
  <c r="N182" i="7"/>
  <c r="N16" i="7" s="1"/>
  <c r="R182" i="7"/>
  <c r="R123" i="7"/>
  <c r="P123" i="7" s="1"/>
  <c r="P22" i="7" s="1"/>
  <c r="R22" i="7" s="1"/>
  <c r="K135" i="7"/>
  <c r="K23" i="7" s="1"/>
  <c r="H135" i="7"/>
  <c r="H23" i="7" s="1"/>
  <c r="E135" i="7"/>
  <c r="E23" i="7" s="1"/>
  <c r="C81" i="7"/>
  <c r="N196" i="7"/>
  <c r="N24" i="7" s="1"/>
  <c r="Q81" i="7"/>
  <c r="F81" i="7"/>
  <c r="H80" i="7"/>
  <c r="H19" i="7" s="1"/>
  <c r="K123" i="7"/>
  <c r="K22" i="7" s="1"/>
  <c r="H123" i="7"/>
  <c r="H22" i="7" s="1"/>
  <c r="E123" i="7"/>
  <c r="E22" i="7" s="1"/>
  <c r="P182" i="7"/>
  <c r="P16" i="7" s="1"/>
  <c r="K182" i="7"/>
  <c r="K16" i="7" s="1"/>
  <c r="H182" i="7"/>
  <c r="H16" i="7" s="1"/>
  <c r="E182" i="7"/>
  <c r="E16" i="7" s="1"/>
  <c r="L81" i="7"/>
  <c r="K69" i="7"/>
  <c r="K18" i="7" s="1"/>
  <c r="H69" i="7"/>
  <c r="H18" i="7" s="1"/>
  <c r="E69" i="7"/>
  <c r="E18" i="7" s="1"/>
  <c r="K95" i="7"/>
  <c r="K20" i="7" s="1"/>
  <c r="H95" i="7"/>
  <c r="H20" i="7" s="1"/>
  <c r="E95" i="7"/>
  <c r="E20" i="7" s="1"/>
  <c r="P80" i="7"/>
  <c r="P19" i="7" s="1"/>
  <c r="K80" i="7"/>
  <c r="K19" i="7" s="1"/>
  <c r="E80" i="7"/>
  <c r="E19" i="7" s="1"/>
  <c r="K203" i="7"/>
  <c r="K25" i="7" s="1"/>
  <c r="H203" i="7"/>
  <c r="H25" i="7" s="1"/>
  <c r="E203" i="7"/>
  <c r="E25" i="7" s="1"/>
  <c r="K169" i="7"/>
  <c r="K21" i="7" s="1"/>
  <c r="H169" i="7"/>
  <c r="H21" i="7" s="1"/>
  <c r="E169" i="7"/>
  <c r="E21" i="7" s="1"/>
  <c r="K163" i="7"/>
  <c r="K15" i="7" s="1"/>
  <c r="H163" i="7"/>
  <c r="H15" i="7" s="1"/>
  <c r="E163" i="7"/>
  <c r="E15" i="7" s="1"/>
  <c r="P203" i="7"/>
  <c r="P25" i="7" s="1"/>
  <c r="R25" i="7" s="1"/>
  <c r="R16" i="7"/>
  <c r="P163" i="7"/>
  <c r="P15" i="7" s="1"/>
  <c r="R15" i="7" s="1"/>
  <c r="P135" i="7"/>
  <c r="P23" i="7" s="1"/>
  <c r="R23" i="7" s="1"/>
  <c r="R19" i="7"/>
  <c r="O81" i="7"/>
  <c r="R57" i="7"/>
  <c r="R69" i="7"/>
  <c r="P69" i="7" s="1"/>
  <c r="P18" i="7" s="1"/>
  <c r="R18" i="7" s="1"/>
  <c r="R95" i="7"/>
  <c r="P95" i="7" s="1"/>
  <c r="P20" i="7" s="1"/>
  <c r="R20" i="7" s="1"/>
  <c r="M17" i="7"/>
  <c r="M81" i="7"/>
  <c r="N95" i="7"/>
  <c r="N20" i="7" s="1"/>
  <c r="L20" i="7"/>
  <c r="N203" i="7"/>
  <c r="N25" i="7" s="1"/>
  <c r="N69" i="7"/>
  <c r="N18" i="7" s="1"/>
  <c r="L18" i="7"/>
  <c r="L22" i="7"/>
  <c r="N123" i="7"/>
  <c r="N22" i="7" s="1"/>
  <c r="N163" i="7"/>
  <c r="N15" i="7" s="1"/>
  <c r="L15" i="7"/>
  <c r="E81" i="7"/>
  <c r="H81" i="7"/>
  <c r="K81" i="7"/>
  <c r="N80" i="7"/>
  <c r="N19" i="7" s="1"/>
  <c r="E57" i="7"/>
  <c r="E17" i="7" s="1"/>
  <c r="K57" i="7"/>
  <c r="K17" i="7" s="1"/>
  <c r="N73" i="7"/>
  <c r="N93" i="7"/>
  <c r="H57" i="7"/>
  <c r="H17" i="7" s="1"/>
  <c r="N57" i="7"/>
  <c r="N17" i="7" s="1"/>
  <c r="N60" i="7"/>
  <c r="N202" i="7"/>
  <c r="K196" i="6"/>
  <c r="K22" i="6" s="1"/>
  <c r="N201" i="6"/>
  <c r="N23" i="6" s="1"/>
  <c r="K201" i="6"/>
  <c r="K23" i="6" s="1"/>
  <c r="H201" i="6"/>
  <c r="H23" i="6" s="1"/>
  <c r="E201" i="6"/>
  <c r="E23" i="6" s="1"/>
  <c r="P196" i="6"/>
  <c r="P22" i="6" s="1"/>
  <c r="R22" i="6" s="1"/>
  <c r="R96" i="6"/>
  <c r="R81" i="6"/>
  <c r="K130" i="6"/>
  <c r="K19" i="6" s="1"/>
  <c r="H130" i="6"/>
  <c r="H19" i="6" s="1"/>
  <c r="E130" i="6"/>
  <c r="E19" i="6" s="1"/>
  <c r="I24" i="6"/>
  <c r="C24" i="6"/>
  <c r="K140" i="6"/>
  <c r="K21" i="6" s="1"/>
  <c r="P96" i="6"/>
  <c r="P18" i="6" s="1"/>
  <c r="N96" i="6"/>
  <c r="N18" i="6" s="1"/>
  <c r="K96" i="6"/>
  <c r="K18" i="6" s="1"/>
  <c r="H96" i="6"/>
  <c r="H18" i="6" s="1"/>
  <c r="E96" i="6"/>
  <c r="E18" i="6" s="1"/>
  <c r="E81" i="6"/>
  <c r="E17" i="6" s="1"/>
  <c r="N81" i="6"/>
  <c r="N17" i="6" s="1"/>
  <c r="K81" i="6"/>
  <c r="K17" i="6" s="1"/>
  <c r="H81" i="6"/>
  <c r="H17" i="6" s="1"/>
  <c r="D24" i="6"/>
  <c r="N124" i="6"/>
  <c r="N20" i="6" s="1"/>
  <c r="K124" i="6"/>
  <c r="K20" i="6" s="1"/>
  <c r="H124" i="6"/>
  <c r="H20" i="6" s="1"/>
  <c r="E124" i="6"/>
  <c r="E20" i="6" s="1"/>
  <c r="K168" i="6"/>
  <c r="K13" i="6" s="1"/>
  <c r="N82" i="6"/>
  <c r="N70" i="6"/>
  <c r="N16" i="6" s="1"/>
  <c r="J24" i="6"/>
  <c r="K24" i="6" s="1"/>
  <c r="K82" i="6"/>
  <c r="K70" i="6"/>
  <c r="K16" i="6" s="1"/>
  <c r="H82" i="6"/>
  <c r="H70" i="6"/>
  <c r="H16" i="6" s="1"/>
  <c r="E82" i="6"/>
  <c r="E70" i="6"/>
  <c r="E16" i="6" s="1"/>
  <c r="N168" i="6"/>
  <c r="N13" i="6" s="1"/>
  <c r="L24" i="6"/>
  <c r="H168" i="6"/>
  <c r="H13" i="6" s="1"/>
  <c r="E168" i="6"/>
  <c r="E13" i="6" s="1"/>
  <c r="K160" i="6"/>
  <c r="K12" i="6" s="1"/>
  <c r="H160" i="6"/>
  <c r="H12" i="6" s="1"/>
  <c r="E160" i="6"/>
  <c r="E12" i="6" s="1"/>
  <c r="H140" i="6"/>
  <c r="H21" i="6" s="1"/>
  <c r="E140" i="6"/>
  <c r="E21" i="6" s="1"/>
  <c r="N182" i="6"/>
  <c r="N14" i="6" s="1"/>
  <c r="K182" i="6"/>
  <c r="K14" i="6" s="1"/>
  <c r="H182" i="6"/>
  <c r="H14" i="6" s="1"/>
  <c r="E182" i="6"/>
  <c r="E14" i="6" s="1"/>
  <c r="R201" i="6"/>
  <c r="P201" i="6" s="1"/>
  <c r="P23" i="6" s="1"/>
  <c r="M24" i="6"/>
  <c r="N196" i="6"/>
  <c r="N22" i="6" s="1"/>
  <c r="G24" i="6"/>
  <c r="F24" i="6"/>
  <c r="H196" i="6"/>
  <c r="H22" i="6" s="1"/>
  <c r="R182" i="6"/>
  <c r="P182" i="6" s="1"/>
  <c r="P14" i="6" s="1"/>
  <c r="R14" i="6" s="1"/>
  <c r="R168" i="6"/>
  <c r="P168" i="6" s="1"/>
  <c r="P13" i="6" s="1"/>
  <c r="R13" i="6" s="1"/>
  <c r="R160" i="6"/>
  <c r="P160" i="6" s="1"/>
  <c r="P12" i="6" s="1"/>
  <c r="R12" i="6" s="1"/>
  <c r="N160" i="6"/>
  <c r="N12" i="6" s="1"/>
  <c r="Q24" i="6"/>
  <c r="R140" i="6"/>
  <c r="P140" i="6" s="1"/>
  <c r="P21" i="6" s="1"/>
  <c r="R21" i="6" s="1"/>
  <c r="O24" i="6"/>
  <c r="R130" i="6"/>
  <c r="P130" i="6" s="1"/>
  <c r="P19" i="6" s="1"/>
  <c r="R124" i="6"/>
  <c r="P124" i="6" s="1"/>
  <c r="P20" i="6" s="1"/>
  <c r="R20" i="6" s="1"/>
  <c r="R18" i="6"/>
  <c r="P81" i="6"/>
  <c r="P17" i="6" s="1"/>
  <c r="R17" i="6" s="1"/>
  <c r="R70" i="6"/>
  <c r="P70" i="6" s="1"/>
  <c r="P16" i="6" s="1"/>
  <c r="R16" i="6" s="1"/>
  <c r="R58" i="6"/>
  <c r="P58" i="6" s="1"/>
  <c r="P15" i="6" s="1"/>
  <c r="R15" i="6" s="1"/>
  <c r="H58" i="6"/>
  <c r="H15" i="6" s="1"/>
  <c r="N58" i="6"/>
  <c r="N15" i="6" s="1"/>
  <c r="E58" i="6"/>
  <c r="E15" i="6" s="1"/>
  <c r="K58" i="6"/>
  <c r="K15" i="6" s="1"/>
  <c r="E148" i="4"/>
  <c r="Q204" i="5"/>
  <c r="O204" i="5"/>
  <c r="L204" i="5"/>
  <c r="J204" i="5"/>
  <c r="I204" i="5"/>
  <c r="K204" i="5" s="1"/>
  <c r="K23" i="5" s="1"/>
  <c r="G204" i="5"/>
  <c r="F204" i="5"/>
  <c r="H204" i="5" s="1"/>
  <c r="H23" i="5" s="1"/>
  <c r="D204" i="5"/>
  <c r="C204" i="5"/>
  <c r="E204" i="5" s="1"/>
  <c r="E23" i="5" s="1"/>
  <c r="R203" i="5"/>
  <c r="K203" i="5"/>
  <c r="H203" i="5"/>
  <c r="R202" i="5"/>
  <c r="R204" i="5" s="1"/>
  <c r="P204" i="5" s="1"/>
  <c r="P23" i="5" s="1"/>
  <c r="M202" i="5"/>
  <c r="M204" i="5" s="1"/>
  <c r="M23" i="5" s="1"/>
  <c r="K202" i="5"/>
  <c r="H202" i="5"/>
  <c r="E202" i="5"/>
  <c r="Q199" i="5"/>
  <c r="O199" i="5"/>
  <c r="M199" i="5"/>
  <c r="L199" i="5"/>
  <c r="J199" i="5"/>
  <c r="I199" i="5"/>
  <c r="G199" i="5"/>
  <c r="F199" i="5"/>
  <c r="D199" i="5"/>
  <c r="C199" i="5"/>
  <c r="R198" i="5"/>
  <c r="N198" i="5"/>
  <c r="K198" i="5"/>
  <c r="H198" i="5"/>
  <c r="E198" i="5"/>
  <c r="R197" i="5"/>
  <c r="N197" i="5"/>
  <c r="K197" i="5"/>
  <c r="H197" i="5"/>
  <c r="E197" i="5"/>
  <c r="K196" i="5"/>
  <c r="H196" i="5"/>
  <c r="E196" i="5"/>
  <c r="R195" i="5"/>
  <c r="N195" i="5"/>
  <c r="K195" i="5"/>
  <c r="H195" i="5"/>
  <c r="E195" i="5"/>
  <c r="R194" i="5"/>
  <c r="N194" i="5"/>
  <c r="K194" i="5"/>
  <c r="H194" i="5"/>
  <c r="E194" i="5"/>
  <c r="R193" i="5"/>
  <c r="N193" i="5"/>
  <c r="K193" i="5"/>
  <c r="H193" i="5"/>
  <c r="E193" i="5"/>
  <c r="R192" i="5"/>
  <c r="N192" i="5"/>
  <c r="K192" i="5"/>
  <c r="R191" i="5"/>
  <c r="N191" i="5"/>
  <c r="K191" i="5"/>
  <c r="H191" i="5"/>
  <c r="E191" i="5"/>
  <c r="R190" i="5"/>
  <c r="N190" i="5"/>
  <c r="K190" i="5"/>
  <c r="H190" i="5"/>
  <c r="E190" i="5"/>
  <c r="R189" i="5"/>
  <c r="N189" i="5"/>
  <c r="K189" i="5"/>
  <c r="H189" i="5"/>
  <c r="E189" i="5"/>
  <c r="R188" i="5"/>
  <c r="R199" i="5" s="1"/>
  <c r="P199" i="5" s="1"/>
  <c r="P22" i="5" s="1"/>
  <c r="N188" i="5"/>
  <c r="K188" i="5"/>
  <c r="H188" i="5"/>
  <c r="E188" i="5"/>
  <c r="Q185" i="5"/>
  <c r="O185" i="5"/>
  <c r="M185" i="5"/>
  <c r="J185" i="5"/>
  <c r="I185" i="5"/>
  <c r="G185" i="5"/>
  <c r="F185" i="5"/>
  <c r="D185" i="5"/>
  <c r="C185" i="5"/>
  <c r="R184" i="5"/>
  <c r="L184" i="5"/>
  <c r="L185" i="5" s="1"/>
  <c r="K184" i="5"/>
  <c r="H184" i="5"/>
  <c r="E184" i="5"/>
  <c r="R183" i="5"/>
  <c r="K183" i="5"/>
  <c r="H183" i="5"/>
  <c r="E183" i="5"/>
  <c r="R182" i="5"/>
  <c r="N182" i="5"/>
  <c r="K182" i="5"/>
  <c r="H182" i="5"/>
  <c r="E182" i="5"/>
  <c r="R181" i="5"/>
  <c r="N181" i="5"/>
  <c r="K181" i="5"/>
  <c r="H181" i="5"/>
  <c r="E181" i="5"/>
  <c r="R180" i="5"/>
  <c r="R179" i="5"/>
  <c r="N179" i="5"/>
  <c r="K179" i="5"/>
  <c r="H179" i="5"/>
  <c r="E179" i="5"/>
  <c r="R178" i="5"/>
  <c r="N178" i="5"/>
  <c r="K178" i="5"/>
  <c r="H178" i="5"/>
  <c r="E178" i="5"/>
  <c r="R177" i="5"/>
  <c r="N177" i="5"/>
  <c r="K177" i="5"/>
  <c r="H177" i="5"/>
  <c r="E177" i="5"/>
  <c r="R176" i="5"/>
  <c r="N176" i="5"/>
  <c r="K176" i="5"/>
  <c r="H176" i="5"/>
  <c r="E176" i="5"/>
  <c r="R175" i="5"/>
  <c r="K175" i="5"/>
  <c r="H175" i="5"/>
  <c r="E175" i="5"/>
  <c r="Q171" i="5"/>
  <c r="O171" i="5"/>
  <c r="M171" i="5"/>
  <c r="L171" i="5"/>
  <c r="N171" i="5" s="1"/>
  <c r="N13" i="5" s="1"/>
  <c r="J171" i="5"/>
  <c r="I171" i="5"/>
  <c r="K171" i="5" s="1"/>
  <c r="K13" i="5" s="1"/>
  <c r="G171" i="5"/>
  <c r="F171" i="5"/>
  <c r="H171" i="5" s="1"/>
  <c r="H13" i="5" s="1"/>
  <c r="D171" i="5"/>
  <c r="C171" i="5"/>
  <c r="E171" i="5" s="1"/>
  <c r="E13" i="5" s="1"/>
  <c r="R170" i="5"/>
  <c r="K170" i="5"/>
  <c r="H170" i="5"/>
  <c r="E170" i="5"/>
  <c r="R169" i="5"/>
  <c r="N169" i="5"/>
  <c r="K169" i="5"/>
  <c r="H169" i="5"/>
  <c r="E169" i="5"/>
  <c r="R168" i="5"/>
  <c r="R167" i="5"/>
  <c r="N167" i="5"/>
  <c r="K167" i="5"/>
  <c r="H167" i="5"/>
  <c r="E167" i="5"/>
  <c r="R166" i="5"/>
  <c r="R171" i="5" s="1"/>
  <c r="P171" i="5" s="1"/>
  <c r="P13" i="5" s="1"/>
  <c r="K166" i="5"/>
  <c r="H166" i="5"/>
  <c r="E166" i="5"/>
  <c r="Q163" i="5"/>
  <c r="O163" i="5"/>
  <c r="M163" i="5"/>
  <c r="L163" i="5"/>
  <c r="J163" i="5"/>
  <c r="I163" i="5"/>
  <c r="G163" i="5"/>
  <c r="F163" i="5"/>
  <c r="D163" i="5"/>
  <c r="C163" i="5"/>
  <c r="R162" i="5"/>
  <c r="N162" i="5"/>
  <c r="K162" i="5"/>
  <c r="H162" i="5"/>
  <c r="E162" i="5"/>
  <c r="R161" i="5"/>
  <c r="K161" i="5"/>
  <c r="H161" i="5"/>
  <c r="E161" i="5"/>
  <c r="R160" i="5"/>
  <c r="R159" i="5"/>
  <c r="R158" i="5"/>
  <c r="N158" i="5"/>
  <c r="K158" i="5"/>
  <c r="H158" i="5"/>
  <c r="E158" i="5"/>
  <c r="R157" i="5"/>
  <c r="N157" i="5"/>
  <c r="K157" i="5"/>
  <c r="H157" i="5"/>
  <c r="E157" i="5"/>
  <c r="R156" i="5"/>
  <c r="N156" i="5"/>
  <c r="K156" i="5"/>
  <c r="H156" i="5"/>
  <c r="E156" i="5"/>
  <c r="R155" i="5"/>
  <c r="R154" i="5"/>
  <c r="R153" i="5"/>
  <c r="N153" i="5"/>
  <c r="K153" i="5"/>
  <c r="H153" i="5"/>
  <c r="E153" i="5"/>
  <c r="R152" i="5"/>
  <c r="R151" i="5"/>
  <c r="N151" i="5"/>
  <c r="K151" i="5"/>
  <c r="H151" i="5"/>
  <c r="E151" i="5"/>
  <c r="R150" i="5"/>
  <c r="N150" i="5"/>
  <c r="K150" i="5"/>
  <c r="H150" i="5"/>
  <c r="E150" i="5"/>
  <c r="R149" i="5"/>
  <c r="N149" i="5"/>
  <c r="K149" i="5"/>
  <c r="H149" i="5"/>
  <c r="E149" i="5"/>
  <c r="R148" i="5"/>
  <c r="N148" i="5"/>
  <c r="K148" i="5"/>
  <c r="H148" i="5"/>
  <c r="E148" i="5"/>
  <c r="Q143" i="5"/>
  <c r="O143" i="5"/>
  <c r="M143" i="5"/>
  <c r="L143" i="5"/>
  <c r="J143" i="5"/>
  <c r="I143" i="5"/>
  <c r="G143" i="5"/>
  <c r="F143" i="5"/>
  <c r="D143" i="5"/>
  <c r="C143" i="5"/>
  <c r="R142" i="5"/>
  <c r="K142" i="5"/>
  <c r="H142" i="5"/>
  <c r="E142" i="5"/>
  <c r="R141" i="5"/>
  <c r="R140" i="5"/>
  <c r="K140" i="5"/>
  <c r="E140" i="5"/>
  <c r="R139" i="5"/>
  <c r="R138" i="5"/>
  <c r="R137" i="5"/>
  <c r="K137" i="5"/>
  <c r="H137" i="5"/>
  <c r="E137" i="5"/>
  <c r="R136" i="5"/>
  <c r="R143" i="5" s="1"/>
  <c r="P143" i="5" s="1"/>
  <c r="P21" i="5" s="1"/>
  <c r="K136" i="5"/>
  <c r="E136" i="5"/>
  <c r="Q133" i="5"/>
  <c r="O133" i="5"/>
  <c r="M133" i="5"/>
  <c r="J133" i="5"/>
  <c r="I133" i="5"/>
  <c r="G133" i="5"/>
  <c r="F133" i="5"/>
  <c r="D133" i="5"/>
  <c r="C133" i="5"/>
  <c r="R132" i="5"/>
  <c r="K132" i="5"/>
  <c r="H132" i="5"/>
  <c r="E132" i="5"/>
  <c r="R131" i="5"/>
  <c r="R130" i="5"/>
  <c r="L130" i="5"/>
  <c r="L133" i="5" s="1"/>
  <c r="L19" i="5" s="1"/>
  <c r="K130" i="5"/>
  <c r="H130" i="5"/>
  <c r="E130" i="5"/>
  <c r="Q127" i="5"/>
  <c r="O127" i="5"/>
  <c r="M127" i="5"/>
  <c r="J127" i="5"/>
  <c r="I127" i="5"/>
  <c r="K127" i="5" s="1"/>
  <c r="K20" i="5" s="1"/>
  <c r="G127" i="5"/>
  <c r="F127" i="5"/>
  <c r="H127" i="5" s="1"/>
  <c r="H20" i="5" s="1"/>
  <c r="D127" i="5"/>
  <c r="C127" i="5"/>
  <c r="E127" i="5" s="1"/>
  <c r="E20" i="5" s="1"/>
  <c r="R126" i="5"/>
  <c r="K126" i="5"/>
  <c r="H126" i="5"/>
  <c r="E126" i="5"/>
  <c r="R125" i="5"/>
  <c r="K125" i="5"/>
  <c r="H125" i="5"/>
  <c r="E125" i="5"/>
  <c r="R124" i="5"/>
  <c r="K124" i="5"/>
  <c r="H124" i="5"/>
  <c r="E124" i="5"/>
  <c r="R123" i="5"/>
  <c r="K123" i="5"/>
  <c r="H123" i="5"/>
  <c r="E123" i="5"/>
  <c r="R122" i="5"/>
  <c r="N122" i="5"/>
  <c r="K122" i="5"/>
  <c r="H122" i="5"/>
  <c r="E122" i="5"/>
  <c r="R121" i="5"/>
  <c r="R120" i="5"/>
  <c r="R119" i="5"/>
  <c r="R118" i="5"/>
  <c r="K118" i="5"/>
  <c r="H118" i="5"/>
  <c r="E118" i="5"/>
  <c r="R117" i="5"/>
  <c r="K117" i="5"/>
  <c r="H117" i="5"/>
  <c r="E117" i="5"/>
  <c r="R116" i="5"/>
  <c r="R115" i="5"/>
  <c r="R114" i="5"/>
  <c r="L114" i="5"/>
  <c r="L127" i="5" s="1"/>
  <c r="K114" i="5"/>
  <c r="H114" i="5"/>
  <c r="E114" i="5"/>
  <c r="R113" i="5"/>
  <c r="K113" i="5"/>
  <c r="H113" i="5"/>
  <c r="E113" i="5"/>
  <c r="R112" i="5"/>
  <c r="R111" i="5"/>
  <c r="N111" i="5"/>
  <c r="K111" i="5"/>
  <c r="H111" i="5"/>
  <c r="E111" i="5"/>
  <c r="R110" i="5"/>
  <c r="R109" i="5"/>
  <c r="K109" i="5"/>
  <c r="H109" i="5"/>
  <c r="E109" i="5"/>
  <c r="R108" i="5"/>
  <c r="R107" i="5"/>
  <c r="R106" i="5"/>
  <c r="N106" i="5"/>
  <c r="K106" i="5"/>
  <c r="H106" i="5"/>
  <c r="E106" i="5"/>
  <c r="R105" i="5"/>
  <c r="K105" i="5"/>
  <c r="H105" i="5"/>
  <c r="E105" i="5"/>
  <c r="R104" i="5"/>
  <c r="R103" i="5"/>
  <c r="R102" i="5"/>
  <c r="R127" i="5" s="1"/>
  <c r="P127" i="5" s="1"/>
  <c r="P20" i="5" s="1"/>
  <c r="N102" i="5"/>
  <c r="K102" i="5"/>
  <c r="H102" i="5"/>
  <c r="E102" i="5"/>
  <c r="Q99" i="5"/>
  <c r="O99" i="5"/>
  <c r="J99" i="5"/>
  <c r="I99" i="5"/>
  <c r="K99" i="5" s="1"/>
  <c r="K18" i="5" s="1"/>
  <c r="G99" i="5"/>
  <c r="F99" i="5"/>
  <c r="H99" i="5" s="1"/>
  <c r="H18" i="5" s="1"/>
  <c r="D99" i="5"/>
  <c r="C99" i="5"/>
  <c r="E99" i="5" s="1"/>
  <c r="E18" i="5" s="1"/>
  <c r="R98" i="5"/>
  <c r="N98" i="5"/>
  <c r="K98" i="5"/>
  <c r="H98" i="5"/>
  <c r="E98" i="5"/>
  <c r="R97" i="5"/>
  <c r="M97" i="5"/>
  <c r="M99" i="5" s="1"/>
  <c r="M18" i="5" s="1"/>
  <c r="L97" i="5"/>
  <c r="L99" i="5" s="1"/>
  <c r="K97" i="5"/>
  <c r="H97" i="5"/>
  <c r="E97" i="5"/>
  <c r="R96" i="5"/>
  <c r="K96" i="5"/>
  <c r="H96" i="5"/>
  <c r="E96" i="5"/>
  <c r="R95" i="5"/>
  <c r="N95" i="5"/>
  <c r="K95" i="5"/>
  <c r="H95" i="5"/>
  <c r="E95" i="5"/>
  <c r="R94" i="5"/>
  <c r="K94" i="5"/>
  <c r="E94" i="5"/>
  <c r="R93" i="5"/>
  <c r="R92" i="5"/>
  <c r="K92" i="5"/>
  <c r="H92" i="5"/>
  <c r="E92" i="5"/>
  <c r="R91" i="5"/>
  <c r="N91" i="5"/>
  <c r="K91" i="5"/>
  <c r="H91" i="5"/>
  <c r="E91" i="5"/>
  <c r="R90" i="5"/>
  <c r="N90" i="5"/>
  <c r="K90" i="5"/>
  <c r="H90" i="5"/>
  <c r="E90" i="5"/>
  <c r="R89" i="5"/>
  <c r="N89" i="5"/>
  <c r="K89" i="5"/>
  <c r="H89" i="5"/>
  <c r="E89" i="5"/>
  <c r="R88" i="5"/>
  <c r="R99" i="5" s="1"/>
  <c r="P99" i="5" s="1"/>
  <c r="P18" i="5" s="1"/>
  <c r="K88" i="5"/>
  <c r="H88" i="5"/>
  <c r="E88" i="5"/>
  <c r="Q84" i="5"/>
  <c r="O84" i="5"/>
  <c r="M84" i="5"/>
  <c r="L84" i="5"/>
  <c r="J84" i="5"/>
  <c r="I84" i="5"/>
  <c r="G84" i="5"/>
  <c r="F84" i="5"/>
  <c r="D84" i="5"/>
  <c r="C84" i="5"/>
  <c r="R83" i="5"/>
  <c r="K83" i="5"/>
  <c r="H83" i="5"/>
  <c r="E83" i="5"/>
  <c r="R82" i="5"/>
  <c r="K82" i="5"/>
  <c r="H82" i="5"/>
  <c r="E82" i="5"/>
  <c r="R81" i="5"/>
  <c r="N81" i="5"/>
  <c r="K81" i="5"/>
  <c r="H81" i="5"/>
  <c r="E81" i="5"/>
  <c r="R80" i="5"/>
  <c r="K80" i="5"/>
  <c r="H80" i="5"/>
  <c r="E80" i="5"/>
  <c r="R79" i="5"/>
  <c r="K79" i="5"/>
  <c r="H79" i="5"/>
  <c r="E79" i="5"/>
  <c r="R78" i="5"/>
  <c r="K78" i="5"/>
  <c r="H78" i="5"/>
  <c r="E78" i="5"/>
  <c r="R77" i="5"/>
  <c r="N77" i="5"/>
  <c r="K77" i="5"/>
  <c r="H77" i="5"/>
  <c r="E77" i="5"/>
  <c r="R76" i="5"/>
  <c r="R84" i="5" s="1"/>
  <c r="P84" i="5" s="1"/>
  <c r="P17" i="5" s="1"/>
  <c r="K76" i="5"/>
  <c r="H76" i="5"/>
  <c r="E76" i="5"/>
  <c r="Q73" i="5"/>
  <c r="O73" i="5"/>
  <c r="J73" i="5"/>
  <c r="I73" i="5"/>
  <c r="G73" i="5"/>
  <c r="F73" i="5"/>
  <c r="D73" i="5"/>
  <c r="C73" i="5"/>
  <c r="R72" i="5"/>
  <c r="R71" i="5"/>
  <c r="R70" i="5"/>
  <c r="N70" i="5"/>
  <c r="K70" i="5"/>
  <c r="H70" i="5"/>
  <c r="E70" i="5"/>
  <c r="R69" i="5"/>
  <c r="N69" i="5"/>
  <c r="K69" i="5"/>
  <c r="H69" i="5"/>
  <c r="E69" i="5"/>
  <c r="R68" i="5"/>
  <c r="N68" i="5"/>
  <c r="K68" i="5"/>
  <c r="H68" i="5"/>
  <c r="E68" i="5"/>
  <c r="R67" i="5"/>
  <c r="M67" i="5"/>
  <c r="N67" i="5" s="1"/>
  <c r="K67" i="5"/>
  <c r="H67" i="5"/>
  <c r="E67" i="5"/>
  <c r="R66" i="5"/>
  <c r="K66" i="5"/>
  <c r="H66" i="5"/>
  <c r="E66" i="5"/>
  <c r="R65" i="5"/>
  <c r="K65" i="5"/>
  <c r="H65" i="5"/>
  <c r="E65" i="5"/>
  <c r="R64" i="5"/>
  <c r="R73" i="5" s="1"/>
  <c r="P73" i="5" s="1"/>
  <c r="P16" i="5" s="1"/>
  <c r="M64" i="5"/>
  <c r="L64" i="5"/>
  <c r="L73" i="5" s="1"/>
  <c r="K64" i="5"/>
  <c r="H64" i="5"/>
  <c r="E64" i="5"/>
  <c r="Q61" i="5"/>
  <c r="Q85" i="5" s="1"/>
  <c r="O61" i="5"/>
  <c r="O85" i="5" s="1"/>
  <c r="L61" i="5"/>
  <c r="L85" i="5" s="1"/>
  <c r="J61" i="5"/>
  <c r="J85" i="5" s="1"/>
  <c r="I61" i="5"/>
  <c r="I85" i="5" s="1"/>
  <c r="K85" i="5" s="1"/>
  <c r="G61" i="5"/>
  <c r="G85" i="5" s="1"/>
  <c r="F61" i="5"/>
  <c r="F85" i="5" s="1"/>
  <c r="H85" i="5" s="1"/>
  <c r="D61" i="5"/>
  <c r="D85" i="5" s="1"/>
  <c r="C61" i="5"/>
  <c r="C85" i="5" s="1"/>
  <c r="E85" i="5" s="1"/>
  <c r="R60" i="5"/>
  <c r="R59" i="5"/>
  <c r="R58" i="5"/>
  <c r="K58" i="5"/>
  <c r="H58" i="5"/>
  <c r="E58" i="5"/>
  <c r="R57" i="5"/>
  <c r="K57" i="5"/>
  <c r="H57" i="5"/>
  <c r="E57" i="5"/>
  <c r="R56" i="5"/>
  <c r="K56" i="5"/>
  <c r="H56" i="5"/>
  <c r="E56" i="5"/>
  <c r="R55" i="5"/>
  <c r="N55" i="5"/>
  <c r="K55" i="5"/>
  <c r="H55" i="5"/>
  <c r="E55" i="5"/>
  <c r="R54" i="5"/>
  <c r="N54" i="5"/>
  <c r="K54" i="5"/>
  <c r="E54" i="5"/>
  <c r="R53" i="5"/>
  <c r="N53" i="5"/>
  <c r="K53" i="5"/>
  <c r="H53" i="5"/>
  <c r="E53" i="5"/>
  <c r="R52" i="5"/>
  <c r="K52" i="5"/>
  <c r="H52" i="5"/>
  <c r="E52" i="5"/>
  <c r="R51" i="5"/>
  <c r="K51" i="5"/>
  <c r="H51" i="5"/>
  <c r="E51" i="5"/>
  <c r="R50" i="5"/>
  <c r="R49" i="5"/>
  <c r="K49" i="5"/>
  <c r="H49" i="5"/>
  <c r="E49" i="5"/>
  <c r="R48" i="5"/>
  <c r="N48" i="5"/>
  <c r="K48" i="5"/>
  <c r="H48" i="5"/>
  <c r="E48" i="5"/>
  <c r="R47" i="5"/>
  <c r="M47" i="5"/>
  <c r="M61" i="5" s="1"/>
  <c r="K47" i="5"/>
  <c r="H47" i="5"/>
  <c r="E47" i="5"/>
  <c r="R46" i="5"/>
  <c r="K46" i="5"/>
  <c r="H46" i="5"/>
  <c r="E46" i="5"/>
  <c r="R45" i="5"/>
  <c r="R44" i="5"/>
  <c r="K44" i="5"/>
  <c r="H44" i="5"/>
  <c r="E44" i="5"/>
  <c r="Q23" i="5"/>
  <c r="O23" i="5"/>
  <c r="L23" i="5"/>
  <c r="J23" i="5"/>
  <c r="I23" i="5"/>
  <c r="G23" i="5"/>
  <c r="F23" i="5"/>
  <c r="D23" i="5"/>
  <c r="C23" i="5"/>
  <c r="Q22" i="5"/>
  <c r="O22" i="5"/>
  <c r="M22" i="5"/>
  <c r="L22" i="5"/>
  <c r="J22" i="5"/>
  <c r="I22" i="5"/>
  <c r="G22" i="5"/>
  <c r="F22" i="5"/>
  <c r="D22" i="5"/>
  <c r="C22" i="5"/>
  <c r="Q21" i="5"/>
  <c r="O21" i="5"/>
  <c r="N21" i="5"/>
  <c r="M21" i="5"/>
  <c r="L21" i="5"/>
  <c r="J21" i="5"/>
  <c r="I21" i="5"/>
  <c r="G21" i="5"/>
  <c r="F21" i="5"/>
  <c r="D21" i="5"/>
  <c r="C21" i="5"/>
  <c r="Q20" i="5"/>
  <c r="O20" i="5"/>
  <c r="M20" i="5"/>
  <c r="J20" i="5"/>
  <c r="I20" i="5"/>
  <c r="G20" i="5"/>
  <c r="F20" i="5"/>
  <c r="D20" i="5"/>
  <c r="C20" i="5"/>
  <c r="Q19" i="5"/>
  <c r="O19" i="5"/>
  <c r="N19" i="5"/>
  <c r="M19" i="5"/>
  <c r="J19" i="5"/>
  <c r="I19" i="5"/>
  <c r="G19" i="5"/>
  <c r="F19" i="5"/>
  <c r="D19" i="5"/>
  <c r="C19" i="5"/>
  <c r="Q18" i="5"/>
  <c r="O18" i="5"/>
  <c r="R18" i="5" s="1"/>
  <c r="J18" i="5"/>
  <c r="I18" i="5"/>
  <c r="G18" i="5"/>
  <c r="F18" i="5"/>
  <c r="D18" i="5"/>
  <c r="C18" i="5"/>
  <c r="Q17" i="5"/>
  <c r="O17" i="5"/>
  <c r="R17" i="5" s="1"/>
  <c r="M17" i="5"/>
  <c r="L17" i="5"/>
  <c r="J17" i="5"/>
  <c r="I17" i="5"/>
  <c r="G17" i="5"/>
  <c r="F17" i="5"/>
  <c r="D17" i="5"/>
  <c r="C17" i="5"/>
  <c r="Q16" i="5"/>
  <c r="O16" i="5"/>
  <c r="R16" i="5" s="1"/>
  <c r="J16" i="5"/>
  <c r="I16" i="5"/>
  <c r="G16" i="5"/>
  <c r="F16" i="5"/>
  <c r="D16" i="5"/>
  <c r="C16" i="5"/>
  <c r="Q15" i="5"/>
  <c r="O15" i="5"/>
  <c r="L15" i="5"/>
  <c r="J15" i="5"/>
  <c r="I15" i="5"/>
  <c r="G15" i="5"/>
  <c r="F15" i="5"/>
  <c r="D15" i="5"/>
  <c r="C15" i="5"/>
  <c r="Q14" i="5"/>
  <c r="O14" i="5"/>
  <c r="M14" i="5"/>
  <c r="J14" i="5"/>
  <c r="I14" i="5"/>
  <c r="G14" i="5"/>
  <c r="F14" i="5"/>
  <c r="D14" i="5"/>
  <c r="C14" i="5"/>
  <c r="Q13" i="5"/>
  <c r="O13" i="5"/>
  <c r="R13" i="5" s="1"/>
  <c r="M13" i="5"/>
  <c r="L13" i="5"/>
  <c r="J13" i="5"/>
  <c r="I13" i="5"/>
  <c r="G13" i="5"/>
  <c r="F13" i="5"/>
  <c r="D13" i="5"/>
  <c r="C13" i="5"/>
  <c r="Q12" i="5"/>
  <c r="Q24" i="5" s="1"/>
  <c r="O12" i="5"/>
  <c r="M12" i="5"/>
  <c r="L12" i="5"/>
  <c r="J12" i="5"/>
  <c r="J24" i="5" s="1"/>
  <c r="I12" i="5"/>
  <c r="G12" i="5"/>
  <c r="G24" i="5" s="1"/>
  <c r="F12" i="5"/>
  <c r="D12" i="5"/>
  <c r="D24" i="5" s="1"/>
  <c r="C12" i="5"/>
  <c r="R20" i="5" l="1"/>
  <c r="R21" i="5"/>
  <c r="R22" i="5"/>
  <c r="C24" i="5"/>
  <c r="F24" i="5"/>
  <c r="I24" i="5"/>
  <c r="O24" i="5"/>
  <c r="R61" i="5"/>
  <c r="M73" i="5"/>
  <c r="M16" i="5" s="1"/>
  <c r="E73" i="5"/>
  <c r="E16" i="5" s="1"/>
  <c r="H73" i="5"/>
  <c r="H16" i="5" s="1"/>
  <c r="K73" i="5"/>
  <c r="K16" i="5" s="1"/>
  <c r="E84" i="5"/>
  <c r="E17" i="5" s="1"/>
  <c r="H84" i="5"/>
  <c r="H17" i="5" s="1"/>
  <c r="K84" i="5"/>
  <c r="K17" i="5" s="1"/>
  <c r="N84" i="5"/>
  <c r="N17" i="5" s="1"/>
  <c r="R133" i="5"/>
  <c r="P133" i="5" s="1"/>
  <c r="P19" i="5" s="1"/>
  <c r="E133" i="5"/>
  <c r="E19" i="5" s="1"/>
  <c r="H133" i="5"/>
  <c r="H19" i="5" s="1"/>
  <c r="K133" i="5"/>
  <c r="K19" i="5" s="1"/>
  <c r="E143" i="5"/>
  <c r="E21" i="5" s="1"/>
  <c r="H143" i="5"/>
  <c r="H21" i="5" s="1"/>
  <c r="K143" i="5"/>
  <c r="K21" i="5" s="1"/>
  <c r="R163" i="5"/>
  <c r="P163" i="5" s="1"/>
  <c r="P12" i="5" s="1"/>
  <c r="E163" i="5"/>
  <c r="E12" i="5" s="1"/>
  <c r="H163" i="5"/>
  <c r="H12" i="5" s="1"/>
  <c r="K163" i="5"/>
  <c r="K12" i="5" s="1"/>
  <c r="N163" i="5"/>
  <c r="N12" i="5" s="1"/>
  <c r="R185" i="5"/>
  <c r="P185" i="5" s="1"/>
  <c r="P14" i="5" s="1"/>
  <c r="R14" i="5" s="1"/>
  <c r="N184" i="5"/>
  <c r="E185" i="5"/>
  <c r="E14" i="5" s="1"/>
  <c r="H185" i="5"/>
  <c r="H14" i="5" s="1"/>
  <c r="E199" i="5"/>
  <c r="E22" i="5" s="1"/>
  <c r="H199" i="5"/>
  <c r="H22" i="5" s="1"/>
  <c r="K199" i="5"/>
  <c r="K22" i="5" s="1"/>
  <c r="N199" i="5"/>
  <c r="N22" i="5" s="1"/>
  <c r="N202" i="5"/>
  <c r="R81" i="7"/>
  <c r="P81" i="7" s="1"/>
  <c r="N81" i="7"/>
  <c r="P57" i="7"/>
  <c r="P17" i="7" s="1"/>
  <c r="R17" i="7" s="1"/>
  <c r="E24" i="6"/>
  <c r="N24" i="6"/>
  <c r="H24" i="6"/>
  <c r="R24" i="6"/>
  <c r="P24" i="6" s="1"/>
  <c r="R82" i="6"/>
  <c r="P82" i="6" s="1"/>
  <c r="K185" i="5"/>
  <c r="K14" i="5" s="1"/>
  <c r="M85" i="5"/>
  <c r="M15" i="5"/>
  <c r="N73" i="5"/>
  <c r="N16" i="5" s="1"/>
  <c r="L16" i="5"/>
  <c r="N99" i="5"/>
  <c r="N18" i="5" s="1"/>
  <c r="L18" i="5"/>
  <c r="N127" i="5"/>
  <c r="N20" i="5" s="1"/>
  <c r="L20" i="5"/>
  <c r="N185" i="5"/>
  <c r="N14" i="5" s="1"/>
  <c r="L14" i="5"/>
  <c r="M24" i="5"/>
  <c r="N85" i="5"/>
  <c r="N204" i="5"/>
  <c r="N23" i="5" s="1"/>
  <c r="R85" i="5"/>
  <c r="P85" i="5" s="1"/>
  <c r="P61" i="5"/>
  <c r="P15" i="5" s="1"/>
  <c r="E24" i="5"/>
  <c r="H24" i="5"/>
  <c r="K24" i="5"/>
  <c r="L24" i="5"/>
  <c r="N24" i="5" s="1"/>
  <c r="R15" i="5"/>
  <c r="R12" i="5"/>
  <c r="H61" i="5"/>
  <c r="H15" i="5" s="1"/>
  <c r="N61" i="5"/>
  <c r="N15" i="5" s="1"/>
  <c r="N64" i="5"/>
  <c r="N97" i="5"/>
  <c r="N114" i="5"/>
  <c r="E61" i="5"/>
  <c r="E15" i="5" s="1"/>
  <c r="K61" i="5"/>
  <c r="K15" i="5" s="1"/>
  <c r="R24" i="5" l="1"/>
  <c r="P24" i="5" s="1"/>
  <c r="Q204" i="4"/>
  <c r="Q199" i="4"/>
  <c r="Q185" i="4"/>
  <c r="Q171" i="4"/>
  <c r="Q163" i="4"/>
  <c r="Q143" i="4"/>
  <c r="Q133" i="4"/>
  <c r="Q127" i="4"/>
  <c r="Q99" i="4"/>
  <c r="Q84" i="4"/>
  <c r="Q73" i="4"/>
  <c r="Q61" i="4"/>
  <c r="Q85" i="4" s="1"/>
  <c r="R131" i="4"/>
  <c r="R132" i="4"/>
  <c r="R130" i="4"/>
  <c r="E181" i="4"/>
  <c r="N19" i="4"/>
  <c r="R133" i="4" l="1"/>
  <c r="N179" i="4"/>
  <c r="H179" i="4"/>
  <c r="N176" i="4"/>
  <c r="K176" i="4"/>
  <c r="H176" i="4"/>
  <c r="E176" i="4"/>
  <c r="H203" i="4"/>
  <c r="E113" i="4"/>
  <c r="H113" i="4"/>
  <c r="K113" i="4"/>
  <c r="L99" i="4"/>
  <c r="L127" i="4"/>
  <c r="L20" i="4" s="1"/>
  <c r="E80" i="4"/>
  <c r="K70" i="4"/>
  <c r="O204" i="4"/>
  <c r="M204" i="4"/>
  <c r="L204" i="4"/>
  <c r="J204" i="4"/>
  <c r="I204" i="4"/>
  <c r="G204" i="4"/>
  <c r="G23" i="4" s="1"/>
  <c r="F204" i="4"/>
  <c r="D204" i="4"/>
  <c r="D23" i="4" s="1"/>
  <c r="C204" i="4"/>
  <c r="R203" i="4"/>
  <c r="K203" i="4"/>
  <c r="R202" i="4"/>
  <c r="R204" i="4" s="1"/>
  <c r="N202" i="4"/>
  <c r="K202" i="4"/>
  <c r="H202" i="4"/>
  <c r="E202" i="4"/>
  <c r="O199" i="4"/>
  <c r="M199" i="4"/>
  <c r="L199" i="4"/>
  <c r="J199" i="4"/>
  <c r="I199" i="4"/>
  <c r="G199" i="4"/>
  <c r="F199" i="4"/>
  <c r="D199" i="4"/>
  <c r="C199" i="4"/>
  <c r="R198" i="4"/>
  <c r="N198" i="4"/>
  <c r="K198" i="4"/>
  <c r="H198" i="4"/>
  <c r="E198" i="4"/>
  <c r="R197" i="4"/>
  <c r="N197" i="4"/>
  <c r="K197" i="4"/>
  <c r="H197" i="4"/>
  <c r="E197" i="4"/>
  <c r="K196" i="4"/>
  <c r="H196" i="4"/>
  <c r="E196" i="4"/>
  <c r="R195" i="4"/>
  <c r="N195" i="4"/>
  <c r="K195" i="4"/>
  <c r="H195" i="4"/>
  <c r="E195" i="4"/>
  <c r="R194" i="4"/>
  <c r="N194" i="4"/>
  <c r="K194" i="4"/>
  <c r="H194" i="4"/>
  <c r="E194" i="4"/>
  <c r="R193" i="4"/>
  <c r="N193" i="4"/>
  <c r="K193" i="4"/>
  <c r="H193" i="4"/>
  <c r="E193" i="4"/>
  <c r="R192" i="4"/>
  <c r="N192" i="4"/>
  <c r="K192" i="4"/>
  <c r="R191" i="4"/>
  <c r="N191" i="4"/>
  <c r="K191" i="4"/>
  <c r="H191" i="4"/>
  <c r="E191" i="4"/>
  <c r="R190" i="4"/>
  <c r="N190" i="4"/>
  <c r="K190" i="4"/>
  <c r="H190" i="4"/>
  <c r="E190" i="4"/>
  <c r="R189" i="4"/>
  <c r="N189" i="4"/>
  <c r="K189" i="4"/>
  <c r="H189" i="4"/>
  <c r="E189" i="4"/>
  <c r="R188" i="4"/>
  <c r="N188" i="4"/>
  <c r="K188" i="4"/>
  <c r="H188" i="4"/>
  <c r="E188" i="4"/>
  <c r="O185" i="4"/>
  <c r="J185" i="4"/>
  <c r="I185" i="4"/>
  <c r="I14" i="4" s="1"/>
  <c r="G185" i="4"/>
  <c r="F185" i="4"/>
  <c r="D185" i="4"/>
  <c r="C185" i="4"/>
  <c r="R184" i="4"/>
  <c r="M185" i="4"/>
  <c r="M14" i="4" s="1"/>
  <c r="N184" i="4"/>
  <c r="K184" i="4"/>
  <c r="E184" i="4"/>
  <c r="R183" i="4"/>
  <c r="K183" i="4"/>
  <c r="H183" i="4"/>
  <c r="E183" i="4"/>
  <c r="R182" i="4"/>
  <c r="N182" i="4"/>
  <c r="K182" i="4"/>
  <c r="H182" i="4"/>
  <c r="E182" i="4"/>
  <c r="R181" i="4"/>
  <c r="N181" i="4"/>
  <c r="K181" i="4"/>
  <c r="H181" i="4"/>
  <c r="R180" i="4"/>
  <c r="R179" i="4"/>
  <c r="K179" i="4"/>
  <c r="E179" i="4"/>
  <c r="R178" i="4"/>
  <c r="N178" i="4"/>
  <c r="K178" i="4"/>
  <c r="H178" i="4"/>
  <c r="E178" i="4"/>
  <c r="R177" i="4"/>
  <c r="N177" i="4"/>
  <c r="K177" i="4"/>
  <c r="H177" i="4"/>
  <c r="E177" i="4"/>
  <c r="R176" i="4"/>
  <c r="R175" i="4"/>
  <c r="K175" i="4"/>
  <c r="O171" i="4"/>
  <c r="O13" i="4" s="1"/>
  <c r="M171" i="4"/>
  <c r="L171" i="4"/>
  <c r="J171" i="4"/>
  <c r="I171" i="4"/>
  <c r="G171" i="4"/>
  <c r="G13" i="4" s="1"/>
  <c r="F171" i="4"/>
  <c r="D171" i="4"/>
  <c r="C171" i="4"/>
  <c r="R170" i="4"/>
  <c r="K170" i="4"/>
  <c r="H170" i="4"/>
  <c r="E170" i="4"/>
  <c r="R169" i="4"/>
  <c r="N169" i="4"/>
  <c r="K169" i="4"/>
  <c r="H169" i="4"/>
  <c r="E169" i="4"/>
  <c r="R168" i="4"/>
  <c r="R167" i="4"/>
  <c r="N167" i="4"/>
  <c r="K167" i="4"/>
  <c r="H167" i="4"/>
  <c r="E167" i="4"/>
  <c r="R166" i="4"/>
  <c r="K166" i="4"/>
  <c r="H166" i="4"/>
  <c r="E166" i="4"/>
  <c r="O163" i="4"/>
  <c r="O12" i="4" s="1"/>
  <c r="M163" i="4"/>
  <c r="L163" i="4"/>
  <c r="J163" i="4"/>
  <c r="J12" i="4" s="1"/>
  <c r="I163" i="4"/>
  <c r="G163" i="4"/>
  <c r="G12" i="4" s="1"/>
  <c r="F163" i="4"/>
  <c r="R162" i="4"/>
  <c r="N162" i="4"/>
  <c r="K162" i="4"/>
  <c r="H162" i="4"/>
  <c r="E162" i="4"/>
  <c r="R161" i="4"/>
  <c r="K161" i="4"/>
  <c r="H161" i="4"/>
  <c r="E161" i="4"/>
  <c r="R160" i="4"/>
  <c r="R159" i="4"/>
  <c r="R158" i="4"/>
  <c r="N158" i="4"/>
  <c r="K158" i="4"/>
  <c r="H158" i="4"/>
  <c r="E158" i="4"/>
  <c r="R157" i="4"/>
  <c r="N157" i="4"/>
  <c r="K157" i="4"/>
  <c r="H157" i="4"/>
  <c r="E157" i="4"/>
  <c r="R156" i="4"/>
  <c r="N156" i="4"/>
  <c r="H156" i="4"/>
  <c r="E156" i="4"/>
  <c r="R155" i="4"/>
  <c r="R154" i="4"/>
  <c r="R153" i="4"/>
  <c r="N153" i="4"/>
  <c r="K153" i="4"/>
  <c r="H153" i="4"/>
  <c r="E153" i="4"/>
  <c r="R152" i="4"/>
  <c r="R151" i="4"/>
  <c r="N151" i="4"/>
  <c r="K151" i="4"/>
  <c r="H151" i="4"/>
  <c r="E151" i="4"/>
  <c r="R150" i="4"/>
  <c r="N150" i="4"/>
  <c r="K150" i="4"/>
  <c r="H150" i="4"/>
  <c r="E150" i="4"/>
  <c r="R149" i="4"/>
  <c r="N149" i="4"/>
  <c r="K149" i="4"/>
  <c r="H149" i="4"/>
  <c r="R148" i="4"/>
  <c r="N148" i="4"/>
  <c r="K148" i="4"/>
  <c r="H148" i="4"/>
  <c r="O143" i="4"/>
  <c r="O21" i="4" s="1"/>
  <c r="M143" i="4"/>
  <c r="M21" i="4" s="1"/>
  <c r="L143" i="4"/>
  <c r="J143" i="4"/>
  <c r="I143" i="4"/>
  <c r="G143" i="4"/>
  <c r="G21" i="4" s="1"/>
  <c r="F143" i="4"/>
  <c r="D143" i="4"/>
  <c r="C143" i="4"/>
  <c r="R142" i="4"/>
  <c r="K142" i="4"/>
  <c r="H142" i="4"/>
  <c r="E142" i="4"/>
  <c r="R141" i="4"/>
  <c r="R140" i="4"/>
  <c r="K140" i="4"/>
  <c r="E140" i="4"/>
  <c r="R139" i="4"/>
  <c r="R138" i="4"/>
  <c r="R137" i="4"/>
  <c r="K137" i="4"/>
  <c r="H137" i="4"/>
  <c r="E137" i="4"/>
  <c r="R136" i="4"/>
  <c r="R143" i="4" s="1"/>
  <c r="O133" i="4"/>
  <c r="P133" i="4" s="1"/>
  <c r="M133" i="4"/>
  <c r="M19" i="4" s="1"/>
  <c r="L133" i="4"/>
  <c r="J133" i="4"/>
  <c r="I133" i="4"/>
  <c r="G133" i="4"/>
  <c r="F133" i="4"/>
  <c r="D133" i="4"/>
  <c r="C133" i="4"/>
  <c r="C19" i="4" s="1"/>
  <c r="K132" i="4"/>
  <c r="H132" i="4"/>
  <c r="E132" i="4"/>
  <c r="K130" i="4"/>
  <c r="H130" i="4"/>
  <c r="E130" i="4"/>
  <c r="O127" i="4"/>
  <c r="O20" i="4" s="1"/>
  <c r="M127" i="4"/>
  <c r="M20" i="4" s="1"/>
  <c r="J127" i="4"/>
  <c r="J20" i="4" s="1"/>
  <c r="I127" i="4"/>
  <c r="I20" i="4" s="1"/>
  <c r="G127" i="4"/>
  <c r="F127" i="4"/>
  <c r="F20" i="4" s="1"/>
  <c r="D127" i="4"/>
  <c r="D20" i="4" s="1"/>
  <c r="C127" i="4"/>
  <c r="C20" i="4" s="1"/>
  <c r="R126" i="4"/>
  <c r="K126" i="4"/>
  <c r="H126" i="4"/>
  <c r="E126" i="4"/>
  <c r="R125" i="4"/>
  <c r="K125" i="4"/>
  <c r="H125" i="4"/>
  <c r="E125" i="4"/>
  <c r="R124" i="4"/>
  <c r="K124" i="4"/>
  <c r="H124" i="4"/>
  <c r="E124" i="4"/>
  <c r="R123" i="4"/>
  <c r="K123" i="4"/>
  <c r="H123" i="4"/>
  <c r="E123" i="4"/>
  <c r="R122" i="4"/>
  <c r="N122" i="4"/>
  <c r="K122" i="4"/>
  <c r="H122" i="4"/>
  <c r="E122" i="4"/>
  <c r="R121" i="4"/>
  <c r="R120" i="4"/>
  <c r="R119" i="4"/>
  <c r="R118" i="4"/>
  <c r="K118" i="4"/>
  <c r="H118" i="4"/>
  <c r="E118" i="4"/>
  <c r="R117" i="4"/>
  <c r="K117" i="4"/>
  <c r="H117" i="4"/>
  <c r="E117" i="4"/>
  <c r="R116" i="4"/>
  <c r="R115" i="4"/>
  <c r="R114" i="4"/>
  <c r="K114" i="4"/>
  <c r="H114" i="4"/>
  <c r="E114" i="4"/>
  <c r="R113" i="4"/>
  <c r="R112" i="4"/>
  <c r="R111" i="4"/>
  <c r="N111" i="4"/>
  <c r="K111" i="4"/>
  <c r="E111" i="4"/>
  <c r="R110" i="4"/>
  <c r="R109" i="4"/>
  <c r="K102" i="4"/>
  <c r="H102" i="4"/>
  <c r="E102" i="4"/>
  <c r="R108" i="4"/>
  <c r="R107" i="4"/>
  <c r="R106" i="4"/>
  <c r="N106" i="4"/>
  <c r="K106" i="4"/>
  <c r="H106" i="4"/>
  <c r="E106" i="4"/>
  <c r="R105" i="4"/>
  <c r="K105" i="4"/>
  <c r="H105" i="4"/>
  <c r="E105" i="4"/>
  <c r="R104" i="4"/>
  <c r="R103" i="4"/>
  <c r="R102" i="4"/>
  <c r="Q18" i="4"/>
  <c r="O99" i="4"/>
  <c r="O18" i="4" s="1"/>
  <c r="M99" i="4"/>
  <c r="M18" i="4" s="1"/>
  <c r="J99" i="4"/>
  <c r="J18" i="4" s="1"/>
  <c r="I99" i="4"/>
  <c r="G99" i="4"/>
  <c r="G18" i="4" s="1"/>
  <c r="F99" i="4"/>
  <c r="F18" i="4" s="1"/>
  <c r="D99" i="4"/>
  <c r="D18" i="4" s="1"/>
  <c r="C99" i="4"/>
  <c r="R98" i="4"/>
  <c r="N98" i="4"/>
  <c r="K98" i="4"/>
  <c r="E98" i="4"/>
  <c r="R97" i="4"/>
  <c r="K97" i="4"/>
  <c r="H97" i="4"/>
  <c r="E97" i="4"/>
  <c r="R96" i="4"/>
  <c r="K96" i="4"/>
  <c r="H96" i="4"/>
  <c r="E96" i="4"/>
  <c r="R95" i="4"/>
  <c r="N95" i="4"/>
  <c r="R94" i="4"/>
  <c r="K94" i="4"/>
  <c r="E94" i="4"/>
  <c r="R93" i="4"/>
  <c r="R92" i="4"/>
  <c r="K92" i="4"/>
  <c r="H92" i="4"/>
  <c r="E92" i="4"/>
  <c r="R91" i="4"/>
  <c r="N91" i="4"/>
  <c r="K91" i="4"/>
  <c r="H91" i="4"/>
  <c r="E91" i="4"/>
  <c r="R90" i="4"/>
  <c r="N90" i="4"/>
  <c r="K90" i="4"/>
  <c r="H90" i="4"/>
  <c r="E90" i="4"/>
  <c r="R89" i="4"/>
  <c r="N89" i="4"/>
  <c r="K89" i="4"/>
  <c r="H89" i="4"/>
  <c r="E89" i="4"/>
  <c r="R88" i="4"/>
  <c r="K88" i="4"/>
  <c r="H88" i="4"/>
  <c r="E88" i="4"/>
  <c r="O84" i="4"/>
  <c r="O17" i="4" s="1"/>
  <c r="M84" i="4"/>
  <c r="L84" i="4"/>
  <c r="L17" i="4" s="1"/>
  <c r="J84" i="4"/>
  <c r="I84" i="4"/>
  <c r="I17" i="4" s="1"/>
  <c r="G84" i="4"/>
  <c r="F84" i="4"/>
  <c r="F17" i="4" s="1"/>
  <c r="D84" i="4"/>
  <c r="C84" i="4"/>
  <c r="C17" i="4" s="1"/>
  <c r="R83" i="4"/>
  <c r="K83" i="4"/>
  <c r="H83" i="4"/>
  <c r="E83" i="4"/>
  <c r="R82" i="4"/>
  <c r="R81" i="4"/>
  <c r="N81" i="4"/>
  <c r="K81" i="4"/>
  <c r="H81" i="4"/>
  <c r="E81" i="4"/>
  <c r="R80" i="4"/>
  <c r="K80" i="4"/>
  <c r="H80" i="4"/>
  <c r="R79" i="4"/>
  <c r="K79" i="4"/>
  <c r="H79" i="4"/>
  <c r="E79" i="4"/>
  <c r="R78" i="4"/>
  <c r="K78" i="4"/>
  <c r="H78" i="4"/>
  <c r="E78" i="4"/>
  <c r="R77" i="4"/>
  <c r="N77" i="4"/>
  <c r="K77" i="4"/>
  <c r="H77" i="4"/>
  <c r="E77" i="4"/>
  <c r="R76" i="4"/>
  <c r="K76" i="4"/>
  <c r="H76" i="4"/>
  <c r="E76" i="4"/>
  <c r="Q16" i="4"/>
  <c r="O73" i="4"/>
  <c r="O16" i="4" s="1"/>
  <c r="M73" i="4"/>
  <c r="L73" i="4"/>
  <c r="L16" i="4" s="1"/>
  <c r="J73" i="4"/>
  <c r="J16" i="4" s="1"/>
  <c r="I73" i="4"/>
  <c r="G73" i="4"/>
  <c r="G16" i="4" s="1"/>
  <c r="F73" i="4"/>
  <c r="F16" i="4" s="1"/>
  <c r="D73" i="4"/>
  <c r="D16" i="4" s="1"/>
  <c r="C73" i="4"/>
  <c r="C16" i="4" s="1"/>
  <c r="R72" i="4"/>
  <c r="R71" i="4"/>
  <c r="R70" i="4"/>
  <c r="N70" i="4"/>
  <c r="H70" i="4"/>
  <c r="E70" i="4"/>
  <c r="R69" i="4"/>
  <c r="N69" i="4"/>
  <c r="K69" i="4"/>
  <c r="H69" i="4"/>
  <c r="E69" i="4"/>
  <c r="R68" i="4"/>
  <c r="R67" i="4"/>
  <c r="N67" i="4"/>
  <c r="K67" i="4"/>
  <c r="H67" i="4"/>
  <c r="E67" i="4"/>
  <c r="R66" i="4"/>
  <c r="R65" i="4"/>
  <c r="K65" i="4"/>
  <c r="H65" i="4"/>
  <c r="E65" i="4"/>
  <c r="R64" i="4"/>
  <c r="N64" i="4"/>
  <c r="K64" i="4"/>
  <c r="H64" i="4"/>
  <c r="E64" i="4"/>
  <c r="O61" i="4"/>
  <c r="M61" i="4"/>
  <c r="L61" i="4"/>
  <c r="L15" i="4" s="1"/>
  <c r="J61" i="4"/>
  <c r="J15" i="4" s="1"/>
  <c r="I61" i="4"/>
  <c r="G61" i="4"/>
  <c r="F61" i="4"/>
  <c r="F15" i="4" s="1"/>
  <c r="D61" i="4"/>
  <c r="D15" i="4" s="1"/>
  <c r="C61" i="4"/>
  <c r="R60" i="4"/>
  <c r="R59" i="4"/>
  <c r="R58" i="4"/>
  <c r="K58" i="4"/>
  <c r="H58" i="4"/>
  <c r="E58" i="4"/>
  <c r="R57" i="4"/>
  <c r="K57" i="4"/>
  <c r="H57" i="4"/>
  <c r="E57" i="4"/>
  <c r="R56" i="4"/>
  <c r="K56" i="4"/>
  <c r="H56" i="4"/>
  <c r="E56" i="4"/>
  <c r="R55" i="4"/>
  <c r="N55" i="4"/>
  <c r="K55" i="4"/>
  <c r="H55" i="4"/>
  <c r="E55" i="4"/>
  <c r="R54" i="4"/>
  <c r="N54" i="4"/>
  <c r="K54" i="4"/>
  <c r="E54" i="4"/>
  <c r="R53" i="4"/>
  <c r="N53" i="4"/>
  <c r="K53" i="4"/>
  <c r="H53" i="4"/>
  <c r="E53" i="4"/>
  <c r="R52" i="4"/>
  <c r="K52" i="4"/>
  <c r="H52" i="4"/>
  <c r="E52" i="4"/>
  <c r="R51" i="4"/>
  <c r="K51" i="4"/>
  <c r="H51" i="4"/>
  <c r="E51" i="4"/>
  <c r="R50" i="4"/>
  <c r="R49" i="4"/>
  <c r="K49" i="4"/>
  <c r="H49" i="4"/>
  <c r="E49" i="4"/>
  <c r="R48" i="4"/>
  <c r="N48" i="4"/>
  <c r="K48" i="4"/>
  <c r="H48" i="4"/>
  <c r="E48" i="4"/>
  <c r="R47" i="4"/>
  <c r="K47" i="4"/>
  <c r="H47" i="4"/>
  <c r="E47" i="4"/>
  <c r="R46" i="4"/>
  <c r="K46" i="4"/>
  <c r="H46" i="4"/>
  <c r="E46" i="4"/>
  <c r="R45" i="4"/>
  <c r="R44" i="4"/>
  <c r="K44" i="4"/>
  <c r="H44" i="4"/>
  <c r="E44" i="4"/>
  <c r="Q23" i="4"/>
  <c r="O23" i="4"/>
  <c r="M23" i="4"/>
  <c r="L23" i="4"/>
  <c r="J23" i="4"/>
  <c r="F23" i="4"/>
  <c r="C23" i="4"/>
  <c r="Q22" i="4"/>
  <c r="O22" i="4"/>
  <c r="M22" i="4"/>
  <c r="L22" i="4"/>
  <c r="J22" i="4"/>
  <c r="I22" i="4"/>
  <c r="G22" i="4"/>
  <c r="F22" i="4"/>
  <c r="D22" i="4"/>
  <c r="C22" i="4"/>
  <c r="Q21" i="4"/>
  <c r="N21" i="4"/>
  <c r="L21" i="4"/>
  <c r="J21" i="4"/>
  <c r="I21" i="4"/>
  <c r="F21" i="4"/>
  <c r="D21" i="4"/>
  <c r="C21" i="4"/>
  <c r="Q20" i="4"/>
  <c r="G20" i="4"/>
  <c r="Q19" i="4"/>
  <c r="O19" i="4"/>
  <c r="L19" i="4"/>
  <c r="J19" i="4"/>
  <c r="I19" i="4"/>
  <c r="G19" i="4"/>
  <c r="F19" i="4"/>
  <c r="D19" i="4"/>
  <c r="Q17" i="4"/>
  <c r="M17" i="4"/>
  <c r="J17" i="4"/>
  <c r="G17" i="4"/>
  <c r="D17" i="4"/>
  <c r="M16" i="4"/>
  <c r="I16" i="4"/>
  <c r="Q14" i="4"/>
  <c r="O14" i="4"/>
  <c r="J14" i="4"/>
  <c r="G14" i="4"/>
  <c r="F14" i="4"/>
  <c r="D14" i="4"/>
  <c r="C14" i="4"/>
  <c r="Q13" i="4"/>
  <c r="M13" i="4"/>
  <c r="L13" i="4"/>
  <c r="J13" i="4"/>
  <c r="I13" i="4"/>
  <c r="F13" i="4"/>
  <c r="D13" i="4"/>
  <c r="C13" i="4"/>
  <c r="Q12" i="4"/>
  <c r="M12" i="4"/>
  <c r="L12" i="4"/>
  <c r="F12" i="4"/>
  <c r="D12" i="4"/>
  <c r="C12" i="4"/>
  <c r="K58" i="3"/>
  <c r="H58" i="3"/>
  <c r="E58" i="3"/>
  <c r="H187" i="3"/>
  <c r="H188" i="3"/>
  <c r="H189" i="3"/>
  <c r="H191" i="3"/>
  <c r="H192" i="3"/>
  <c r="H193" i="3"/>
  <c r="H194" i="3"/>
  <c r="H195" i="3"/>
  <c r="H196" i="3"/>
  <c r="H186" i="3"/>
  <c r="E191" i="3"/>
  <c r="E192" i="3"/>
  <c r="E193" i="3"/>
  <c r="E194" i="3"/>
  <c r="E195" i="3"/>
  <c r="E196" i="3"/>
  <c r="E188" i="3"/>
  <c r="E189" i="3"/>
  <c r="E187" i="3"/>
  <c r="E186" i="3"/>
  <c r="R99" i="4" l="1"/>
  <c r="R163" i="4"/>
  <c r="K199" i="4"/>
  <c r="K22" i="4" s="1"/>
  <c r="H199" i="4"/>
  <c r="H22" i="4" s="1"/>
  <c r="M85" i="4"/>
  <c r="K185" i="4"/>
  <c r="K14" i="4" s="1"/>
  <c r="E171" i="4"/>
  <c r="E13" i="4" s="1"/>
  <c r="N204" i="4"/>
  <c r="N23" i="4" s="1"/>
  <c r="K204" i="4"/>
  <c r="K23" i="4" s="1"/>
  <c r="K143" i="4"/>
  <c r="K21" i="4" s="1"/>
  <c r="E143" i="4"/>
  <c r="E21" i="4" s="1"/>
  <c r="K133" i="4"/>
  <c r="K19" i="4" s="1"/>
  <c r="H133" i="4"/>
  <c r="H19" i="4" s="1"/>
  <c r="H185" i="4"/>
  <c r="H14" i="4" s="1"/>
  <c r="R73" i="4"/>
  <c r="P73" i="4" s="1"/>
  <c r="P16" i="4" s="1"/>
  <c r="R16" i="4" s="1"/>
  <c r="P163" i="4"/>
  <c r="P12" i="4" s="1"/>
  <c r="R12" i="4" s="1"/>
  <c r="N163" i="4"/>
  <c r="N12" i="4" s="1"/>
  <c r="K163" i="4"/>
  <c r="K12" i="4" s="1"/>
  <c r="H163" i="4"/>
  <c r="H12" i="4" s="1"/>
  <c r="E163" i="4"/>
  <c r="E12" i="4" s="1"/>
  <c r="N114" i="4"/>
  <c r="N171" i="4"/>
  <c r="N13" i="4" s="1"/>
  <c r="K171" i="4"/>
  <c r="K13" i="4" s="1"/>
  <c r="H171" i="4"/>
  <c r="H13" i="4" s="1"/>
  <c r="E185" i="4"/>
  <c r="E14" i="4" s="1"/>
  <c r="H127" i="4"/>
  <c r="H20" i="4" s="1"/>
  <c r="K127" i="4"/>
  <c r="K20" i="4" s="1"/>
  <c r="E127" i="4"/>
  <c r="E20" i="4" s="1"/>
  <c r="K99" i="4"/>
  <c r="K18" i="4" s="1"/>
  <c r="E99" i="4"/>
  <c r="E18" i="4" s="1"/>
  <c r="N84" i="4"/>
  <c r="N17" i="4" s="1"/>
  <c r="K84" i="4"/>
  <c r="K17" i="4" s="1"/>
  <c r="H84" i="4"/>
  <c r="H17" i="4" s="1"/>
  <c r="G85" i="4"/>
  <c r="K73" i="4"/>
  <c r="K16" i="4" s="1"/>
  <c r="I85" i="4"/>
  <c r="C85" i="4"/>
  <c r="J24" i="4"/>
  <c r="P204" i="4"/>
  <c r="P23" i="4" s="1"/>
  <c r="R199" i="4"/>
  <c r="P199" i="4" s="1"/>
  <c r="P22" i="4" s="1"/>
  <c r="R22" i="4" s="1"/>
  <c r="R185" i="4"/>
  <c r="P185" i="4" s="1"/>
  <c r="P14" i="4" s="1"/>
  <c r="R14" i="4" s="1"/>
  <c r="R171" i="4"/>
  <c r="P171" i="4" s="1"/>
  <c r="P13" i="4" s="1"/>
  <c r="R13" i="4" s="1"/>
  <c r="P143" i="4"/>
  <c r="P21" i="4" s="1"/>
  <c r="R21" i="4" s="1"/>
  <c r="R127" i="4"/>
  <c r="P127" i="4" s="1"/>
  <c r="P20" i="4" s="1"/>
  <c r="R20" i="4" s="1"/>
  <c r="P99" i="4"/>
  <c r="P18" i="4" s="1"/>
  <c r="R18" i="4" s="1"/>
  <c r="R84" i="4"/>
  <c r="P84" i="4" s="1"/>
  <c r="P17" i="4" s="1"/>
  <c r="R17" i="4" s="1"/>
  <c r="O85" i="4"/>
  <c r="R61" i="4"/>
  <c r="P61" i="4" s="1"/>
  <c r="P15" i="4" s="1"/>
  <c r="E204" i="4"/>
  <c r="E23" i="4" s="1"/>
  <c r="H204" i="4"/>
  <c r="H23" i="4" s="1"/>
  <c r="I23" i="4"/>
  <c r="N199" i="4"/>
  <c r="N22" i="4" s="1"/>
  <c r="E199" i="4"/>
  <c r="E22" i="4" s="1"/>
  <c r="I12" i="4"/>
  <c r="H143" i="4"/>
  <c r="H21" i="4" s="1"/>
  <c r="D24" i="4"/>
  <c r="E133" i="4"/>
  <c r="E19" i="4" s="1"/>
  <c r="N127" i="4"/>
  <c r="N20" i="4" s="1"/>
  <c r="F24" i="4"/>
  <c r="H99" i="4"/>
  <c r="H18" i="4" s="1"/>
  <c r="E84" i="4"/>
  <c r="E17" i="4" s="1"/>
  <c r="E73" i="4"/>
  <c r="E16" i="4" s="1"/>
  <c r="N61" i="4"/>
  <c r="N15" i="4" s="1"/>
  <c r="L85" i="4"/>
  <c r="J85" i="4"/>
  <c r="H61" i="4"/>
  <c r="H15" i="4" s="1"/>
  <c r="F85" i="4"/>
  <c r="D85" i="4"/>
  <c r="N99" i="4"/>
  <c r="N18" i="4" s="1"/>
  <c r="L18" i="4"/>
  <c r="E61" i="4"/>
  <c r="E15" i="4" s="1"/>
  <c r="K61" i="4"/>
  <c r="K15" i="4" s="1"/>
  <c r="H73" i="4"/>
  <c r="H16" i="4" s="1"/>
  <c r="N73" i="4"/>
  <c r="N16" i="4" s="1"/>
  <c r="C15" i="4"/>
  <c r="G15" i="4"/>
  <c r="G24" i="4" s="1"/>
  <c r="I15" i="4"/>
  <c r="M15" i="4"/>
  <c r="O15" i="4"/>
  <c r="Q15" i="4"/>
  <c r="Q24" i="4" s="1"/>
  <c r="C18" i="4"/>
  <c r="I18" i="4"/>
  <c r="N97" i="4"/>
  <c r="L185" i="4"/>
  <c r="H78" i="3"/>
  <c r="E78" i="3"/>
  <c r="H102" i="3"/>
  <c r="L97" i="3"/>
  <c r="K94" i="3"/>
  <c r="H94" i="3"/>
  <c r="E94" i="3"/>
  <c r="E179" i="3"/>
  <c r="E177" i="3"/>
  <c r="N68" i="3"/>
  <c r="K68" i="3"/>
  <c r="H68" i="3"/>
  <c r="E68" i="3"/>
  <c r="M55" i="3"/>
  <c r="N48" i="3"/>
  <c r="K157" i="3"/>
  <c r="M182" i="3"/>
  <c r="N182" i="3" s="1"/>
  <c r="L182" i="3"/>
  <c r="L130" i="3"/>
  <c r="E130" i="3"/>
  <c r="H142" i="3"/>
  <c r="E142" i="3"/>
  <c r="K113" i="3"/>
  <c r="H113" i="3"/>
  <c r="H111" i="3"/>
  <c r="E113" i="3"/>
  <c r="H83" i="3"/>
  <c r="E79" i="3"/>
  <c r="K136" i="3"/>
  <c r="H136" i="3"/>
  <c r="E136" i="3"/>
  <c r="K201" i="3"/>
  <c r="K47" i="3"/>
  <c r="H47" i="3"/>
  <c r="M47" i="3"/>
  <c r="E47" i="3"/>
  <c r="E151" i="3"/>
  <c r="E140" i="3"/>
  <c r="F133" i="3"/>
  <c r="F19" i="3" s="1"/>
  <c r="Q202" i="3"/>
  <c r="O202" i="3"/>
  <c r="O23" i="3" s="1"/>
  <c r="M202" i="3"/>
  <c r="L202" i="3"/>
  <c r="J202" i="3"/>
  <c r="I202" i="3"/>
  <c r="G202" i="3"/>
  <c r="F202" i="3"/>
  <c r="D202" i="3"/>
  <c r="C202" i="3"/>
  <c r="R201" i="3"/>
  <c r="R200" i="3"/>
  <c r="N200" i="3"/>
  <c r="K200" i="3"/>
  <c r="H200" i="3"/>
  <c r="E200" i="3"/>
  <c r="Q197" i="3"/>
  <c r="O197" i="3"/>
  <c r="M197" i="3"/>
  <c r="L197" i="3"/>
  <c r="N197" i="3" s="1"/>
  <c r="N22" i="3" s="1"/>
  <c r="J197" i="3"/>
  <c r="I197" i="3"/>
  <c r="K197" i="3" s="1"/>
  <c r="K22" i="3" s="1"/>
  <c r="G197" i="3"/>
  <c r="F197" i="3"/>
  <c r="H197" i="3" s="1"/>
  <c r="H22" i="3" s="1"/>
  <c r="D197" i="3"/>
  <c r="C197" i="3"/>
  <c r="E197" i="3" s="1"/>
  <c r="E22" i="3" s="1"/>
  <c r="R196" i="3"/>
  <c r="N196" i="3"/>
  <c r="K196" i="3"/>
  <c r="R195" i="3"/>
  <c r="N195" i="3"/>
  <c r="K195" i="3"/>
  <c r="K194" i="3"/>
  <c r="R193" i="3"/>
  <c r="N193" i="3"/>
  <c r="K193" i="3"/>
  <c r="R192" i="3"/>
  <c r="N192" i="3"/>
  <c r="K192" i="3"/>
  <c r="R191" i="3"/>
  <c r="N191" i="3"/>
  <c r="K191" i="3"/>
  <c r="R190" i="3"/>
  <c r="N190" i="3"/>
  <c r="K190" i="3"/>
  <c r="R189" i="3"/>
  <c r="N189" i="3"/>
  <c r="K189" i="3"/>
  <c r="R188" i="3"/>
  <c r="N188" i="3"/>
  <c r="K188" i="3"/>
  <c r="R187" i="3"/>
  <c r="N187" i="3"/>
  <c r="K187" i="3"/>
  <c r="R186" i="3"/>
  <c r="N186" i="3"/>
  <c r="K186" i="3"/>
  <c r="Q183" i="3"/>
  <c r="O183" i="3"/>
  <c r="M183" i="3"/>
  <c r="L183" i="3"/>
  <c r="J183" i="3"/>
  <c r="I183" i="3"/>
  <c r="G183" i="3"/>
  <c r="F183" i="3"/>
  <c r="D183" i="3"/>
  <c r="C183" i="3"/>
  <c r="C14" i="3" s="1"/>
  <c r="R182" i="3"/>
  <c r="K182" i="3"/>
  <c r="H182" i="3"/>
  <c r="E182" i="3"/>
  <c r="R181" i="3"/>
  <c r="N181" i="3"/>
  <c r="K181" i="3"/>
  <c r="H181" i="3"/>
  <c r="E181" i="3"/>
  <c r="R180" i="3"/>
  <c r="N180" i="3"/>
  <c r="K180" i="3"/>
  <c r="H180" i="3"/>
  <c r="E180" i="3"/>
  <c r="R179" i="3"/>
  <c r="N179" i="3"/>
  <c r="K179" i="3"/>
  <c r="H179" i="3"/>
  <c r="R178" i="3"/>
  <c r="R177" i="3"/>
  <c r="N177" i="3"/>
  <c r="K177" i="3"/>
  <c r="R176" i="3"/>
  <c r="N176" i="3"/>
  <c r="K176" i="3"/>
  <c r="H176" i="3"/>
  <c r="E176" i="3"/>
  <c r="R175" i="3"/>
  <c r="N175" i="3"/>
  <c r="K175" i="3"/>
  <c r="H175" i="3"/>
  <c r="E175" i="3"/>
  <c r="R174" i="3"/>
  <c r="N174" i="3"/>
  <c r="K174" i="3"/>
  <c r="H174" i="3"/>
  <c r="E174" i="3"/>
  <c r="R173" i="3"/>
  <c r="K173" i="3"/>
  <c r="H173" i="3"/>
  <c r="E173" i="3"/>
  <c r="Q169" i="3"/>
  <c r="O169" i="3"/>
  <c r="M169" i="3"/>
  <c r="M13" i="3" s="1"/>
  <c r="J169" i="3"/>
  <c r="I169" i="3"/>
  <c r="G169" i="3"/>
  <c r="F169" i="3"/>
  <c r="D169" i="3"/>
  <c r="C169" i="3"/>
  <c r="R168" i="3"/>
  <c r="K168" i="3"/>
  <c r="H168" i="3"/>
  <c r="E168" i="3"/>
  <c r="R167" i="3"/>
  <c r="N167" i="3"/>
  <c r="K167" i="3"/>
  <c r="H167" i="3"/>
  <c r="E167" i="3"/>
  <c r="R166" i="3"/>
  <c r="R165" i="3"/>
  <c r="N165" i="3"/>
  <c r="K165" i="3"/>
  <c r="H165" i="3"/>
  <c r="E165" i="3"/>
  <c r="R164" i="3"/>
  <c r="K164" i="3"/>
  <c r="H164" i="3"/>
  <c r="E164" i="3"/>
  <c r="Q161" i="3"/>
  <c r="O161" i="3"/>
  <c r="O12" i="3" s="1"/>
  <c r="M161" i="3"/>
  <c r="L161" i="3"/>
  <c r="J161" i="3"/>
  <c r="I161" i="3"/>
  <c r="G161" i="3"/>
  <c r="F161" i="3"/>
  <c r="D161" i="3"/>
  <c r="C161" i="3"/>
  <c r="R160" i="3"/>
  <c r="N160" i="3"/>
  <c r="K160" i="3"/>
  <c r="H160" i="3"/>
  <c r="E160" i="3"/>
  <c r="R159" i="3"/>
  <c r="K159" i="3"/>
  <c r="H159" i="3"/>
  <c r="E159" i="3"/>
  <c r="R158" i="3"/>
  <c r="R157" i="3"/>
  <c r="R156" i="3"/>
  <c r="N156" i="3"/>
  <c r="K156" i="3"/>
  <c r="H156" i="3"/>
  <c r="E156" i="3"/>
  <c r="R155" i="3"/>
  <c r="N155" i="3"/>
  <c r="K155" i="3"/>
  <c r="H155" i="3"/>
  <c r="E155" i="3"/>
  <c r="R154" i="3"/>
  <c r="N154" i="3"/>
  <c r="K154" i="3"/>
  <c r="H154" i="3"/>
  <c r="E154" i="3"/>
  <c r="R153" i="3"/>
  <c r="R152" i="3"/>
  <c r="R151" i="3"/>
  <c r="N151" i="3"/>
  <c r="K151" i="3"/>
  <c r="H151" i="3"/>
  <c r="R150" i="3"/>
  <c r="R149" i="3"/>
  <c r="N149" i="3"/>
  <c r="K149" i="3"/>
  <c r="H149" i="3"/>
  <c r="E149" i="3"/>
  <c r="R148" i="3"/>
  <c r="N148" i="3"/>
  <c r="K148" i="3"/>
  <c r="H148" i="3"/>
  <c r="E148" i="3"/>
  <c r="R147" i="3"/>
  <c r="N147" i="3"/>
  <c r="K147" i="3"/>
  <c r="H147" i="3"/>
  <c r="E147" i="3"/>
  <c r="R146" i="3"/>
  <c r="N146" i="3"/>
  <c r="K146" i="3"/>
  <c r="H146" i="3"/>
  <c r="E146" i="3"/>
  <c r="Q143" i="3"/>
  <c r="O143" i="3"/>
  <c r="O21" i="3" s="1"/>
  <c r="M143" i="3"/>
  <c r="L143" i="3"/>
  <c r="J143" i="3"/>
  <c r="J21" i="3" s="1"/>
  <c r="I143" i="3"/>
  <c r="G143" i="3"/>
  <c r="F143" i="3"/>
  <c r="D143" i="3"/>
  <c r="C143" i="3"/>
  <c r="R142" i="3"/>
  <c r="K142" i="3"/>
  <c r="R141" i="3"/>
  <c r="R140" i="3"/>
  <c r="K140" i="3"/>
  <c r="R139" i="3"/>
  <c r="R138" i="3"/>
  <c r="R137" i="3"/>
  <c r="K137" i="3"/>
  <c r="H137" i="3"/>
  <c r="E137" i="3"/>
  <c r="R136" i="3"/>
  <c r="Q133" i="3"/>
  <c r="Q19" i="3" s="1"/>
  <c r="O133" i="3"/>
  <c r="O19" i="3" s="1"/>
  <c r="M133" i="3"/>
  <c r="J133" i="3"/>
  <c r="J19" i="3" s="1"/>
  <c r="I133" i="3"/>
  <c r="G133" i="3"/>
  <c r="G19" i="3" s="1"/>
  <c r="D133" i="3"/>
  <c r="D19" i="3" s="1"/>
  <c r="C133" i="3"/>
  <c r="K132" i="3"/>
  <c r="H132" i="3"/>
  <c r="E132" i="3"/>
  <c r="L133" i="3"/>
  <c r="K130" i="3"/>
  <c r="H130" i="3"/>
  <c r="Q127" i="3"/>
  <c r="Q20" i="3" s="1"/>
  <c r="O127" i="3"/>
  <c r="O20" i="3" s="1"/>
  <c r="M127" i="3"/>
  <c r="M20" i="3" s="1"/>
  <c r="L127" i="3"/>
  <c r="J127" i="3"/>
  <c r="J20" i="3" s="1"/>
  <c r="I127" i="3"/>
  <c r="G127" i="3"/>
  <c r="G20" i="3" s="1"/>
  <c r="F127" i="3"/>
  <c r="D127" i="3"/>
  <c r="D20" i="3" s="1"/>
  <c r="C127" i="3"/>
  <c r="R126" i="3"/>
  <c r="K126" i="3"/>
  <c r="H126" i="3"/>
  <c r="E126" i="3"/>
  <c r="R125" i="3"/>
  <c r="K125" i="3"/>
  <c r="H125" i="3"/>
  <c r="E125" i="3"/>
  <c r="R124" i="3"/>
  <c r="K124" i="3"/>
  <c r="H124" i="3"/>
  <c r="E124" i="3"/>
  <c r="R123" i="3"/>
  <c r="K123" i="3"/>
  <c r="H123" i="3"/>
  <c r="E123" i="3"/>
  <c r="R122" i="3"/>
  <c r="N122" i="3"/>
  <c r="K122" i="3"/>
  <c r="H122" i="3"/>
  <c r="E122" i="3"/>
  <c r="R121" i="3"/>
  <c r="R120" i="3"/>
  <c r="R119" i="3"/>
  <c r="R118" i="3"/>
  <c r="K118" i="3"/>
  <c r="H118" i="3"/>
  <c r="E118" i="3"/>
  <c r="R117" i="3"/>
  <c r="K117" i="3"/>
  <c r="H117" i="3"/>
  <c r="E117" i="3"/>
  <c r="R116" i="3"/>
  <c r="R115" i="3"/>
  <c r="R114" i="3"/>
  <c r="N114" i="3"/>
  <c r="K114" i="3"/>
  <c r="H114" i="3"/>
  <c r="E114" i="3"/>
  <c r="R113" i="3"/>
  <c r="R112" i="3"/>
  <c r="R111" i="3"/>
  <c r="N111" i="3"/>
  <c r="K111" i="3"/>
  <c r="E111" i="3"/>
  <c r="R110" i="3"/>
  <c r="R109" i="3"/>
  <c r="K109" i="3"/>
  <c r="H109" i="3"/>
  <c r="E109" i="3"/>
  <c r="R108" i="3"/>
  <c r="R107" i="3"/>
  <c r="R106" i="3"/>
  <c r="N106" i="3"/>
  <c r="K106" i="3"/>
  <c r="H106" i="3"/>
  <c r="E106" i="3"/>
  <c r="R105" i="3"/>
  <c r="K105" i="3"/>
  <c r="H105" i="3"/>
  <c r="E105" i="3"/>
  <c r="R104" i="3"/>
  <c r="R103" i="3"/>
  <c r="R102" i="3"/>
  <c r="N102" i="3"/>
  <c r="K102" i="3"/>
  <c r="E102" i="3"/>
  <c r="Q99" i="3"/>
  <c r="O99" i="3"/>
  <c r="O18" i="3" s="1"/>
  <c r="J99" i="3"/>
  <c r="J18" i="3" s="1"/>
  <c r="I99" i="3"/>
  <c r="G99" i="3"/>
  <c r="F99" i="3"/>
  <c r="D99" i="3"/>
  <c r="C99" i="3"/>
  <c r="R98" i="3"/>
  <c r="N98" i="3"/>
  <c r="K98" i="3"/>
  <c r="H98" i="3"/>
  <c r="E98" i="3"/>
  <c r="R97" i="3"/>
  <c r="M99" i="3"/>
  <c r="M18" i="3" s="1"/>
  <c r="L99" i="3"/>
  <c r="K97" i="3"/>
  <c r="H97" i="3"/>
  <c r="E97" i="3"/>
  <c r="R96" i="3"/>
  <c r="K96" i="3"/>
  <c r="H96" i="3"/>
  <c r="E96" i="3"/>
  <c r="R95" i="3"/>
  <c r="N95" i="3"/>
  <c r="K95" i="3"/>
  <c r="H95" i="3"/>
  <c r="E95" i="3"/>
  <c r="R94" i="3"/>
  <c r="R93" i="3"/>
  <c r="R92" i="3"/>
  <c r="K92" i="3"/>
  <c r="H92" i="3"/>
  <c r="E92" i="3"/>
  <c r="R91" i="3"/>
  <c r="N91" i="3"/>
  <c r="K91" i="3"/>
  <c r="H91" i="3"/>
  <c r="E91" i="3"/>
  <c r="R90" i="3"/>
  <c r="N90" i="3"/>
  <c r="K90" i="3"/>
  <c r="H90" i="3"/>
  <c r="E90" i="3"/>
  <c r="R89" i="3"/>
  <c r="N89" i="3"/>
  <c r="K89" i="3"/>
  <c r="H89" i="3"/>
  <c r="E89" i="3"/>
  <c r="R88" i="3"/>
  <c r="N88" i="3"/>
  <c r="K88" i="3"/>
  <c r="H88" i="3"/>
  <c r="E88" i="3"/>
  <c r="Q84" i="3"/>
  <c r="O84" i="3"/>
  <c r="M84" i="3"/>
  <c r="L84" i="3"/>
  <c r="L17" i="3" s="1"/>
  <c r="J84" i="3"/>
  <c r="I84" i="3"/>
  <c r="G84" i="3"/>
  <c r="F84" i="3"/>
  <c r="D84" i="3"/>
  <c r="D17" i="3" s="1"/>
  <c r="C84" i="3"/>
  <c r="C17" i="3" s="1"/>
  <c r="R83" i="3"/>
  <c r="K83" i="3"/>
  <c r="E83" i="3"/>
  <c r="R82" i="3"/>
  <c r="K82" i="3"/>
  <c r="H82" i="3"/>
  <c r="E82" i="3"/>
  <c r="R81" i="3"/>
  <c r="N81" i="3"/>
  <c r="K81" i="3"/>
  <c r="H81" i="3"/>
  <c r="E81" i="3"/>
  <c r="R80" i="3"/>
  <c r="K80" i="3"/>
  <c r="H80" i="3"/>
  <c r="E80" i="3"/>
  <c r="R79" i="3"/>
  <c r="K79" i="3"/>
  <c r="H79" i="3"/>
  <c r="R78" i="3"/>
  <c r="K78" i="3"/>
  <c r="R77" i="3"/>
  <c r="N77" i="3"/>
  <c r="K77" i="3"/>
  <c r="H77" i="3"/>
  <c r="E77" i="3"/>
  <c r="R76" i="3"/>
  <c r="K76" i="3"/>
  <c r="H76" i="3"/>
  <c r="E76" i="3"/>
  <c r="Q73" i="3"/>
  <c r="Q16" i="3" s="1"/>
  <c r="O73" i="3"/>
  <c r="L73" i="3"/>
  <c r="L16" i="3" s="1"/>
  <c r="J73" i="3"/>
  <c r="I73" i="3"/>
  <c r="I16" i="3" s="1"/>
  <c r="G73" i="3"/>
  <c r="F73" i="3"/>
  <c r="F16" i="3" s="1"/>
  <c r="D73" i="3"/>
  <c r="C73" i="3"/>
  <c r="C16" i="3" s="1"/>
  <c r="R72" i="3"/>
  <c r="R71" i="3"/>
  <c r="R70" i="3"/>
  <c r="N70" i="3"/>
  <c r="K70" i="3"/>
  <c r="H70" i="3"/>
  <c r="E70" i="3"/>
  <c r="R69" i="3"/>
  <c r="N69" i="3"/>
  <c r="K69" i="3"/>
  <c r="H69" i="3"/>
  <c r="E69" i="3"/>
  <c r="R68" i="3"/>
  <c r="R67" i="3"/>
  <c r="M73" i="3"/>
  <c r="M16" i="3" s="1"/>
  <c r="K67" i="3"/>
  <c r="H67" i="3"/>
  <c r="E67" i="3"/>
  <c r="R66" i="3"/>
  <c r="K66" i="3"/>
  <c r="H66" i="3"/>
  <c r="E66" i="3"/>
  <c r="R65" i="3"/>
  <c r="K65" i="3"/>
  <c r="H65" i="3"/>
  <c r="E65" i="3"/>
  <c r="R64" i="3"/>
  <c r="N64" i="3"/>
  <c r="K64" i="3"/>
  <c r="H64" i="3"/>
  <c r="E64" i="3"/>
  <c r="Q61" i="3"/>
  <c r="Q85" i="3" s="1"/>
  <c r="O61" i="3"/>
  <c r="O85" i="3" s="1"/>
  <c r="M61" i="3"/>
  <c r="M15" i="3" s="1"/>
  <c r="L61" i="3"/>
  <c r="L15" i="3" s="1"/>
  <c r="J61" i="3"/>
  <c r="I61" i="3"/>
  <c r="G61" i="3"/>
  <c r="F61" i="3"/>
  <c r="D61" i="3"/>
  <c r="D15" i="3" s="1"/>
  <c r="C61" i="3"/>
  <c r="R60" i="3"/>
  <c r="R59" i="3"/>
  <c r="R58" i="3"/>
  <c r="R57" i="3"/>
  <c r="K57" i="3"/>
  <c r="H57" i="3"/>
  <c r="E57" i="3"/>
  <c r="R56" i="3"/>
  <c r="K56" i="3"/>
  <c r="H56" i="3"/>
  <c r="E56" i="3"/>
  <c r="R55" i="3"/>
  <c r="N55" i="3"/>
  <c r="K55" i="3"/>
  <c r="H55" i="3"/>
  <c r="E55" i="3"/>
  <c r="R54" i="3"/>
  <c r="N54" i="3"/>
  <c r="K54" i="3"/>
  <c r="E54" i="3"/>
  <c r="R53" i="3"/>
  <c r="N53" i="3"/>
  <c r="K53" i="3"/>
  <c r="H53" i="3"/>
  <c r="E53" i="3"/>
  <c r="R52" i="3"/>
  <c r="K52" i="3"/>
  <c r="H52" i="3"/>
  <c r="E52" i="3"/>
  <c r="R51" i="3"/>
  <c r="K51" i="3"/>
  <c r="H51" i="3"/>
  <c r="E51" i="3"/>
  <c r="R50" i="3"/>
  <c r="R49" i="3"/>
  <c r="K49" i="3"/>
  <c r="H49" i="3"/>
  <c r="E49" i="3"/>
  <c r="R48" i="3"/>
  <c r="K48" i="3"/>
  <c r="H48" i="3"/>
  <c r="E48" i="3"/>
  <c r="R47" i="3"/>
  <c r="R46" i="3"/>
  <c r="K46" i="3"/>
  <c r="H46" i="3"/>
  <c r="E46" i="3"/>
  <c r="R45" i="3"/>
  <c r="R44" i="3"/>
  <c r="K44" i="3"/>
  <c r="H44" i="3"/>
  <c r="E44" i="3"/>
  <c r="Q23" i="3"/>
  <c r="M23" i="3"/>
  <c r="L23" i="3"/>
  <c r="J23" i="3"/>
  <c r="I23" i="3"/>
  <c r="G23" i="3"/>
  <c r="F23" i="3"/>
  <c r="D23" i="3"/>
  <c r="C23" i="3"/>
  <c r="Q22" i="3"/>
  <c r="O22" i="3"/>
  <c r="M22" i="3"/>
  <c r="L22" i="3"/>
  <c r="J22" i="3"/>
  <c r="I22" i="3"/>
  <c r="G22" i="3"/>
  <c r="F22" i="3"/>
  <c r="D22" i="3"/>
  <c r="C22" i="3"/>
  <c r="Q21" i="3"/>
  <c r="N21" i="3"/>
  <c r="M21" i="3"/>
  <c r="L21" i="3"/>
  <c r="I21" i="3"/>
  <c r="G21" i="3"/>
  <c r="F21" i="3"/>
  <c r="D21" i="3"/>
  <c r="C21" i="3"/>
  <c r="L20" i="3"/>
  <c r="F20" i="3"/>
  <c r="Q18" i="3"/>
  <c r="I18" i="3"/>
  <c r="G18" i="3"/>
  <c r="F18" i="3"/>
  <c r="D18" i="3"/>
  <c r="C18" i="3"/>
  <c r="Q17" i="3"/>
  <c r="O17" i="3"/>
  <c r="M17" i="3"/>
  <c r="I17" i="3"/>
  <c r="G17" i="3"/>
  <c r="O16" i="3"/>
  <c r="J16" i="3"/>
  <c r="G16" i="3"/>
  <c r="D16" i="3"/>
  <c r="O15" i="3"/>
  <c r="J15" i="3"/>
  <c r="C15" i="3"/>
  <c r="Q14" i="3"/>
  <c r="O14" i="3"/>
  <c r="M14" i="3"/>
  <c r="L14" i="3"/>
  <c r="J14" i="3"/>
  <c r="I14" i="3"/>
  <c r="G14" i="3"/>
  <c r="F14" i="3"/>
  <c r="D14" i="3"/>
  <c r="Q13" i="3"/>
  <c r="O13" i="3"/>
  <c r="J13" i="3"/>
  <c r="I13" i="3"/>
  <c r="G13" i="3"/>
  <c r="F13" i="3"/>
  <c r="D13" i="3"/>
  <c r="C13" i="3"/>
  <c r="Q12" i="3"/>
  <c r="M12" i="3"/>
  <c r="L12" i="3"/>
  <c r="J12" i="3"/>
  <c r="I12" i="3"/>
  <c r="G12" i="3"/>
  <c r="F12" i="3"/>
  <c r="D12" i="3"/>
  <c r="C12" i="3"/>
  <c r="E77" i="1"/>
  <c r="E75" i="1"/>
  <c r="E76" i="1"/>
  <c r="R161" i="3" l="1"/>
  <c r="R197" i="3"/>
  <c r="N85" i="4"/>
  <c r="E85" i="4"/>
  <c r="I24" i="4"/>
  <c r="K24" i="4" s="1"/>
  <c r="K85" i="4"/>
  <c r="H85" i="4"/>
  <c r="H24" i="4"/>
  <c r="R85" i="4"/>
  <c r="P85" i="4" s="1"/>
  <c r="R15" i="4"/>
  <c r="R24" i="4" s="1"/>
  <c r="C24" i="4"/>
  <c r="E24" i="4" s="1"/>
  <c r="N185" i="4"/>
  <c r="N14" i="4" s="1"/>
  <c r="L14" i="4"/>
  <c r="L24" i="4" s="1"/>
  <c r="O24" i="4"/>
  <c r="P24" i="4" s="1"/>
  <c r="R73" i="3"/>
  <c r="P73" i="3" s="1"/>
  <c r="P16" i="3" s="1"/>
  <c r="R84" i="3"/>
  <c r="R169" i="3"/>
  <c r="R202" i="3"/>
  <c r="P202" i="3" s="1"/>
  <c r="P23" i="3" s="1"/>
  <c r="R127" i="3"/>
  <c r="P127" i="3" s="1"/>
  <c r="P20" i="3" s="1"/>
  <c r="R20" i="3" s="1"/>
  <c r="R61" i="3"/>
  <c r="R85" i="3" s="1"/>
  <c r="P85" i="3" s="1"/>
  <c r="R16" i="3"/>
  <c r="N183" i="3"/>
  <c r="N14" i="3" s="1"/>
  <c r="L19" i="3"/>
  <c r="K133" i="3"/>
  <c r="K19" i="3" s="1"/>
  <c r="I19" i="3"/>
  <c r="E133" i="3"/>
  <c r="E19" i="3" s="1"/>
  <c r="C19" i="3"/>
  <c r="K183" i="3"/>
  <c r="K14" i="3" s="1"/>
  <c r="K99" i="3"/>
  <c r="K18" i="3" s="1"/>
  <c r="H99" i="3"/>
  <c r="H18" i="3" s="1"/>
  <c r="E99" i="3"/>
  <c r="E18" i="3" s="1"/>
  <c r="K84" i="3"/>
  <c r="K17" i="3" s="1"/>
  <c r="D24" i="3"/>
  <c r="G85" i="3"/>
  <c r="E73" i="3"/>
  <c r="E16" i="3" s="1"/>
  <c r="N127" i="3"/>
  <c r="N20" i="3" s="1"/>
  <c r="H127" i="3"/>
  <c r="H20" i="3" s="1"/>
  <c r="E127" i="3"/>
  <c r="E20" i="3" s="1"/>
  <c r="E84" i="3"/>
  <c r="E17" i="3" s="1"/>
  <c r="N202" i="3"/>
  <c r="N23" i="3" s="1"/>
  <c r="K202" i="3"/>
  <c r="K23" i="3" s="1"/>
  <c r="H202" i="3"/>
  <c r="H23" i="3" s="1"/>
  <c r="E202" i="3"/>
  <c r="E23" i="3" s="1"/>
  <c r="K161" i="3"/>
  <c r="K12" i="3" s="1"/>
  <c r="M85" i="3"/>
  <c r="H73" i="3"/>
  <c r="H16" i="3" s="1"/>
  <c r="N61" i="3"/>
  <c r="N15" i="3" s="1"/>
  <c r="G15" i="3"/>
  <c r="G24" i="3" s="1"/>
  <c r="H61" i="3"/>
  <c r="H15" i="3" s="1"/>
  <c r="F15" i="3"/>
  <c r="K61" i="3"/>
  <c r="K15" i="3" s="1"/>
  <c r="E61" i="3"/>
  <c r="E15" i="3" s="1"/>
  <c r="N161" i="3"/>
  <c r="N12" i="3" s="1"/>
  <c r="H161" i="3"/>
  <c r="H12" i="3" s="1"/>
  <c r="E161" i="3"/>
  <c r="E12" i="3" s="1"/>
  <c r="K169" i="3"/>
  <c r="K13" i="3" s="1"/>
  <c r="H169" i="3"/>
  <c r="H13" i="3" s="1"/>
  <c r="H183" i="3"/>
  <c r="H14" i="3" s="1"/>
  <c r="E183" i="3"/>
  <c r="E14" i="3" s="1"/>
  <c r="E169" i="3"/>
  <c r="E13" i="3" s="1"/>
  <c r="K143" i="3"/>
  <c r="K21" i="3" s="1"/>
  <c r="H143" i="3"/>
  <c r="H21" i="3" s="1"/>
  <c r="E143" i="3"/>
  <c r="E21" i="3" s="1"/>
  <c r="H133" i="3"/>
  <c r="H19" i="3" s="1"/>
  <c r="P197" i="3"/>
  <c r="P22" i="3" s="1"/>
  <c r="R22" i="3" s="1"/>
  <c r="R183" i="3"/>
  <c r="P183" i="3" s="1"/>
  <c r="P14" i="3" s="1"/>
  <c r="R14" i="3" s="1"/>
  <c r="P169" i="3"/>
  <c r="P13" i="3" s="1"/>
  <c r="R13" i="3" s="1"/>
  <c r="P161" i="3"/>
  <c r="P12" i="3" s="1"/>
  <c r="R143" i="3"/>
  <c r="P143" i="3" s="1"/>
  <c r="P21" i="3" s="1"/>
  <c r="R21" i="3" s="1"/>
  <c r="R133" i="3"/>
  <c r="K127" i="3"/>
  <c r="K20" i="3" s="1"/>
  <c r="O24" i="3"/>
  <c r="R99" i="3"/>
  <c r="P99" i="3" s="1"/>
  <c r="P18" i="3" s="1"/>
  <c r="R18" i="3" s="1"/>
  <c r="P84" i="3"/>
  <c r="P17" i="3" s="1"/>
  <c r="R17" i="3" s="1"/>
  <c r="N73" i="3"/>
  <c r="N16" i="3" s="1"/>
  <c r="J85" i="3"/>
  <c r="K73" i="3"/>
  <c r="K16" i="3" s="1"/>
  <c r="Q15" i="3"/>
  <c r="Q24" i="3" s="1"/>
  <c r="I15" i="3"/>
  <c r="F85" i="3"/>
  <c r="N99" i="3"/>
  <c r="N18" i="3" s="1"/>
  <c r="L18" i="3"/>
  <c r="H84" i="3"/>
  <c r="H17" i="3" s="1"/>
  <c r="N84" i="3"/>
  <c r="N17" i="3" s="1"/>
  <c r="D85" i="3"/>
  <c r="L85" i="3"/>
  <c r="R12" i="3"/>
  <c r="F17" i="3"/>
  <c r="J17" i="3"/>
  <c r="J24" i="3" s="1"/>
  <c r="C20" i="3"/>
  <c r="I20" i="3"/>
  <c r="N67" i="3"/>
  <c r="C85" i="3"/>
  <c r="E85" i="3" s="1"/>
  <c r="I85" i="3"/>
  <c r="N97" i="3"/>
  <c r="L169" i="3"/>
  <c r="G202" i="2"/>
  <c r="F202" i="2"/>
  <c r="N176" i="2"/>
  <c r="N180" i="2"/>
  <c r="N77" i="2"/>
  <c r="K77" i="2"/>
  <c r="H77" i="2"/>
  <c r="E77" i="2"/>
  <c r="N102" i="2"/>
  <c r="K102" i="2"/>
  <c r="E102" i="2"/>
  <c r="K117" i="2"/>
  <c r="H117" i="2"/>
  <c r="E117" i="2"/>
  <c r="K46" i="2"/>
  <c r="H46" i="2"/>
  <c r="E46" i="2"/>
  <c r="H49" i="2"/>
  <c r="E49" i="2"/>
  <c r="L167" i="2"/>
  <c r="N167" i="2" s="1"/>
  <c r="H118" i="2"/>
  <c r="K142" i="2"/>
  <c r="K181" i="2"/>
  <c r="H130" i="2"/>
  <c r="K130" i="2"/>
  <c r="L130" i="2"/>
  <c r="N130" i="2" s="1"/>
  <c r="H131" i="2"/>
  <c r="K131" i="2"/>
  <c r="N131" i="2"/>
  <c r="E132" i="2"/>
  <c r="H132" i="2"/>
  <c r="K132" i="2"/>
  <c r="N132" i="2"/>
  <c r="C133" i="2"/>
  <c r="D133" i="2"/>
  <c r="F133" i="2"/>
  <c r="G133" i="2"/>
  <c r="I133" i="2"/>
  <c r="I19" i="2" s="1"/>
  <c r="J133" i="2"/>
  <c r="L133" i="2"/>
  <c r="M133" i="2"/>
  <c r="O133" i="2"/>
  <c r="O19" i="2" s="1"/>
  <c r="Q133" i="2"/>
  <c r="Q19" i="2" s="1"/>
  <c r="F19" i="2"/>
  <c r="C19" i="2"/>
  <c r="K105" i="2"/>
  <c r="H133" i="2" l="1"/>
  <c r="H19" i="2" s="1"/>
  <c r="E133" i="2"/>
  <c r="E19" i="2" s="1"/>
  <c r="M19" i="3"/>
  <c r="M24" i="3" s="1"/>
  <c r="M24" i="4"/>
  <c r="N24" i="4" s="1"/>
  <c r="G19" i="2"/>
  <c r="C24" i="3"/>
  <c r="E24" i="3" s="1"/>
  <c r="F24" i="3"/>
  <c r="P61" i="3"/>
  <c r="P15" i="3" s="1"/>
  <c r="R15" i="3" s="1"/>
  <c r="N85" i="3"/>
  <c r="I24" i="3"/>
  <c r="K24" i="3" s="1"/>
  <c r="H85" i="3"/>
  <c r="M19" i="2"/>
  <c r="H24" i="3"/>
  <c r="K85" i="3"/>
  <c r="R24" i="3"/>
  <c r="P24" i="3" s="1"/>
  <c r="N169" i="3"/>
  <c r="N13" i="3" s="1"/>
  <c r="L13" i="3"/>
  <c r="L24" i="3" s="1"/>
  <c r="N24" i="3" s="1"/>
  <c r="N133" i="2"/>
  <c r="K133" i="2"/>
  <c r="K19" i="2" s="1"/>
  <c r="D19" i="2"/>
  <c r="J19" i="2"/>
  <c r="N19" i="2"/>
  <c r="L19" i="2"/>
  <c r="K180" i="2"/>
  <c r="H180" i="2"/>
  <c r="E180" i="2"/>
  <c r="K176" i="2"/>
  <c r="E176" i="2"/>
  <c r="N88" i="2"/>
  <c r="K88" i="2"/>
  <c r="H88" i="2"/>
  <c r="E88" i="2"/>
  <c r="M97" i="2"/>
  <c r="L97" i="2"/>
  <c r="H97" i="2"/>
  <c r="K70" i="2"/>
  <c r="H123" i="2"/>
  <c r="E123" i="2"/>
  <c r="K78" i="2"/>
  <c r="M67" i="2"/>
  <c r="H55" i="2"/>
  <c r="H53" i="2"/>
  <c r="Q202" i="2"/>
  <c r="O202" i="2"/>
  <c r="M202" i="2"/>
  <c r="L202" i="2"/>
  <c r="J202" i="2"/>
  <c r="I202" i="2"/>
  <c r="H202" i="2"/>
  <c r="H23" i="2" s="1"/>
  <c r="D202" i="2"/>
  <c r="C202" i="2"/>
  <c r="C23" i="2" s="1"/>
  <c r="R201" i="2"/>
  <c r="R200" i="2"/>
  <c r="N200" i="2"/>
  <c r="K200" i="2"/>
  <c r="H200" i="2"/>
  <c r="E200" i="2"/>
  <c r="Q197" i="2"/>
  <c r="O197" i="2"/>
  <c r="M197" i="2"/>
  <c r="L197" i="2"/>
  <c r="J197" i="2"/>
  <c r="J22" i="2" s="1"/>
  <c r="I197" i="2"/>
  <c r="G197" i="2"/>
  <c r="F197" i="2"/>
  <c r="D197" i="2"/>
  <c r="C197" i="2"/>
  <c r="R196" i="2"/>
  <c r="N196" i="2"/>
  <c r="K196" i="2"/>
  <c r="H196" i="2"/>
  <c r="E196" i="2"/>
  <c r="R195" i="2"/>
  <c r="N195" i="2"/>
  <c r="K195" i="2"/>
  <c r="H195" i="2"/>
  <c r="E195" i="2"/>
  <c r="K194" i="2"/>
  <c r="H194" i="2"/>
  <c r="E194" i="2"/>
  <c r="R193" i="2"/>
  <c r="N193" i="2"/>
  <c r="K193" i="2"/>
  <c r="H193" i="2"/>
  <c r="E193" i="2"/>
  <c r="R192" i="2"/>
  <c r="N192" i="2"/>
  <c r="K192" i="2"/>
  <c r="H192" i="2"/>
  <c r="E192" i="2"/>
  <c r="R191" i="2"/>
  <c r="N191" i="2"/>
  <c r="K191" i="2"/>
  <c r="H191" i="2"/>
  <c r="E191" i="2"/>
  <c r="R190" i="2"/>
  <c r="N190" i="2"/>
  <c r="K190" i="2"/>
  <c r="H190" i="2"/>
  <c r="E190" i="2"/>
  <c r="R189" i="2"/>
  <c r="N189" i="2"/>
  <c r="K189" i="2"/>
  <c r="H189" i="2"/>
  <c r="E189" i="2"/>
  <c r="R188" i="2"/>
  <c r="N188" i="2"/>
  <c r="K188" i="2"/>
  <c r="H188" i="2"/>
  <c r="E188" i="2"/>
  <c r="R187" i="2"/>
  <c r="N187" i="2"/>
  <c r="K187" i="2"/>
  <c r="H187" i="2"/>
  <c r="E187" i="2"/>
  <c r="R186" i="2"/>
  <c r="N186" i="2"/>
  <c r="K186" i="2"/>
  <c r="H186" i="2"/>
  <c r="E186" i="2"/>
  <c r="Q183" i="2"/>
  <c r="O183" i="2"/>
  <c r="M183" i="2"/>
  <c r="L183" i="2"/>
  <c r="J183" i="2"/>
  <c r="I183" i="2"/>
  <c r="G183" i="2"/>
  <c r="F183" i="2"/>
  <c r="D183" i="2"/>
  <c r="C183" i="2"/>
  <c r="R182" i="2"/>
  <c r="N182" i="2"/>
  <c r="K182" i="2"/>
  <c r="H182" i="2"/>
  <c r="E182" i="2"/>
  <c r="R181" i="2"/>
  <c r="N181" i="2"/>
  <c r="H181" i="2"/>
  <c r="E181" i="2"/>
  <c r="R180" i="2"/>
  <c r="R179" i="2"/>
  <c r="N179" i="2"/>
  <c r="K179" i="2"/>
  <c r="H179" i="2"/>
  <c r="E179" i="2"/>
  <c r="R178" i="2"/>
  <c r="R177" i="2"/>
  <c r="N177" i="2"/>
  <c r="K177" i="2"/>
  <c r="H177" i="2"/>
  <c r="E177" i="2"/>
  <c r="R176" i="2"/>
  <c r="H176" i="2"/>
  <c r="R175" i="2"/>
  <c r="N175" i="2"/>
  <c r="K175" i="2"/>
  <c r="H175" i="2"/>
  <c r="E175" i="2"/>
  <c r="R174" i="2"/>
  <c r="N174" i="2"/>
  <c r="K174" i="2"/>
  <c r="H174" i="2"/>
  <c r="E174" i="2"/>
  <c r="R173" i="2"/>
  <c r="K173" i="2"/>
  <c r="H173" i="2"/>
  <c r="E173" i="2"/>
  <c r="Q169" i="2"/>
  <c r="O169" i="2"/>
  <c r="O13" i="2" s="1"/>
  <c r="M169" i="2"/>
  <c r="L169" i="2"/>
  <c r="J169" i="2"/>
  <c r="I169" i="2"/>
  <c r="G169" i="2"/>
  <c r="F169" i="2"/>
  <c r="F13" i="2" s="1"/>
  <c r="D169" i="2"/>
  <c r="C169" i="2"/>
  <c r="C13" i="2" s="1"/>
  <c r="R168" i="2"/>
  <c r="K168" i="2"/>
  <c r="H168" i="2"/>
  <c r="E168" i="2"/>
  <c r="R167" i="2"/>
  <c r="K167" i="2"/>
  <c r="H167" i="2"/>
  <c r="E167" i="2"/>
  <c r="R166" i="2"/>
  <c r="R165" i="2"/>
  <c r="N165" i="2"/>
  <c r="K165" i="2"/>
  <c r="H165" i="2"/>
  <c r="E165" i="2"/>
  <c r="R164" i="2"/>
  <c r="K164" i="2"/>
  <c r="H164" i="2"/>
  <c r="E164" i="2"/>
  <c r="Q161" i="2"/>
  <c r="O161" i="2"/>
  <c r="O12" i="2" s="1"/>
  <c r="M161" i="2"/>
  <c r="L161" i="2"/>
  <c r="L12" i="2" s="1"/>
  <c r="J161" i="2"/>
  <c r="I161" i="2"/>
  <c r="I12" i="2" s="1"/>
  <c r="G161" i="2"/>
  <c r="F161" i="2"/>
  <c r="F12" i="2" s="1"/>
  <c r="D161" i="2"/>
  <c r="C161" i="2"/>
  <c r="C12" i="2" s="1"/>
  <c r="R160" i="2"/>
  <c r="N160" i="2"/>
  <c r="K160" i="2"/>
  <c r="H160" i="2"/>
  <c r="E160" i="2"/>
  <c r="R159" i="2"/>
  <c r="K159" i="2"/>
  <c r="H159" i="2"/>
  <c r="E159" i="2"/>
  <c r="R158" i="2"/>
  <c r="R157" i="2"/>
  <c r="R156" i="2"/>
  <c r="N156" i="2"/>
  <c r="K156" i="2"/>
  <c r="H156" i="2"/>
  <c r="E156" i="2"/>
  <c r="R155" i="2"/>
  <c r="N155" i="2"/>
  <c r="K155" i="2"/>
  <c r="H155" i="2"/>
  <c r="E155" i="2"/>
  <c r="R154" i="2"/>
  <c r="N154" i="2"/>
  <c r="K154" i="2"/>
  <c r="H154" i="2"/>
  <c r="E154" i="2"/>
  <c r="R153" i="2"/>
  <c r="R152" i="2"/>
  <c r="R151" i="2"/>
  <c r="N151" i="2"/>
  <c r="K151" i="2"/>
  <c r="H151" i="2"/>
  <c r="E151" i="2"/>
  <c r="R150" i="2"/>
  <c r="R149" i="2"/>
  <c r="N149" i="2"/>
  <c r="K149" i="2"/>
  <c r="H149" i="2"/>
  <c r="E149" i="2"/>
  <c r="R148" i="2"/>
  <c r="N148" i="2"/>
  <c r="K148" i="2"/>
  <c r="H148" i="2"/>
  <c r="E148" i="2"/>
  <c r="R147" i="2"/>
  <c r="N147" i="2"/>
  <c r="K147" i="2"/>
  <c r="H147" i="2"/>
  <c r="E147" i="2"/>
  <c r="R146" i="2"/>
  <c r="N146" i="2"/>
  <c r="K146" i="2"/>
  <c r="H146" i="2"/>
  <c r="E146" i="2"/>
  <c r="Q143" i="2"/>
  <c r="O143" i="2"/>
  <c r="O21" i="2" s="1"/>
  <c r="M143" i="2"/>
  <c r="L143" i="2"/>
  <c r="J143" i="2"/>
  <c r="I143" i="2"/>
  <c r="G143" i="2"/>
  <c r="F143" i="2"/>
  <c r="D143" i="2"/>
  <c r="C143" i="2"/>
  <c r="C21" i="2" s="1"/>
  <c r="R142" i="2"/>
  <c r="R141" i="2"/>
  <c r="R140" i="2"/>
  <c r="K140" i="2"/>
  <c r="R139" i="2"/>
  <c r="R138" i="2"/>
  <c r="R137" i="2"/>
  <c r="K137" i="2"/>
  <c r="H137" i="2"/>
  <c r="E137" i="2"/>
  <c r="R136" i="2"/>
  <c r="Q127" i="2"/>
  <c r="O127" i="2"/>
  <c r="M127" i="2"/>
  <c r="L127" i="2"/>
  <c r="J127" i="2"/>
  <c r="J20" i="2" s="1"/>
  <c r="I127" i="2"/>
  <c r="G127" i="2"/>
  <c r="G20" i="2" s="1"/>
  <c r="F127" i="2"/>
  <c r="D127" i="2"/>
  <c r="D20" i="2" s="1"/>
  <c r="C127" i="2"/>
  <c r="R126" i="2"/>
  <c r="K126" i="2"/>
  <c r="H126" i="2"/>
  <c r="E126" i="2"/>
  <c r="R125" i="2"/>
  <c r="K125" i="2"/>
  <c r="H125" i="2"/>
  <c r="E125" i="2"/>
  <c r="R124" i="2"/>
  <c r="K124" i="2"/>
  <c r="H124" i="2"/>
  <c r="E124" i="2"/>
  <c r="R123" i="2"/>
  <c r="K123" i="2"/>
  <c r="R122" i="2"/>
  <c r="N122" i="2"/>
  <c r="K122" i="2"/>
  <c r="H122" i="2"/>
  <c r="E122" i="2"/>
  <c r="R121" i="2"/>
  <c r="R120" i="2"/>
  <c r="R119" i="2"/>
  <c r="R118" i="2"/>
  <c r="K118" i="2"/>
  <c r="E118" i="2"/>
  <c r="R117" i="2"/>
  <c r="R116" i="2"/>
  <c r="R115" i="2"/>
  <c r="R114" i="2"/>
  <c r="N114" i="2"/>
  <c r="K114" i="2"/>
  <c r="H114" i="2"/>
  <c r="E114" i="2"/>
  <c r="R113" i="2"/>
  <c r="R112" i="2"/>
  <c r="R111" i="2"/>
  <c r="K111" i="2"/>
  <c r="H111" i="2"/>
  <c r="E111" i="2"/>
  <c r="R110" i="2"/>
  <c r="R109" i="2"/>
  <c r="K109" i="2"/>
  <c r="H109" i="2"/>
  <c r="E109" i="2"/>
  <c r="R108" i="2"/>
  <c r="R107" i="2"/>
  <c r="R106" i="2"/>
  <c r="N106" i="2"/>
  <c r="K106" i="2"/>
  <c r="H106" i="2"/>
  <c r="E106" i="2"/>
  <c r="R105" i="2"/>
  <c r="H105" i="2"/>
  <c r="E105" i="2"/>
  <c r="R104" i="2"/>
  <c r="R103" i="2"/>
  <c r="R102" i="2"/>
  <c r="Q99" i="2"/>
  <c r="Q18" i="2" s="1"/>
  <c r="O99" i="2"/>
  <c r="M99" i="2"/>
  <c r="L99" i="2"/>
  <c r="J99" i="2"/>
  <c r="I99" i="2"/>
  <c r="G99" i="2"/>
  <c r="F99" i="2"/>
  <c r="D99" i="2"/>
  <c r="C99" i="2"/>
  <c r="R98" i="2"/>
  <c r="N98" i="2"/>
  <c r="K98" i="2"/>
  <c r="H98" i="2"/>
  <c r="E98" i="2"/>
  <c r="R97" i="2"/>
  <c r="N97" i="2"/>
  <c r="K97" i="2"/>
  <c r="E97" i="2"/>
  <c r="R96" i="2"/>
  <c r="K96" i="2"/>
  <c r="H96" i="2"/>
  <c r="E96" i="2"/>
  <c r="R95" i="2"/>
  <c r="N95" i="2"/>
  <c r="K95" i="2"/>
  <c r="H95" i="2"/>
  <c r="E95" i="2"/>
  <c r="R94" i="2"/>
  <c r="R93" i="2"/>
  <c r="R92" i="2"/>
  <c r="K92" i="2"/>
  <c r="H92" i="2"/>
  <c r="E92" i="2"/>
  <c r="R91" i="2"/>
  <c r="N91" i="2"/>
  <c r="K91" i="2"/>
  <c r="H91" i="2"/>
  <c r="E91" i="2"/>
  <c r="R90" i="2"/>
  <c r="N90" i="2"/>
  <c r="K90" i="2"/>
  <c r="H90" i="2"/>
  <c r="E90" i="2"/>
  <c r="R89" i="2"/>
  <c r="N89" i="2"/>
  <c r="K89" i="2"/>
  <c r="H89" i="2"/>
  <c r="E89" i="2"/>
  <c r="R88" i="2"/>
  <c r="Q84" i="2"/>
  <c r="O84" i="2"/>
  <c r="M84" i="2"/>
  <c r="L84" i="2"/>
  <c r="J84" i="2"/>
  <c r="I84" i="2"/>
  <c r="G84" i="2"/>
  <c r="F84" i="2"/>
  <c r="D84" i="2"/>
  <c r="C84" i="2"/>
  <c r="R83" i="2"/>
  <c r="K83" i="2"/>
  <c r="E83" i="2"/>
  <c r="R82" i="2"/>
  <c r="K82" i="2"/>
  <c r="H82" i="2"/>
  <c r="E82" i="2"/>
  <c r="R81" i="2"/>
  <c r="N81" i="2"/>
  <c r="K81" i="2"/>
  <c r="H81" i="2"/>
  <c r="E81" i="2"/>
  <c r="R80" i="2"/>
  <c r="K80" i="2"/>
  <c r="H80" i="2"/>
  <c r="E80" i="2"/>
  <c r="R79" i="2"/>
  <c r="K79" i="2"/>
  <c r="H79" i="2"/>
  <c r="E79" i="2"/>
  <c r="R78" i="2"/>
  <c r="R77" i="2"/>
  <c r="R76" i="2"/>
  <c r="K76" i="2"/>
  <c r="H76" i="2"/>
  <c r="E76" i="2"/>
  <c r="Q73" i="2"/>
  <c r="O73" i="2"/>
  <c r="M73" i="2"/>
  <c r="L73" i="2"/>
  <c r="J73" i="2"/>
  <c r="I73" i="2"/>
  <c r="G73" i="2"/>
  <c r="F73" i="2"/>
  <c r="D73" i="2"/>
  <c r="C73" i="2"/>
  <c r="R72" i="2"/>
  <c r="R71" i="2"/>
  <c r="R70" i="2"/>
  <c r="N70" i="2"/>
  <c r="H70" i="2"/>
  <c r="E70" i="2"/>
  <c r="R69" i="2"/>
  <c r="N69" i="2"/>
  <c r="K69" i="2"/>
  <c r="H69" i="2"/>
  <c r="E69" i="2"/>
  <c r="R68" i="2"/>
  <c r="R67" i="2"/>
  <c r="N67" i="2"/>
  <c r="K67" i="2"/>
  <c r="H67" i="2"/>
  <c r="E67" i="2"/>
  <c r="R66" i="2"/>
  <c r="K66" i="2"/>
  <c r="H66" i="2"/>
  <c r="E66" i="2"/>
  <c r="R65" i="2"/>
  <c r="K65" i="2"/>
  <c r="H65" i="2"/>
  <c r="E65" i="2"/>
  <c r="R64" i="2"/>
  <c r="N64" i="2"/>
  <c r="K64" i="2"/>
  <c r="H64" i="2"/>
  <c r="E64" i="2"/>
  <c r="Q61" i="2"/>
  <c r="Q85" i="2" s="1"/>
  <c r="O61" i="2"/>
  <c r="O85" i="2" s="1"/>
  <c r="M61" i="2"/>
  <c r="M85" i="2" s="1"/>
  <c r="L61" i="2"/>
  <c r="L85" i="2" s="1"/>
  <c r="J61" i="2"/>
  <c r="J85" i="2" s="1"/>
  <c r="I61" i="2"/>
  <c r="G61" i="2"/>
  <c r="G85" i="2" s="1"/>
  <c r="F61" i="2"/>
  <c r="D61" i="2"/>
  <c r="D85" i="2" s="1"/>
  <c r="C61" i="2"/>
  <c r="C15" i="2" s="1"/>
  <c r="R60" i="2"/>
  <c r="R59" i="2"/>
  <c r="R58" i="2"/>
  <c r="R57" i="2"/>
  <c r="K57" i="2"/>
  <c r="H57" i="2"/>
  <c r="E57" i="2"/>
  <c r="R56" i="2"/>
  <c r="K56" i="2"/>
  <c r="H56" i="2"/>
  <c r="E56" i="2"/>
  <c r="R55" i="2"/>
  <c r="N55" i="2"/>
  <c r="K55" i="2"/>
  <c r="E55" i="2"/>
  <c r="R54" i="2"/>
  <c r="N54" i="2"/>
  <c r="K54" i="2"/>
  <c r="E54" i="2"/>
  <c r="R53" i="2"/>
  <c r="N53" i="2"/>
  <c r="K53" i="2"/>
  <c r="E53" i="2"/>
  <c r="R52" i="2"/>
  <c r="K52" i="2"/>
  <c r="H52" i="2"/>
  <c r="E52" i="2"/>
  <c r="R51" i="2"/>
  <c r="K51" i="2"/>
  <c r="H51" i="2"/>
  <c r="E51" i="2"/>
  <c r="R50" i="2"/>
  <c r="R49" i="2"/>
  <c r="K49" i="2"/>
  <c r="R48" i="2"/>
  <c r="K48" i="2"/>
  <c r="H48" i="2"/>
  <c r="E48" i="2"/>
  <c r="R47" i="2"/>
  <c r="R46" i="2"/>
  <c r="R45" i="2"/>
  <c r="R44" i="2"/>
  <c r="K44" i="2"/>
  <c r="H44" i="2"/>
  <c r="E44" i="2"/>
  <c r="Q23" i="2"/>
  <c r="O23" i="2"/>
  <c r="M23" i="2"/>
  <c r="L23" i="2"/>
  <c r="J23" i="2"/>
  <c r="I23" i="2"/>
  <c r="G23" i="2"/>
  <c r="F23" i="2"/>
  <c r="D23" i="2"/>
  <c r="Q22" i="2"/>
  <c r="O22" i="2"/>
  <c r="M22" i="2"/>
  <c r="L22" i="2"/>
  <c r="I22" i="2"/>
  <c r="G22" i="2"/>
  <c r="F22" i="2"/>
  <c r="D22" i="2"/>
  <c r="C22" i="2"/>
  <c r="Q21" i="2"/>
  <c r="N21" i="2"/>
  <c r="M21" i="2"/>
  <c r="L21" i="2"/>
  <c r="J21" i="2"/>
  <c r="I21" i="2"/>
  <c r="G21" i="2"/>
  <c r="F21" i="2"/>
  <c r="D21" i="2"/>
  <c r="Q20" i="2"/>
  <c r="O20" i="2"/>
  <c r="M20" i="2"/>
  <c r="L20" i="2"/>
  <c r="I20" i="2"/>
  <c r="F20" i="2"/>
  <c r="C20" i="2"/>
  <c r="O18" i="2"/>
  <c r="M18" i="2"/>
  <c r="L18" i="2"/>
  <c r="J18" i="2"/>
  <c r="I18" i="2"/>
  <c r="G18" i="2"/>
  <c r="F18" i="2"/>
  <c r="D18" i="2"/>
  <c r="C18" i="2"/>
  <c r="Q17" i="2"/>
  <c r="O17" i="2"/>
  <c r="M17" i="2"/>
  <c r="L17" i="2"/>
  <c r="J17" i="2"/>
  <c r="I17" i="2"/>
  <c r="G17" i="2"/>
  <c r="F17" i="2"/>
  <c r="D17" i="2"/>
  <c r="C17" i="2"/>
  <c r="Q16" i="2"/>
  <c r="O16" i="2"/>
  <c r="M16" i="2"/>
  <c r="L16" i="2"/>
  <c r="J16" i="2"/>
  <c r="I16" i="2"/>
  <c r="G16" i="2"/>
  <c r="F16" i="2"/>
  <c r="D16" i="2"/>
  <c r="C16" i="2"/>
  <c r="Q15" i="2"/>
  <c r="O15" i="2"/>
  <c r="L15" i="2"/>
  <c r="I15" i="2"/>
  <c r="G15" i="2"/>
  <c r="F15" i="2"/>
  <c r="Q14" i="2"/>
  <c r="O14" i="2"/>
  <c r="M14" i="2"/>
  <c r="L14" i="2"/>
  <c r="J14" i="2"/>
  <c r="I14" i="2"/>
  <c r="G14" i="2"/>
  <c r="F14" i="2"/>
  <c r="D14" i="2"/>
  <c r="C14" i="2"/>
  <c r="Q13" i="2"/>
  <c r="M13" i="2"/>
  <c r="L13" i="2"/>
  <c r="J13" i="2"/>
  <c r="I13" i="2"/>
  <c r="G13" i="2"/>
  <c r="D13" i="2"/>
  <c r="Q12" i="2"/>
  <c r="M12" i="2"/>
  <c r="J12" i="2"/>
  <c r="G12" i="2"/>
  <c r="D12" i="2"/>
  <c r="R103" i="1"/>
  <c r="D60" i="1"/>
  <c r="N19" i="3" l="1"/>
  <c r="R73" i="2"/>
  <c r="P73" i="2" s="1"/>
  <c r="P16" i="2" s="1"/>
  <c r="R16" i="2" s="1"/>
  <c r="R99" i="2"/>
  <c r="P99" i="2" s="1"/>
  <c r="P18" i="2" s="1"/>
  <c r="M15" i="2"/>
  <c r="J15" i="2"/>
  <c r="G24" i="2"/>
  <c r="K202" i="2"/>
  <c r="K23" i="2" s="1"/>
  <c r="N202" i="2"/>
  <c r="N23" i="2" s="1"/>
  <c r="F85" i="2"/>
  <c r="H85" i="2" s="1"/>
  <c r="R169" i="2"/>
  <c r="P169" i="2" s="1"/>
  <c r="P13" i="2" s="1"/>
  <c r="R13" i="2" s="1"/>
  <c r="R183" i="2"/>
  <c r="P183" i="2" s="1"/>
  <c r="P14" i="2" s="1"/>
  <c r="R14" i="2" s="1"/>
  <c r="R197" i="2"/>
  <c r="P197" i="2" s="1"/>
  <c r="P22" i="2" s="1"/>
  <c r="R22" i="2" s="1"/>
  <c r="E197" i="2"/>
  <c r="E22" i="2" s="1"/>
  <c r="H197" i="2"/>
  <c r="H22" i="2" s="1"/>
  <c r="K197" i="2"/>
  <c r="K22" i="2" s="1"/>
  <c r="N197" i="2"/>
  <c r="N22" i="2" s="1"/>
  <c r="R202" i="2"/>
  <c r="K183" i="2"/>
  <c r="K14" i="2" s="1"/>
  <c r="N183" i="2"/>
  <c r="N14" i="2" s="1"/>
  <c r="H183" i="2"/>
  <c r="H14" i="2" s="1"/>
  <c r="E183" i="2"/>
  <c r="E14" i="2" s="1"/>
  <c r="O24" i="2"/>
  <c r="K143" i="2"/>
  <c r="K21" i="2" s="1"/>
  <c r="H143" i="2"/>
  <c r="H21" i="2" s="1"/>
  <c r="E143" i="2"/>
  <c r="E21" i="2" s="1"/>
  <c r="N127" i="2"/>
  <c r="N20" i="2" s="1"/>
  <c r="K127" i="2"/>
  <c r="K20" i="2" s="1"/>
  <c r="H127" i="2"/>
  <c r="H20" i="2" s="1"/>
  <c r="E127" i="2"/>
  <c r="E20" i="2" s="1"/>
  <c r="E99" i="2"/>
  <c r="E18" i="2" s="1"/>
  <c r="N84" i="2"/>
  <c r="N17" i="2" s="1"/>
  <c r="K84" i="2"/>
  <c r="K17" i="2" s="1"/>
  <c r="H84" i="2"/>
  <c r="H17" i="2" s="1"/>
  <c r="E84" i="2"/>
  <c r="E17" i="2" s="1"/>
  <c r="N73" i="2"/>
  <c r="N16" i="2" s="1"/>
  <c r="K73" i="2"/>
  <c r="K16" i="2" s="1"/>
  <c r="H73" i="2"/>
  <c r="H16" i="2" s="1"/>
  <c r="E73" i="2"/>
  <c r="E16" i="2" s="1"/>
  <c r="C24" i="2"/>
  <c r="M24" i="2"/>
  <c r="I24" i="2"/>
  <c r="D15" i="2"/>
  <c r="D24" i="2" s="1"/>
  <c r="K61" i="2"/>
  <c r="K15" i="2" s="1"/>
  <c r="E61" i="2"/>
  <c r="E15" i="2" s="1"/>
  <c r="P202" i="2"/>
  <c r="P23" i="2" s="1"/>
  <c r="R18" i="2"/>
  <c r="Q24" i="2"/>
  <c r="R61" i="2"/>
  <c r="P61" i="2" s="1"/>
  <c r="P15" i="2" s="1"/>
  <c r="R15" i="2" s="1"/>
  <c r="R143" i="2"/>
  <c r="P143" i="2" s="1"/>
  <c r="P21" i="2" s="1"/>
  <c r="R21" i="2" s="1"/>
  <c r="E202" i="2"/>
  <c r="E23" i="2" s="1"/>
  <c r="R84" i="2"/>
  <c r="P84" i="2" s="1"/>
  <c r="P17" i="2" s="1"/>
  <c r="R17" i="2" s="1"/>
  <c r="H99" i="2"/>
  <c r="H18" i="2" s="1"/>
  <c r="K99" i="2"/>
  <c r="K18" i="2" s="1"/>
  <c r="N99" i="2"/>
  <c r="N18" i="2" s="1"/>
  <c r="R127" i="2"/>
  <c r="P127" i="2" s="1"/>
  <c r="P20" i="2" s="1"/>
  <c r="R20" i="2" s="1"/>
  <c r="R161" i="2"/>
  <c r="P161" i="2" s="1"/>
  <c r="P12" i="2" s="1"/>
  <c r="R12" i="2" s="1"/>
  <c r="E161" i="2"/>
  <c r="E12" i="2" s="1"/>
  <c r="H161" i="2"/>
  <c r="H12" i="2" s="1"/>
  <c r="K161" i="2"/>
  <c r="K12" i="2" s="1"/>
  <c r="N161" i="2"/>
  <c r="N12" i="2" s="1"/>
  <c r="E169" i="2"/>
  <c r="E13" i="2" s="1"/>
  <c r="H169" i="2"/>
  <c r="H13" i="2" s="1"/>
  <c r="K169" i="2"/>
  <c r="K13" i="2" s="1"/>
  <c r="N169" i="2"/>
  <c r="N13" i="2" s="1"/>
  <c r="F24" i="2"/>
  <c r="J24" i="2"/>
  <c r="L24" i="2"/>
  <c r="N85" i="2"/>
  <c r="C85" i="2"/>
  <c r="E85" i="2" s="1"/>
  <c r="I85" i="2"/>
  <c r="K85" i="2" s="1"/>
  <c r="H61" i="2"/>
  <c r="H15" i="2" s="1"/>
  <c r="N61" i="2"/>
  <c r="N15" i="2" s="1"/>
  <c r="Q60" i="1"/>
  <c r="O60" i="1"/>
  <c r="M60" i="1"/>
  <c r="L60" i="1"/>
  <c r="J60" i="1"/>
  <c r="I60" i="1"/>
  <c r="F60" i="1"/>
  <c r="C60" i="1"/>
  <c r="R59" i="1"/>
  <c r="K81" i="1"/>
  <c r="H81" i="1"/>
  <c r="E81" i="1"/>
  <c r="O83" i="1"/>
  <c r="K96" i="1"/>
  <c r="H24" i="2" l="1"/>
  <c r="R133" i="2"/>
  <c r="K24" i="2"/>
  <c r="E24" i="2"/>
  <c r="N24" i="2"/>
  <c r="R85" i="2"/>
  <c r="P85" i="2" s="1"/>
  <c r="R24" i="2"/>
  <c r="P24" i="2" s="1"/>
  <c r="Q196" i="1"/>
  <c r="O196" i="1"/>
  <c r="O191" i="1"/>
  <c r="Q191" i="1"/>
  <c r="N190" i="1"/>
  <c r="K190" i="1"/>
  <c r="H190" i="1"/>
  <c r="E190" i="1"/>
  <c r="N189" i="1"/>
  <c r="K189" i="1"/>
  <c r="H189" i="1"/>
  <c r="E189" i="1"/>
  <c r="K188" i="1"/>
  <c r="H188" i="1"/>
  <c r="E188" i="1"/>
  <c r="N187" i="1"/>
  <c r="K187" i="1"/>
  <c r="H187" i="1"/>
  <c r="E187" i="1"/>
  <c r="N186" i="1"/>
  <c r="K186" i="1"/>
  <c r="H186" i="1"/>
  <c r="E186" i="1"/>
  <c r="N185" i="1"/>
  <c r="K185" i="1"/>
  <c r="H185" i="1"/>
  <c r="E185" i="1"/>
  <c r="N184" i="1"/>
  <c r="K184" i="1"/>
  <c r="H184" i="1"/>
  <c r="E184" i="1"/>
  <c r="N183" i="1"/>
  <c r="K183" i="1"/>
  <c r="H183" i="1"/>
  <c r="E183" i="1"/>
  <c r="N182" i="1"/>
  <c r="K182" i="1"/>
  <c r="H182" i="1"/>
  <c r="E182" i="1"/>
  <c r="N181" i="1"/>
  <c r="K181" i="1"/>
  <c r="H181" i="1"/>
  <c r="E181" i="1"/>
  <c r="N179" i="1"/>
  <c r="K179" i="1"/>
  <c r="H179" i="1"/>
  <c r="E179" i="1"/>
  <c r="O176" i="1"/>
  <c r="O162" i="1"/>
  <c r="O154" i="1"/>
  <c r="O72" i="1"/>
  <c r="Q72" i="1"/>
  <c r="Q83" i="1"/>
  <c r="O98" i="1"/>
  <c r="Q98" i="1"/>
  <c r="Q126" i="1"/>
  <c r="Q136" i="1"/>
  <c r="Q154" i="1"/>
  <c r="Q162" i="1"/>
  <c r="Q176" i="1"/>
  <c r="P133" i="3" l="1"/>
  <c r="P19" i="3" s="1"/>
  <c r="P19" i="4"/>
  <c r="P133" i="2"/>
  <c r="P19" i="2" s="1"/>
  <c r="Q84" i="1"/>
  <c r="K130" i="1"/>
  <c r="H130" i="1"/>
  <c r="E130" i="1"/>
  <c r="O126" i="1"/>
  <c r="K55" i="1"/>
  <c r="H55" i="1"/>
  <c r="O136" i="1"/>
  <c r="N121" i="1"/>
  <c r="K121" i="1"/>
  <c r="H121" i="1"/>
  <c r="E121" i="1"/>
  <c r="J196" i="1" l="1"/>
  <c r="I196" i="1"/>
  <c r="G196" i="1"/>
  <c r="F196" i="1"/>
  <c r="D196" i="1"/>
  <c r="C196" i="1"/>
  <c r="R195" i="1"/>
  <c r="R196" i="1" s="1"/>
  <c r="P196" i="1" s="1"/>
  <c r="P22" i="1" s="1"/>
  <c r="R194" i="1"/>
  <c r="M196" i="1"/>
  <c r="M22" i="1" s="1"/>
  <c r="L196" i="1"/>
  <c r="K194" i="1"/>
  <c r="H194" i="1"/>
  <c r="E194" i="1"/>
  <c r="M191" i="1"/>
  <c r="M21" i="1" s="1"/>
  <c r="L191" i="1"/>
  <c r="J191" i="1"/>
  <c r="J21" i="1" s="1"/>
  <c r="I191" i="1"/>
  <c r="G191" i="1"/>
  <c r="G21" i="1" s="1"/>
  <c r="F191" i="1"/>
  <c r="D191" i="1"/>
  <c r="D21" i="1" s="1"/>
  <c r="C191" i="1"/>
  <c r="R190" i="1"/>
  <c r="R189" i="1"/>
  <c r="R187" i="1"/>
  <c r="R186" i="1"/>
  <c r="R185" i="1"/>
  <c r="R184" i="1"/>
  <c r="R183" i="1"/>
  <c r="R182" i="1"/>
  <c r="R181" i="1"/>
  <c r="R180" i="1"/>
  <c r="R179" i="1"/>
  <c r="J176" i="1"/>
  <c r="I176" i="1"/>
  <c r="G176" i="1"/>
  <c r="F176" i="1"/>
  <c r="D176" i="1"/>
  <c r="C176" i="1"/>
  <c r="R175" i="1"/>
  <c r="N175" i="1"/>
  <c r="K175" i="1"/>
  <c r="H175" i="1"/>
  <c r="E175" i="1"/>
  <c r="R174" i="1"/>
  <c r="N174" i="1"/>
  <c r="H174" i="1"/>
  <c r="E174" i="1"/>
  <c r="R173" i="1"/>
  <c r="R172" i="1"/>
  <c r="N172" i="1"/>
  <c r="K172" i="1"/>
  <c r="H172" i="1"/>
  <c r="E172" i="1"/>
  <c r="R171" i="1"/>
  <c r="R170" i="1"/>
  <c r="N170" i="1"/>
  <c r="K170" i="1"/>
  <c r="H170" i="1"/>
  <c r="E170" i="1"/>
  <c r="R169" i="1"/>
  <c r="H169" i="1"/>
  <c r="R168" i="1"/>
  <c r="M176" i="1"/>
  <c r="M14" i="1" s="1"/>
  <c r="L176" i="1"/>
  <c r="K168" i="1"/>
  <c r="H168" i="1"/>
  <c r="E168" i="1"/>
  <c r="R167" i="1"/>
  <c r="N167" i="1"/>
  <c r="K167" i="1"/>
  <c r="H167" i="1"/>
  <c r="E167" i="1"/>
  <c r="R166" i="1"/>
  <c r="K166" i="1"/>
  <c r="H166" i="1"/>
  <c r="E166" i="1"/>
  <c r="O13" i="1"/>
  <c r="M162" i="1"/>
  <c r="M13" i="1" s="1"/>
  <c r="L162" i="1"/>
  <c r="J162" i="1"/>
  <c r="J13" i="1" s="1"/>
  <c r="I162" i="1"/>
  <c r="G162" i="1"/>
  <c r="G13" i="1" s="1"/>
  <c r="F162" i="1"/>
  <c r="D162" i="1"/>
  <c r="D13" i="1" s="1"/>
  <c r="C162" i="1"/>
  <c r="R161" i="1"/>
  <c r="K161" i="1"/>
  <c r="H161" i="1"/>
  <c r="E161" i="1"/>
  <c r="R160" i="1"/>
  <c r="K160" i="1"/>
  <c r="H160" i="1"/>
  <c r="E160" i="1"/>
  <c r="R159" i="1"/>
  <c r="R158" i="1"/>
  <c r="N158" i="1"/>
  <c r="K158" i="1"/>
  <c r="H158" i="1"/>
  <c r="E158" i="1"/>
  <c r="R157" i="1"/>
  <c r="K157" i="1"/>
  <c r="H157" i="1"/>
  <c r="E157" i="1"/>
  <c r="L154" i="1"/>
  <c r="J154" i="1"/>
  <c r="I154" i="1"/>
  <c r="G154" i="1"/>
  <c r="F154" i="1"/>
  <c r="D154" i="1"/>
  <c r="C154" i="1"/>
  <c r="C12" i="1" s="1"/>
  <c r="R153" i="1"/>
  <c r="N153" i="1"/>
  <c r="K153" i="1"/>
  <c r="H153" i="1"/>
  <c r="E153" i="1"/>
  <c r="R152" i="1"/>
  <c r="K152" i="1"/>
  <c r="H152" i="1"/>
  <c r="E152" i="1"/>
  <c r="R151" i="1"/>
  <c r="R150" i="1"/>
  <c r="R149" i="1"/>
  <c r="N149" i="1"/>
  <c r="K149" i="1"/>
  <c r="H149" i="1"/>
  <c r="E149" i="1"/>
  <c r="R148" i="1"/>
  <c r="N148" i="1"/>
  <c r="K148" i="1"/>
  <c r="H148" i="1"/>
  <c r="E148" i="1"/>
  <c r="R147" i="1"/>
  <c r="N147" i="1"/>
  <c r="K147" i="1"/>
  <c r="H147" i="1"/>
  <c r="E147" i="1"/>
  <c r="R146" i="1"/>
  <c r="R145" i="1"/>
  <c r="R144" i="1"/>
  <c r="N144" i="1"/>
  <c r="K144" i="1"/>
  <c r="H144" i="1"/>
  <c r="E144" i="1"/>
  <c r="R143" i="1"/>
  <c r="R142" i="1"/>
  <c r="N142" i="1"/>
  <c r="K142" i="1"/>
  <c r="H142" i="1"/>
  <c r="E142" i="1"/>
  <c r="R141" i="1"/>
  <c r="N141" i="1"/>
  <c r="K141" i="1"/>
  <c r="H141" i="1"/>
  <c r="E141" i="1"/>
  <c r="R140" i="1"/>
  <c r="N140" i="1"/>
  <c r="K140" i="1"/>
  <c r="H140" i="1"/>
  <c r="E140" i="1"/>
  <c r="R139" i="1"/>
  <c r="N139" i="1"/>
  <c r="K139" i="1"/>
  <c r="H139" i="1"/>
  <c r="E139" i="1"/>
  <c r="M136" i="1"/>
  <c r="M20" i="1" s="1"/>
  <c r="L136" i="1"/>
  <c r="J136" i="1"/>
  <c r="J20" i="1" s="1"/>
  <c r="I136" i="1"/>
  <c r="G136" i="1"/>
  <c r="G20" i="1" s="1"/>
  <c r="F136" i="1"/>
  <c r="D136" i="1"/>
  <c r="D20" i="1" s="1"/>
  <c r="C136" i="1"/>
  <c r="R135" i="1"/>
  <c r="R134" i="1"/>
  <c r="R133" i="1"/>
  <c r="K133" i="1"/>
  <c r="R132" i="1"/>
  <c r="R131" i="1"/>
  <c r="R130" i="1"/>
  <c r="R129" i="1"/>
  <c r="M126" i="1"/>
  <c r="M19" i="1" s="1"/>
  <c r="J126" i="1"/>
  <c r="I126" i="1"/>
  <c r="I19" i="1" s="1"/>
  <c r="G126" i="1"/>
  <c r="F126" i="1"/>
  <c r="F19" i="1" s="1"/>
  <c r="D126" i="1"/>
  <c r="C126" i="1"/>
  <c r="C19" i="1" s="1"/>
  <c r="R125" i="1"/>
  <c r="K125" i="1"/>
  <c r="H125" i="1"/>
  <c r="E125" i="1"/>
  <c r="R124" i="1"/>
  <c r="K124" i="1"/>
  <c r="H124" i="1"/>
  <c r="E124" i="1"/>
  <c r="R123" i="1"/>
  <c r="K123" i="1"/>
  <c r="H123" i="1"/>
  <c r="E123" i="1"/>
  <c r="R122" i="1"/>
  <c r="K122" i="1"/>
  <c r="R121" i="1"/>
  <c r="R120" i="1"/>
  <c r="R119" i="1"/>
  <c r="R118" i="1"/>
  <c r="L126" i="1"/>
  <c r="R117" i="1"/>
  <c r="K117" i="1"/>
  <c r="H117" i="1"/>
  <c r="E117" i="1"/>
  <c r="R116" i="1"/>
  <c r="R115" i="1"/>
  <c r="R114" i="1"/>
  <c r="R113" i="1"/>
  <c r="N113" i="1"/>
  <c r="K113" i="1"/>
  <c r="H113" i="1"/>
  <c r="E113" i="1"/>
  <c r="R112" i="1"/>
  <c r="R111" i="1"/>
  <c r="R110" i="1"/>
  <c r="N110" i="1"/>
  <c r="K110" i="1"/>
  <c r="H110" i="1"/>
  <c r="E110" i="1"/>
  <c r="R109" i="1"/>
  <c r="R108" i="1"/>
  <c r="K108" i="1"/>
  <c r="H108" i="1"/>
  <c r="E108" i="1"/>
  <c r="R107" i="1"/>
  <c r="R106" i="1"/>
  <c r="R105" i="1"/>
  <c r="N105" i="1"/>
  <c r="K105" i="1"/>
  <c r="H105" i="1"/>
  <c r="E105" i="1"/>
  <c r="R104" i="1"/>
  <c r="H104" i="1"/>
  <c r="E104" i="1"/>
  <c r="R102" i="1"/>
  <c r="R101" i="1"/>
  <c r="J98" i="1"/>
  <c r="I98" i="1"/>
  <c r="I18" i="1" s="1"/>
  <c r="G98" i="1"/>
  <c r="F98" i="1"/>
  <c r="F18" i="1" s="1"/>
  <c r="D98" i="1"/>
  <c r="C98" i="1"/>
  <c r="C18" i="1" s="1"/>
  <c r="R97" i="1"/>
  <c r="N97" i="1"/>
  <c r="K97" i="1"/>
  <c r="H97" i="1"/>
  <c r="E97" i="1"/>
  <c r="R96" i="1"/>
  <c r="L98" i="1"/>
  <c r="H96" i="1"/>
  <c r="E96" i="1"/>
  <c r="R95" i="1"/>
  <c r="K95" i="1"/>
  <c r="H95" i="1"/>
  <c r="E95" i="1"/>
  <c r="R94" i="1"/>
  <c r="N94" i="1"/>
  <c r="K94" i="1"/>
  <c r="H94" i="1"/>
  <c r="E94" i="1"/>
  <c r="R93" i="1"/>
  <c r="R92" i="1"/>
  <c r="R91" i="1"/>
  <c r="K91" i="1"/>
  <c r="H91" i="1"/>
  <c r="E91" i="1"/>
  <c r="R90" i="1"/>
  <c r="N90" i="1"/>
  <c r="K90" i="1"/>
  <c r="H90" i="1"/>
  <c r="E90" i="1"/>
  <c r="R89" i="1"/>
  <c r="N89" i="1"/>
  <c r="K89" i="1"/>
  <c r="H89" i="1"/>
  <c r="E89" i="1"/>
  <c r="R88" i="1"/>
  <c r="N88" i="1"/>
  <c r="K88" i="1"/>
  <c r="H88" i="1"/>
  <c r="E88" i="1"/>
  <c r="R87" i="1"/>
  <c r="M98" i="1"/>
  <c r="M18" i="1" s="1"/>
  <c r="O84" i="1"/>
  <c r="M83" i="1"/>
  <c r="J83" i="1"/>
  <c r="J17" i="1" s="1"/>
  <c r="I83" i="1"/>
  <c r="G83" i="1"/>
  <c r="G17" i="1" s="1"/>
  <c r="F83" i="1"/>
  <c r="D83" i="1"/>
  <c r="D17" i="1" s="1"/>
  <c r="C83" i="1"/>
  <c r="R82" i="1"/>
  <c r="K82" i="1"/>
  <c r="E82" i="1"/>
  <c r="R81" i="1"/>
  <c r="R80" i="1"/>
  <c r="N80" i="1"/>
  <c r="K80" i="1"/>
  <c r="H80" i="1"/>
  <c r="E80" i="1"/>
  <c r="R79" i="1"/>
  <c r="L83" i="1"/>
  <c r="K79" i="1"/>
  <c r="H79" i="1"/>
  <c r="E79" i="1"/>
  <c r="R78" i="1"/>
  <c r="K78" i="1"/>
  <c r="H78" i="1"/>
  <c r="E78" i="1"/>
  <c r="R77" i="1"/>
  <c r="R76" i="1"/>
  <c r="R75" i="1"/>
  <c r="K75" i="1"/>
  <c r="H75" i="1"/>
  <c r="J72" i="1"/>
  <c r="I72" i="1"/>
  <c r="G72" i="1"/>
  <c r="F72" i="1"/>
  <c r="D72" i="1"/>
  <c r="C72" i="1"/>
  <c r="R71" i="1"/>
  <c r="R70" i="1"/>
  <c r="R69" i="1"/>
  <c r="N69" i="1"/>
  <c r="H69" i="1"/>
  <c r="E69" i="1"/>
  <c r="R68" i="1"/>
  <c r="N68" i="1"/>
  <c r="K68" i="1"/>
  <c r="H68" i="1"/>
  <c r="E68" i="1"/>
  <c r="R67" i="1"/>
  <c r="R66" i="1"/>
  <c r="N66" i="1"/>
  <c r="K66" i="1"/>
  <c r="H66" i="1"/>
  <c r="E66" i="1"/>
  <c r="R65" i="1"/>
  <c r="K65" i="1"/>
  <c r="H65" i="1"/>
  <c r="E65" i="1"/>
  <c r="R64" i="1"/>
  <c r="K64" i="1"/>
  <c r="H64" i="1"/>
  <c r="E64" i="1"/>
  <c r="R63" i="1"/>
  <c r="M72" i="1"/>
  <c r="M16" i="1" s="1"/>
  <c r="L72" i="1"/>
  <c r="K63" i="1"/>
  <c r="H63" i="1"/>
  <c r="E63" i="1"/>
  <c r="G60" i="1"/>
  <c r="G84" i="1" s="1"/>
  <c r="D15" i="1"/>
  <c r="R58" i="1"/>
  <c r="R57" i="1"/>
  <c r="R56" i="1"/>
  <c r="K56" i="1"/>
  <c r="H56" i="1"/>
  <c r="E56" i="1"/>
  <c r="R55" i="1"/>
  <c r="E55" i="1"/>
  <c r="R54" i="1"/>
  <c r="N54" i="1"/>
  <c r="K54" i="1"/>
  <c r="H54" i="1"/>
  <c r="E54" i="1"/>
  <c r="R53" i="1"/>
  <c r="N53" i="1"/>
  <c r="K53" i="1"/>
  <c r="E53" i="1"/>
  <c r="R52" i="1"/>
  <c r="N52" i="1"/>
  <c r="K52" i="1"/>
  <c r="E52" i="1"/>
  <c r="R51" i="1"/>
  <c r="K51" i="1"/>
  <c r="H51" i="1"/>
  <c r="E51" i="1"/>
  <c r="R50" i="1"/>
  <c r="K50" i="1"/>
  <c r="H50" i="1"/>
  <c r="E50" i="1"/>
  <c r="R49" i="1"/>
  <c r="R48" i="1"/>
  <c r="K48" i="1"/>
  <c r="R47" i="1"/>
  <c r="K47" i="1"/>
  <c r="H47" i="1"/>
  <c r="E47" i="1"/>
  <c r="R46" i="1"/>
  <c r="R45" i="1"/>
  <c r="K45" i="1"/>
  <c r="R44" i="1"/>
  <c r="R43" i="1"/>
  <c r="K43" i="1"/>
  <c r="H43" i="1"/>
  <c r="E43" i="1"/>
  <c r="Q22" i="1"/>
  <c r="O22" i="1"/>
  <c r="J22" i="1"/>
  <c r="I22" i="1"/>
  <c r="G22" i="1"/>
  <c r="F22" i="1"/>
  <c r="D22" i="1"/>
  <c r="C22" i="1"/>
  <c r="Q21" i="1"/>
  <c r="O21" i="1"/>
  <c r="L21" i="1"/>
  <c r="I21" i="1"/>
  <c r="F21" i="1"/>
  <c r="C21" i="1"/>
  <c r="Q20" i="1"/>
  <c r="O20" i="1"/>
  <c r="N20" i="1"/>
  <c r="L20" i="1"/>
  <c r="I20" i="1"/>
  <c r="F20" i="1"/>
  <c r="C20" i="1"/>
  <c r="Q19" i="1"/>
  <c r="O19" i="1"/>
  <c r="J19" i="1"/>
  <c r="G19" i="1"/>
  <c r="D19" i="1"/>
  <c r="Q18" i="1"/>
  <c r="O18" i="1"/>
  <c r="J18" i="1"/>
  <c r="G18" i="1"/>
  <c r="D18" i="1"/>
  <c r="Q17" i="1"/>
  <c r="M17" i="1"/>
  <c r="I17" i="1"/>
  <c r="F17" i="1"/>
  <c r="C17" i="1"/>
  <c r="Q16" i="1"/>
  <c r="O16" i="1"/>
  <c r="J16" i="1"/>
  <c r="I16" i="1"/>
  <c r="G16" i="1"/>
  <c r="F16" i="1"/>
  <c r="D16" i="1"/>
  <c r="C16" i="1"/>
  <c r="O15" i="1"/>
  <c r="J15" i="1"/>
  <c r="I15" i="1"/>
  <c r="G15" i="1"/>
  <c r="F15" i="1"/>
  <c r="C15" i="1"/>
  <c r="Q14" i="1"/>
  <c r="O14" i="1"/>
  <c r="J14" i="1"/>
  <c r="I14" i="1"/>
  <c r="G14" i="1"/>
  <c r="F14" i="1"/>
  <c r="D14" i="1"/>
  <c r="C14" i="1"/>
  <c r="Q13" i="1"/>
  <c r="L13" i="1"/>
  <c r="I13" i="1"/>
  <c r="F13" i="1"/>
  <c r="C13" i="1"/>
  <c r="Q12" i="1"/>
  <c r="O12" i="1"/>
  <c r="L12" i="1"/>
  <c r="J12" i="1"/>
  <c r="I12" i="1"/>
  <c r="G12" i="1"/>
  <c r="F12" i="1"/>
  <c r="D12" i="1"/>
  <c r="R60" i="1" l="1"/>
  <c r="R83" i="1"/>
  <c r="P83" i="1" s="1"/>
  <c r="P17" i="1" s="1"/>
  <c r="R126" i="1"/>
  <c r="P126" i="1" s="1"/>
  <c r="P19" i="1" s="1"/>
  <c r="R19" i="1" s="1"/>
  <c r="O17" i="1"/>
  <c r="O23" i="1" s="1"/>
  <c r="C84" i="1"/>
  <c r="I84" i="1"/>
  <c r="R72" i="1"/>
  <c r="P72" i="1" s="1"/>
  <c r="P16" i="1" s="1"/>
  <c r="R154" i="1"/>
  <c r="P154" i="1" s="1"/>
  <c r="P12" i="1" s="1"/>
  <c r="R12" i="1" s="1"/>
  <c r="R162" i="1"/>
  <c r="P162" i="1" s="1"/>
  <c r="P13" i="1" s="1"/>
  <c r="K196" i="1"/>
  <c r="K22" i="1" s="1"/>
  <c r="H196" i="1"/>
  <c r="H22" i="1" s="1"/>
  <c r="E196" i="1"/>
  <c r="E22" i="1" s="1"/>
  <c r="R98" i="1"/>
  <c r="P98" i="1" s="1"/>
  <c r="P18" i="1" s="1"/>
  <c r="E191" i="1"/>
  <c r="E21" i="1" s="1"/>
  <c r="H191" i="1"/>
  <c r="H21" i="1" s="1"/>
  <c r="K191" i="1"/>
  <c r="K21" i="1" s="1"/>
  <c r="N191" i="1"/>
  <c r="N21" i="1" s="1"/>
  <c r="G23" i="1"/>
  <c r="R176" i="1"/>
  <c r="P176" i="1" s="1"/>
  <c r="P14" i="1" s="1"/>
  <c r="R14" i="1" s="1"/>
  <c r="D84" i="1"/>
  <c r="J23" i="1"/>
  <c r="D23" i="1"/>
  <c r="K83" i="1"/>
  <c r="K17" i="1" s="1"/>
  <c r="I23" i="1"/>
  <c r="H83" i="1"/>
  <c r="H17" i="1" s="1"/>
  <c r="E83" i="1"/>
  <c r="E17" i="1" s="1"/>
  <c r="K98" i="1"/>
  <c r="K18" i="1" s="1"/>
  <c r="E98" i="1"/>
  <c r="E18" i="1" s="1"/>
  <c r="H60" i="1"/>
  <c r="H15" i="1" s="1"/>
  <c r="J84" i="1"/>
  <c r="K84" i="1" s="1"/>
  <c r="H72" i="1"/>
  <c r="H16" i="1" s="1"/>
  <c r="H98" i="1"/>
  <c r="H18" i="1" s="1"/>
  <c r="K72" i="1"/>
  <c r="K16" i="1" s="1"/>
  <c r="E72" i="1"/>
  <c r="E16" i="1" s="1"/>
  <c r="K176" i="1"/>
  <c r="K14" i="1" s="1"/>
  <c r="H176" i="1"/>
  <c r="H14" i="1" s="1"/>
  <c r="E176" i="1"/>
  <c r="E14" i="1" s="1"/>
  <c r="N162" i="1"/>
  <c r="N13" i="1" s="1"/>
  <c r="K162" i="1"/>
  <c r="K13" i="1" s="1"/>
  <c r="H162" i="1"/>
  <c r="H13" i="1" s="1"/>
  <c r="F23" i="1"/>
  <c r="K154" i="1"/>
  <c r="K12" i="1" s="1"/>
  <c r="H154" i="1"/>
  <c r="H12" i="1" s="1"/>
  <c r="E154" i="1"/>
  <c r="E12" i="1" s="1"/>
  <c r="K136" i="1"/>
  <c r="K20" i="1" s="1"/>
  <c r="H136" i="1"/>
  <c r="H20" i="1" s="1"/>
  <c r="E136" i="1"/>
  <c r="E20" i="1" s="1"/>
  <c r="H126" i="1"/>
  <c r="H19" i="1" s="1"/>
  <c r="K126" i="1"/>
  <c r="K19" i="1" s="1"/>
  <c r="E126" i="1"/>
  <c r="E19" i="1" s="1"/>
  <c r="R191" i="1"/>
  <c r="P191" i="1" s="1"/>
  <c r="P21" i="1" s="1"/>
  <c r="R21" i="1" s="1"/>
  <c r="R13" i="1"/>
  <c r="C23" i="1"/>
  <c r="E162" i="1"/>
  <c r="E13" i="1" s="1"/>
  <c r="R136" i="1"/>
  <c r="P136" i="1" s="1"/>
  <c r="P20" i="1" s="1"/>
  <c r="R20" i="1" s="1"/>
  <c r="R18" i="1"/>
  <c r="R17" i="1"/>
  <c r="R16" i="1"/>
  <c r="Q15" i="1"/>
  <c r="Q23" i="1" s="1"/>
  <c r="P60" i="1"/>
  <c r="P15" i="1" s="1"/>
  <c r="R15" i="1" s="1"/>
  <c r="N83" i="1"/>
  <c r="N17" i="1" s="1"/>
  <c r="L17" i="1"/>
  <c r="M84" i="1"/>
  <c r="M15" i="1"/>
  <c r="N98" i="1"/>
  <c r="N18" i="1" s="1"/>
  <c r="L18" i="1"/>
  <c r="N176" i="1"/>
  <c r="N14" i="1" s="1"/>
  <c r="L14" i="1"/>
  <c r="N196" i="1"/>
  <c r="N22" i="1" s="1"/>
  <c r="L22" i="1"/>
  <c r="E84" i="1"/>
  <c r="N60" i="1"/>
  <c r="N15" i="1" s="1"/>
  <c r="L84" i="1"/>
  <c r="L15" i="1"/>
  <c r="N72" i="1"/>
  <c r="N16" i="1" s="1"/>
  <c r="L16" i="1"/>
  <c r="N126" i="1"/>
  <c r="N19" i="1" s="1"/>
  <c r="L19" i="1"/>
  <c r="E60" i="1"/>
  <c r="E15" i="1" s="1"/>
  <c r="K60" i="1"/>
  <c r="K15" i="1" s="1"/>
  <c r="F84" i="1"/>
  <c r="H84" i="1" s="1"/>
  <c r="N96" i="1"/>
  <c r="M154" i="1"/>
  <c r="M12" i="1" s="1"/>
  <c r="N168" i="1"/>
  <c r="N194" i="1"/>
  <c r="N63" i="1"/>
  <c r="M23" i="1" l="1"/>
  <c r="R23" i="1"/>
  <c r="P23" i="1" s="1"/>
  <c r="H23" i="1"/>
  <c r="R84" i="1"/>
  <c r="P84" i="1" s="1"/>
  <c r="K23" i="1"/>
  <c r="E23" i="1"/>
  <c r="N84" i="1"/>
  <c r="L23" i="1"/>
  <c r="N154" i="1"/>
  <c r="N12" i="1" s="1"/>
  <c r="N23" i="1" l="1"/>
  <c r="P169" i="7"/>
  <c r="P21" i="7" s="1"/>
  <c r="R21" i="7" s="1"/>
  <c r="C13" i="7" l="1"/>
  <c r="C26" i="7"/>
  <c r="C154" i="7"/>
  <c r="E143" i="7"/>
  <c r="E13" i="7" s="1"/>
  <c r="D154" i="7"/>
  <c r="E154" i="7"/>
  <c r="D13" i="7"/>
  <c r="D26" i="7" s="1"/>
  <c r="G154" i="7"/>
  <c r="G13" i="7"/>
  <c r="G26" i="7"/>
  <c r="F154" i="7"/>
  <c r="H143" i="7"/>
  <c r="H13" i="7" s="1"/>
  <c r="F13" i="7"/>
  <c r="F26" i="7" s="1"/>
  <c r="J154" i="7"/>
  <c r="I154" i="7"/>
  <c r="K143" i="7"/>
  <c r="K13" i="7" s="1"/>
  <c r="J13" i="7"/>
  <c r="J26" i="7"/>
  <c r="I13" i="7"/>
  <c r="I26" i="7" s="1"/>
  <c r="M154" i="7"/>
  <c r="L154" i="7"/>
  <c r="M13" i="7"/>
  <c r="M26" i="7" s="1"/>
  <c r="L13" i="7"/>
  <c r="L26" i="7"/>
  <c r="N143" i="7"/>
  <c r="N13" i="7" s="1"/>
  <c r="H26" i="7" l="1"/>
  <c r="K26" i="7"/>
  <c r="K154" i="7"/>
  <c r="H154" i="7"/>
  <c r="E26" i="7"/>
  <c r="N26" i="7"/>
  <c r="N154" i="7"/>
  <c r="O154" i="7"/>
  <c r="O13" i="7"/>
  <c r="O26" i="7" s="1"/>
  <c r="Q154" i="7"/>
  <c r="Q13" i="7"/>
  <c r="Q26" i="7" s="1"/>
  <c r="R154" i="7"/>
  <c r="P154" i="7" s="1"/>
  <c r="P143" i="7"/>
  <c r="P13" i="7" s="1"/>
  <c r="R13" i="7" l="1"/>
  <c r="R26" i="7" s="1"/>
  <c r="P26" i="7" s="1"/>
</calcChain>
</file>

<file path=xl/sharedStrings.xml><?xml version="1.0" encoding="utf-8"?>
<sst xmlns="http://schemas.openxmlformats.org/spreadsheetml/2006/main" count="2604" uniqueCount="235">
  <si>
    <t>Հ/Հ</t>
  </si>
  <si>
    <t>àÉáñï</t>
  </si>
  <si>
    <t xml:space="preserve">             Æñ³óáõÙ</t>
  </si>
  <si>
    <t>²ñï³Ñ³ÝáõÙ</t>
  </si>
  <si>
    <t>ö³ëï ³ßË³ïáÕ. ù³-Ý³Ï</t>
  </si>
  <si>
    <t>ØÇç. ³ßË³ï³í³ñÓ</t>
  </si>
  <si>
    <t>Ü³Ë. ³Ùëí³ ÷³ëï. ³ßË. ù³Ý³Ï</t>
  </si>
  <si>
    <t>î³ñí³ ëÏ½µÇó</t>
  </si>
  <si>
    <t xml:space="preserve">Ü³Ëáñ¹ ï³ñí³ Ñ³Ù³å³ï³ëË³Ý Å³Ù³Ý³Ï³Ñ³ïí³Í.  </t>
  </si>
  <si>
    <t>²×Ç ï»Ùå %</t>
  </si>
  <si>
    <t>Ð³ßí»ïáõ ³ÙëáõÙ</t>
  </si>
  <si>
    <t>Ð³ßí»ïáõ ï³ñí³ Å³Ù³Ý.</t>
  </si>
  <si>
    <t>Ð³Ýù³ñ¹. ¨ Ù»ï³Õ³·áñÍ.</t>
  </si>
  <si>
    <t>ÞÇÝ³ÝÛáõÃ»ñÇ ³ñï³¹ñáõÃ.</t>
  </si>
  <si>
    <t>²ÏÝ³·áñÍ. ¨ áëÏ»·áñÍ.</t>
  </si>
  <si>
    <t>Ð³ëïáó³·áñÍÇù³ßÇÝ.</t>
  </si>
  <si>
    <t>ê³ñù³ßÇÝáõÃÛáõÝ</t>
  </si>
  <si>
    <t>¾É»Ïïñ³ï»ËÝÇÏ³</t>
  </si>
  <si>
    <t>øÇÙÇ³ ¨ ¹»Õ³·áñÍ.</t>
  </si>
  <si>
    <t>Â»Ã¨ ³ñ¹ÛáõÝ³µ»ñáõÃÛáõÝ</t>
  </si>
  <si>
    <t>ö³Ûï³Ùß³ÏáõÙ</t>
  </si>
  <si>
    <t>¶Çï³ñï³¹ñ³Ï³Ý Ñ³Ù³ÉÇñ</t>
  </si>
  <si>
    <t>Ð³ïáõÏ Íñ³·ñ»ñ</t>
  </si>
  <si>
    <t>ÀÜ¸²ØºÜÀ</t>
  </si>
  <si>
    <t>Ò»éÝ³ñÏáõÃÛ³Ý ³Ýí³ÝáõÙÁ</t>
  </si>
  <si>
    <t>ö³ëï. ³ßË. ù³Ý³ÏÁ</t>
  </si>
  <si>
    <t>ØÇç. ³ßË³ï³í³ñÓÁ</t>
  </si>
  <si>
    <t>Ü³Ëáñ¹ ³Ùëí³ ÷³ëï. ³ßË. ù³Ý³ÏÁ</t>
  </si>
  <si>
    <t xml:space="preserve">Ü³Ëáñ¹ ï³ñí³ Ñ³Ù³å³ï³ëË³Ý Å³Ù³Ý.  </t>
  </si>
  <si>
    <t>²×Ç ï»ÙåÁ %</t>
  </si>
  <si>
    <t xml:space="preserve">Ü³Ëáñ¹ ï³ñí³ Ñ³Ù³å³ï³ëË³Ý Å³Ù³Ý  </t>
  </si>
  <si>
    <r>
      <t xml:space="preserve">Ø»ù»Ý³ßÇÝ³Ï³Ý ³ñ¹ÛáõÝ³µ»ñáõÃÛáõÝ` </t>
    </r>
    <r>
      <rPr>
        <sz val="9"/>
        <rFont val="Arial Armenian"/>
        <family val="2"/>
      </rPr>
      <t>³Û¹ ÃíáõÙ</t>
    </r>
  </si>
  <si>
    <t>³/   Ð³ëïáó³·áñÍÇù³ßÇÝ.</t>
  </si>
  <si>
    <t>ÆÝï»ñÑ³ëïáó µµÁ</t>
  </si>
  <si>
    <t>üñ»½.Ñ³ëï.·-Ý µµÁ</t>
  </si>
  <si>
    <t>²ñÙ³í.Ñ³ëï.·-Ý µµÁ</t>
  </si>
  <si>
    <t>ºñ¨³ÝÇ ÑÇ¹ñáÑ³Õáñ¹³Ï µµÁ</t>
  </si>
  <si>
    <t>â³ñ.·áñÍÇù³ßÇÝ.·-Ý µµÁ</t>
  </si>
  <si>
    <t>²ÉÙ³ëï ÷µÁ</t>
  </si>
  <si>
    <t>î»Ëë³ñù³íáñáõÙ µµÁ</t>
  </si>
  <si>
    <t>îñ³Ýë¿É»ÏïñÇÏ êäÀ</t>
  </si>
  <si>
    <t>Î³å.Ù»ù»Ý³ßÇÝ.·-Ý µµÁ</t>
  </si>
  <si>
    <t>æñÏáÝëïñáõÏóÇ³ êäÀ</t>
  </si>
  <si>
    <t>ì³Ý.²íïá·»Ý-Ø  êäÀ</t>
  </si>
  <si>
    <t xml:space="preserve">ÎáÙåñ»ëáñÝ»ñÇ ·-Ý µµÁ </t>
  </si>
  <si>
    <t>º²¼ µµÁ</t>
  </si>
  <si>
    <t>²ñÃÇÏÇ ²å³Ï»Ù»ù.µµÁ</t>
  </si>
  <si>
    <t>§²ëïñ³¦ ö´À ÐÒ</t>
  </si>
  <si>
    <t>§ø³ñÑ³ï¦ Ø»ù»Ý³¦ ö´À</t>
  </si>
  <si>
    <t>§´áé¦ ´´À</t>
  </si>
  <si>
    <t>ÀÝ¹³Ù»ÝÁ Ñ³ëïáó³ßÇÝ.</t>
  </si>
  <si>
    <t>µ/ ê³ñù³ßÇÝáõÃÛáõÝ</t>
  </si>
  <si>
    <t>¾É»Ïïñ³ë³ñù ´´À</t>
  </si>
  <si>
    <t>Ø³ñë ö´À</t>
  </si>
  <si>
    <t>ÎáÝÝ»Ïï ´´À</t>
  </si>
  <si>
    <t>¶³ÙÙ³ ´´À</t>
  </si>
  <si>
    <t>²Ý³ÉÇïë³ñù ö´À</t>
  </si>
  <si>
    <t>è³ý¿É·ñÇ· ´´À /ºÕ»·Ý³Óáñ/</t>
  </si>
  <si>
    <t>ì³Ý ´´À</t>
  </si>
  <si>
    <t>§²Ý³ÉÇï-1¦ ´´À</t>
  </si>
  <si>
    <t>ÆÙåáõÉë ´´À</t>
  </si>
  <si>
    <t>ÀÝ¹³Ù»ÝÁ ë³ñù³ßÇÝ.</t>
  </si>
  <si>
    <t>·/ ¾É»Ïïñ³ï»ËÝÇÏ³</t>
  </si>
  <si>
    <t>Ð³Û¿É»Ïïñ³Ù»ù»Ý³ ´´À</t>
  </si>
  <si>
    <t>²ñÙ»ÝÙáïáñ ö´À</t>
  </si>
  <si>
    <t>Ð³Û¿É»Ïïñ³³å³ñ³ï ´´À</t>
  </si>
  <si>
    <t>¶ñ³Ý¹ ê³Ý êäÀ</t>
  </si>
  <si>
    <t>êï»÷³Ý³í³ÝÇ ´Ð¾ê ´´À</t>
  </si>
  <si>
    <t>ԷÉ»Ïïñ³.ÇÝÅ»Ý»ñÇÝ· ö´À</t>
  </si>
  <si>
    <t>ÀÝ¹³Ù»ÝÁ ¿É»Ïïñ³ï»Ë</t>
  </si>
  <si>
    <t>ÀÜ¸²ØºÜÀ`Ù»ù»Ý³ßÇÝáõÃÛáõÝ</t>
  </si>
  <si>
    <t>§Ü³ÇñÇï-·áñÍ³ñ³Ý¦ ö´À</t>
  </si>
  <si>
    <t>§ì³Ý³Óáñ-øÇÙåñáÙ¦ö´À</t>
  </si>
  <si>
    <t>§Øáõñ³¹-ê³ñ¦êäÀ</t>
  </si>
  <si>
    <t>øÇÙ.¹»Õ³·.ýÇñÙ³ ´´À</t>
  </si>
  <si>
    <t>§Î»Ýó³ÕùÇÙ¦ ´´À</t>
  </si>
  <si>
    <t>§²å³Ï»Ù»ÏáõëÇã¦´´À</t>
  </si>
  <si>
    <t>§È³ù»ñÇ áõ Ý»ñÏ»ñÇ ·-Ý¦´´À</t>
  </si>
  <si>
    <t>§øñ³áõÝ ø»ÙÇù³É¦ êäÀ</t>
  </si>
  <si>
    <t>§Þ»Ý ÎáÝó»éÝ¦ ö´À</t>
  </si>
  <si>
    <t>§ÈÇÏíáñ¦ ö´À</t>
  </si>
  <si>
    <t>§ü³ñÙ³ï»ù¦ êäÀ</t>
  </si>
  <si>
    <t>ÀÝ¹³Ù»ÝÁ` ùÇÙÇ³ ¨ ¹»Õ³·áñÍ.</t>
  </si>
  <si>
    <t>ÀÝ¹³Ù»ÝÁ ùÇÙÇ³</t>
  </si>
  <si>
    <t>§ê³ñïáÝ¦ êäÀ</t>
  </si>
  <si>
    <t>§¶Û.Ø³Ýí. ý-Ï³¦ ´´À</t>
  </si>
  <si>
    <t>§¾Ý ì³Û ¾Û ¸Ç¦êäÀ</t>
  </si>
  <si>
    <t>§²ñÙ»Ý-Î³ñå»ï¦ ´´À</t>
  </si>
  <si>
    <t>§ìÎê ²ñÙ»ÝÇ³¦ êäÀ</t>
  </si>
  <si>
    <t>§Ø³Ñáõ¹¦ ö´À</t>
  </si>
  <si>
    <t>§æñ³ßáÕ¦ ö´À</t>
  </si>
  <si>
    <t>§îáëå¦ ´´À</t>
  </si>
  <si>
    <t>§Üáõµ.ïñÇÏáï.ý-Ï³¦ ´´À</t>
  </si>
  <si>
    <t>¶ÛáõÙ.§¶¨áñ· ¨ ì³Ñ³Ý¦ êäÀ</t>
  </si>
  <si>
    <t>§Ð. ¾¹.Ð³Û³ë ¶ñáõå¦ ´´À</t>
  </si>
  <si>
    <t>¶Û. §²ñß³ÉáõÛë¦ ´´À</t>
  </si>
  <si>
    <t>ì³Ý. §´³½áõÙ üÇñÙ³¦ ²Î</t>
  </si>
  <si>
    <t>êåÇï. §ì³ÝáõÑÇ¦ ´´À</t>
  </si>
  <si>
    <t>â³ñ»Ýó. §ÐáÉ³ÝÇ¦ ´´À</t>
  </si>
  <si>
    <t>§Ü³ÛÃ»ùë¦ ´´À</t>
  </si>
  <si>
    <t>§ø³Ý³ù»é¦ Ï³ñÇ ´´À</t>
  </si>
  <si>
    <t>§¶ÉáñÇ³¦ ·ÉË. ֆ³µñÇÏ³</t>
  </si>
  <si>
    <t>§Î³ßÇ¦ ´´À</t>
  </si>
  <si>
    <t>§Î³ßí»-·³É³Ýï»ñ ý-Ï³¦´´À</t>
  </si>
  <si>
    <t>Îáß. §ÈÛáõùë¦ ´´À</t>
  </si>
  <si>
    <t>§¾É»Ý-93¦ êäÀ</t>
  </si>
  <si>
    <t>§äÉ³ëïÇÏ¦ ´´À</t>
  </si>
  <si>
    <t>§Ø»·»ñÛ³Ý-Ï³ñå»ï¦ ´´À</t>
  </si>
  <si>
    <t>§Ø»ï³Õ³Ù³Ý»Õ»ÝÇ ·-Ý¦ ´´À</t>
  </si>
  <si>
    <t>ÀÝ¹³Ù»ÝÁ Ã»Ã¨ ³ñ¹.</t>
  </si>
  <si>
    <t>§¼»ÛÃáõÝÇ Ï³ÑáõÛùÇ¦ ´´À</t>
  </si>
  <si>
    <t>§ºñ¨³Ý-Ï³ÑáõÛù¦ ´´À</t>
  </si>
  <si>
    <t>§Æç¨³ÝÇ öØÎ¦ ´´À</t>
  </si>
  <si>
    <t>§50/50¦ êäÀ</t>
  </si>
  <si>
    <t>§ê³ÉÙ³ëï Î³ÑáõÛù¦ êäÀ</t>
  </si>
  <si>
    <t>ÀÝ¹³Ù»ÝÁ ÷³Ûï³Ùß³Ï.</t>
  </si>
  <si>
    <t>Ð³Ýù³ñ¹.¨ Ù»ï³Õ³·áñÍ.</t>
  </si>
  <si>
    <t>§¼³Ý·»½áõñÇ äØÎ¦ ö´À</t>
  </si>
  <si>
    <t>§²·³ñ³ÏÇ äØÎ¦ ö´À</t>
  </si>
  <si>
    <t>§¸ÇÝá ¶áÉ¹ Ø³ÛÝÇÝ·¦ ö´À</t>
  </si>
  <si>
    <t>§²ËÃ³É³ÛÇ ÈÐÎ¦ ö´À</t>
  </si>
  <si>
    <t>§è³½Ù. É»éÝ. ½áñ. ßï³µ¦ ö´À</t>
  </si>
  <si>
    <t>§AMP¦ êäÀ</t>
  </si>
  <si>
    <t>§Î³Ý²¼¦ ö´À</t>
  </si>
  <si>
    <t>§²ñ-²É¦ ÐÒ</t>
  </si>
  <si>
    <t>§¶»á äñá Ø³ÛÝÇÝ· ¶áÉ¹¦ êäÀ</t>
  </si>
  <si>
    <t>§Ð³ÛÏ.äÕÇÝÓ Ìñ³·Çñ¦ ö´À</t>
  </si>
  <si>
    <t>§Ø³ùáõñ »ñÏ³Ã¦ ´´À</t>
  </si>
  <si>
    <t>§ºñÏë¨Ù»ï¦ ´´À</t>
  </si>
  <si>
    <t>§²ëÏ» ¶ñáõå¦ ´´À</t>
  </si>
  <si>
    <t>§ÒáõÉ³Ï»ÝïñáÝ¦ ´´À</t>
  </si>
  <si>
    <t>§èáõë²É-²ñÙ»Ý²É¦ ö´À</t>
  </si>
  <si>
    <t>ÀÝ¹³Ù»ÝÁ`Ñ³Ýù³ñ¹.¨ Ù»ï³Õ.</t>
  </si>
  <si>
    <t>ÀÝ¹³Ù»ÝÁ Ñ³Ýù³ñ¹.</t>
  </si>
  <si>
    <t>§ø³ñ ¨ ³í³½¦ ö´À</t>
  </si>
  <si>
    <t>§ê³ñ³ÝÇëï¦ êäÀ</t>
  </si>
  <si>
    <t>§ÂáõñÇÝç¦ êäÀ</t>
  </si>
  <si>
    <t>§¶É³ë àõáéÉ¹ ø³Ù÷ÝÇ¦ ö´À</t>
  </si>
  <si>
    <t>§ØÇÏ³  ó»Ù»Ýï¦   êäÀ</t>
  </si>
  <si>
    <t>ÀÝ¹³Ù»ÝÁ ßÇÝ³ÝÛáõÃ»ñ</t>
  </si>
  <si>
    <t>²ÏÝ³·áñÍ.¨ áëÏ»·áñÍ.</t>
  </si>
  <si>
    <t>ºñ¨³ÝÇ áëÏ»ñã. ·-Ý ´´À</t>
  </si>
  <si>
    <t>§²ñ¨³ÏÝ¦ êäÀ</t>
  </si>
  <si>
    <t>§ê³åýÇñ¦ ö´À</t>
  </si>
  <si>
    <t xml:space="preserve"> §ÈáñÇ¦ êäÀ</t>
  </si>
  <si>
    <t>§²Ý¹ñ³ÝÇÏ¦ êäÀ</t>
  </si>
  <si>
    <t>§²ñ³ùë-¶áÉ¹¦êäÀ</t>
  </si>
  <si>
    <t>§¸³ÛÙáÃ»ù¦ êäÀ</t>
  </si>
  <si>
    <t>¾Û-¾É-ÂÇ</t>
  </si>
  <si>
    <t>§Òáñ³·ÛáõÕ¦ ²Î</t>
  </si>
  <si>
    <t>§æ»Û êÇ ¾Û¦ ö´À</t>
  </si>
  <si>
    <t>¶Çï³³ñï³¹ñ³Ï³Ý Ñ³Ù³ÉÇñ</t>
  </si>
  <si>
    <t>§È»éÝ³Ù»ï³Éáõñ·Ç³¦ ö´À</t>
  </si>
  <si>
    <t>§².Æ.²ÉÇË³Ý. ³Ý. ºñ.üÇ½. ÇÝ.¦</t>
  </si>
  <si>
    <t>§ÜÛáõÃ³µ³ÝáõÃÛáõÝ ¶²Ò¦ ö´À</t>
  </si>
  <si>
    <t>§ºñ¨³ÝÇ ûåïÇÏ³Ï,ýÇ½,ã,¦ ö´À</t>
  </si>
  <si>
    <t>§Üáñ³ÙáõÍáõÃÛ³Ý ¨ Ó»éÝ»ñ»óáõÃÛ³Ý ³½·³ÛÇÝ Ï»ÝïñáÝ¦ ö´À</t>
  </si>
  <si>
    <t>§ºñ¨³ÝÇ äÉ³ëïåáÉ. ¶ÐÆ¦ ö´À</t>
  </si>
  <si>
    <t>§¾É»Ïïñ³Ù³ß ¶ÐÆ¦ ö´À</t>
  </si>
  <si>
    <t>§è³¹ÇáýÇ½ÇÏ³ÛÇ ¶ÐÆ¦ ö´À</t>
  </si>
  <si>
    <t>§ÎáÙ»ï³¦ ´´À</t>
  </si>
  <si>
    <t>§²Éý³¦ ö´À</t>
  </si>
  <si>
    <t>§ø³ñ ¨ ëÇÉÇÏ³ïÝ»ñ¦ ö´À</t>
  </si>
  <si>
    <t>§¾É³ë¦ ö´À</t>
  </si>
  <si>
    <t>§²ñÇ³Ï¦ ö´À</t>
  </si>
  <si>
    <t>§¾É»ÏïñáÝ¦ ´´À</t>
  </si>
  <si>
    <t>Ø³ë. §¶áýñáï³ñ³¦ ö´À</t>
  </si>
  <si>
    <t>§È.².Ü.². ¾¹»Ý¦ ö´À</t>
  </si>
  <si>
    <t>¾Éµ³ï ö´À</t>
  </si>
  <si>
    <t>ì³Ý. §âÇÝí³Ý¦ êäÀ</t>
  </si>
  <si>
    <t>ÐÐ ¿ÏáÝáÙÇÏ³ÛÇ Ý³Ë³ñ³ñáõÃÛ³Ý ÏáÕÙÇó ÙáÝÇïáñÇÝ·áõÙ ÁÝ¹·ñÏí³Í Ï³½Ù³Ï»ñåáõÃÛáõÝÝ»ñÇ ïÝï»ë³Ï³Ý óáõó³ÝÇßÝ»ñÇ Ù³ëÇÝ  ûå»ñ³ïÇí ï»Õ»Ï³ïíáõÃÛáõÝ  01.02.2012Ã. ¹ñáõÃÛ³Ùµ        /Ñ³½.ÐÐ ¹ñ³Ù/</t>
  </si>
  <si>
    <t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01.02.2012Ã.¹ñáõÃõÛ³Ùµ)          /Ñ³½.ÐÐ ¹ñ³Ù/</t>
  </si>
  <si>
    <t xml:space="preserve">   ²åñ³Ýù³ÛÇÝ ³ñï³¹ñ³Ýù (ÁÝÃ³óÇÏ ·Ý»ñáí)</t>
  </si>
  <si>
    <t xml:space="preserve">ÀÝ¹³Ù»ÝÁ` </t>
  </si>
  <si>
    <t>ÀÝ¹³Ù»ÝÁ ßÇÝ³ÝÛáõÃ»ñ`</t>
  </si>
  <si>
    <t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01.03.2012Ã.¹ñáõÃõÛ³Ùµ)          /Ñ³½.ÐÐ ¹ñ³Ù/</t>
  </si>
  <si>
    <t>?</t>
  </si>
  <si>
    <t>Սննդի արդյունաբերություն</t>
  </si>
  <si>
    <t>Հանքարդ. և մետաղագործ.</t>
  </si>
  <si>
    <t>Շինանյութերի արտադրութ.</t>
  </si>
  <si>
    <t>Ակնագործ. և ոսկեգործ.</t>
  </si>
  <si>
    <t>Հաստոցագործիքաշին.</t>
  </si>
  <si>
    <t>Սարքաշինություն</t>
  </si>
  <si>
    <t>Էլեկտրատեխնիկա</t>
  </si>
  <si>
    <t>Քիմիա և դեղագործ.</t>
  </si>
  <si>
    <t>Թեթև արդյունաբերություն</t>
  </si>
  <si>
    <t>Փայտամշակում</t>
  </si>
  <si>
    <t>Գիտարտադրական համալիր</t>
  </si>
  <si>
    <t>Հատուկ ծրագրեր</t>
  </si>
  <si>
    <t>ԸՆԴԱՄԵՆԸ</t>
  </si>
  <si>
    <t>Ընդամենը սննդի արդ.</t>
  </si>
  <si>
    <t>§²ñ³ñ³ï¦ êÝÝ¹Ç ÎáÙµÇÝ³ï êäÀ</t>
  </si>
  <si>
    <t>§æ»ñÙáõÏ ÆÝÃ»ñÝ»ÛßÝÉ¦ êäÀ</t>
  </si>
  <si>
    <t>§²ñ³ùë ÂéãÝ³ý³µñÇÏ³¦ ö´À</t>
  </si>
  <si>
    <t>ÐÐ ¿ÏáÝáÙÇÏ³ÛÇ Ý³Ë³ñ³ñáõÃÛ³Ý ÏáÕÙÇó ÙáÝÇïáñÇÝ·áõÙ ÁÝ¹·ñÏí³Í Ï³½Ù³Ï»ñåáõÃÛáõÝÝ»ñÇ ïÝï»ë³Ï³Ý óáõó³ÝÇßÝ»ñÇ Ù³ëÇÝ  ûå»ñ³ïÇí ï»Õ»Ï³ïíáõÃÛáõÝ  01.04.2012Ã. ¹ñáõÃÛ³Ùµ        /Ñ³½.ÐÐ ¹ñ³Ù/</t>
  </si>
  <si>
    <t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01.04.2012Ã.¹ñáõÃõÛ³Ùµ)          /Ñ³½.ÐÐ ¹ñ³Ù/</t>
  </si>
  <si>
    <t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01.05.2012Ã.¹ñáõÃõÛ³Ùµ)          /Ñ³½.ÐÐ ¹ñ³Ù/</t>
  </si>
  <si>
    <t>ÐÐ ¿ÏáÝáÙÇÏ³ÛÇ Ý³Ë³ñ³ñáõÃÛ³Ý ÏáÕÙÇó ÙáÝÇïáñÇÝ·áõÙ ÁÝ¹·ñÏí³Í Ï³½Ù³Ï»ñåáõÃÛáõÝÝ»ñÇ ïÝï»ë³Ï³Ý óáõó³ÝÇßÝ»ñÇ Ù³ëÇÝ  ûå»ñ³ïÇí ï»Õ»Ï³ïíáõÃÛáõÝ  01.05.2012Ã. ¹ñáõÃÛ³Ùµ        /Ñ³½.ÐÐ ¹ñ³Ù/</t>
  </si>
  <si>
    <t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01.06.2012Ã.¹ñáõÃõÛ³Ùµ)          /Ñ³½.ÐÐ ¹ñ³Ù/</t>
  </si>
  <si>
    <t>ÐÐ ¿ÏáÝáÙÇÏ³ÛÇ Ý³Ë³ñ³ñáõÃÛ³Ý ÏáÕÙÇó ÙáÝÇïáñÇÝ·áõÙ ÁÝ¹·ñÏí³Í Ï³½Ù³Ï»ñåáõÃÛáõÝÝ»ñÇ ïÝï»ë³Ï³Ý óáõó³ÝÇßÝ»ñÇ Ù³ëÇÝ  ûå»ñ³ïÇí ï»Õ»Ï³ïíáõÃÛáõÝ  01.06.2012Ã. ¹ñáõÃÛ³Ùµ        /Ñ³½.ÐÐ ¹ñ³Ù/</t>
  </si>
  <si>
    <t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01.07.2012Ã.¹ñáõÃõÛ³Ùµ)          /Ñ³½.ÐÐ ¹ñ³Ù/</t>
  </si>
  <si>
    <t>ÐÐ ¿ÏáÝáÙÇÏ³ÛÇ Ý³Ë³ñ³ñáõÃÛ³Ý ÏáÕÙÇó ÙáÝÇïáñÇÝ·áõÙ ÁÝ¹·ñÏí³Í Ï³½Ù³Ï»ñåáõÃÛáõÝÝ»ñÇ ïÝï»ë³Ï³Ý óáõó³ÝÇßÝ»ñÇ Ù³ëÇÝ  ûå»ñ³ïÇí ï»Õ»Ï³ïíáõÃÛáõÝ  01.07.2012Ã. ¹ñáõÃÛ³Ùµ        /Ñ³½.ÐÐ ¹ñ³Ù/</t>
  </si>
  <si>
    <t>ÐÐ ¿ÏáÝáÙÇÏ³ÛÇ Ý³Ë³ñ³ñáõÃÛ³Ý ÏáÕÙÇó ÙáÝÇïáñÇÝ·áõÙ ÁÝ¹·ñÏí³Í Ï³½Ù³Ï»ñåáõÃÛáõÝÝ»ñÇ ïÝï»ë³Ï³Ý óáõó³ÝÇßÝ»ñÇ Ù³ëÇÝ  ûå»ñ³ïÇí ï»Õ»Ï³ïíáõÃÛáõÝ  01.08.2012Ã. ¹ñáõÃÛ³Ùµ        /Ñ³½.ÐÐ ¹ñ³Ù/</t>
  </si>
  <si>
    <t>§ê³·³Ù³ñ¦ ö´À</t>
  </si>
  <si>
    <t>Ø»ï³Éáõñ·Ç³</t>
  </si>
  <si>
    <t>ÀÝ¹³Ù»ÝÁ`Ù»ï³Éáõñ·Ç³</t>
  </si>
  <si>
    <t>ÀÜ¸²ØºÜÀ`Ñ³Ýù³ñ¹ ¨ Ù»ï³Éáõñ·</t>
  </si>
  <si>
    <t>ÀÝ¹³Ù»ÝÁ`Ñ³Ýù³ñ¹.</t>
  </si>
  <si>
    <t>Ð³Ýù³ñ¹ÛáõÝ³µ»ñáõÃÛáõÝ</t>
  </si>
  <si>
    <t>Հանքարդարդյունաբեր.</t>
  </si>
  <si>
    <t>Մետալուրգիա</t>
  </si>
  <si>
    <t>ÀÝ¹³Ù»ÝÁ ¿É»Ïïñ³ï»Ë.</t>
  </si>
  <si>
    <t>Շինանյութեր</t>
  </si>
  <si>
    <t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01.08.2012Ã.¹ñáõÃÛ³Ùµ)          /Ñ³½.ÐÐ ¹ñ³Ù/</t>
  </si>
  <si>
    <t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01.09.2012Ã.¹ñáõÃÛ³Ùµ)          /Ñ³½.ÐÐ ¹ñ³Ù/</t>
  </si>
  <si>
    <t>ÐÐ ¿ÏáÝáÙÇÏ³ÛÇ Ý³Ë³ñ³ñáõÃÛ³Ý ÏáÕÙÇó ÙáÝÇïáñÇÝ·áõÙ ÁÝ¹·ñÏí³Í Ï³½Ù³Ï»ñåáõÃÛáõÝÝ»ñÇ ïÝï»ë³Ï³Ý óáõó³ÝÇßÝ»ñÇ Ù³ëÇÝ  ûå»ñ³ïÇí ï»Õ»Ï³ïíáõÃÛáõÝ  01.09.2012Ã. ¹ñáõÃÛ³Ùµ        /Ñ³½.ÐÐ ¹ñ³Ù/</t>
  </si>
  <si>
    <t>ÐÐ ¿ÏáÝáÙÇÏ³ÛÇ Ý³Ë³ñ³ñáõÃÛ³Ý ÏáÕÙÇó ÙáÝÇïáñÇÝ·áõÙ ÁÝ¹·ñÏí³Í Ï³½Ù³Ï»ñåáõÃÛáõÝÝ»ñÇ ïÝï»ë³Ï³Ý óáõó³ÝÇßÝ»ñÇ Ù³ëÇÝ  ûå»ñ³ïÇí ï»Õ»Ï³ïíáõÃÛáõÝ  01.10.2012Ã. ¹ñáõÃÛ³Ùµ        /Ñ³½.ÐÐ ¹ñ³Ù/</t>
  </si>
  <si>
    <t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01.10.2012Ã.¹ñáõÃÛ³Ùµ)          /Ñ³½.ÐÐ ¹ñ³Ù/</t>
  </si>
  <si>
    <t>§Üáñ³ÙáõÍáõÃÛ³Ý ¨ Ó»éÝ»ñ»óáõÃÛ³Ý ²Î¦ ö´À</t>
  </si>
  <si>
    <t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01.11.2012Ã.¹ñáõÃÛ³Ùµ)          /Ñ³½.ÐÐ ¹ñ³Ù/</t>
  </si>
  <si>
    <t>ÐÐ ¿ÏáÝáÙÇÏ³ÛÇ Ý³Ë³ñ³ñáõÃÛ³Ý ÏáÕÙÇó ÙáÝÇïáñÇÝ·áõÙ ÁÝ¹·ñÏí³Í Ï³½Ù³Ï»ñåáõÃÛáõÝÝ»ñÇ ïÝï»ë³Ï³Ý óáõó³ÝÇßÝ»ñÇ Ù³ëÇÝ  ûå»ñ³ïÇí ï»Õ»Ï³ïíáõÃÛáõÝ  01.11.2012Ã. ¹ñáõÃÛ³Ùµ        /Ñ³½.ÐÐ ¹ñ³Ù/</t>
  </si>
  <si>
    <t>Ð³ñí³É Ø³ßÇÝÁñÇ êäÀ</t>
  </si>
  <si>
    <t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01.12.2012Ã.¹ñáõÃÛ³Ùµ)          /Ñ³½.ÐÐ ¹ñ³Ù/</t>
  </si>
  <si>
    <t>â³ñ»Ýó. §´ñ³ï»ùë¦ ´´À</t>
  </si>
  <si>
    <t>ÐÐ ¿ÏáÝáÙÇÏ³ÛÇ Ý³Ë³ñ³ñáõÃÛ³Ý ÏáÕÙÇó ÙáÝÇïáñÇÝ·áõÙ ÁÝ¹·ñÏí³Í Ï³½Ù³Ï»ñåáõÃÛáõÝÝ»ñÇ ïÝï»ë³Ï³Ý óáõó³ÝÇßÝ»ñÇ Ù³ëÇÝ  ûå»ñ³ïÇí ï»Õ»Ï³ïíáõÃÛáõÝ  01.12.2012Ã. ¹ñáõÃÛ³Ùµ                  /Ñ³½.ÐÐ ¹ñ³Ù/</t>
  </si>
  <si>
    <t>ÐÐ ¿ÏáÝáÙÇÏ³ÛÇ Ý³Ë³ñ³ñáõÃÛ³Ý ÏáÕÙÇó ÙáÝÇïáñÇÝ·áõÙ ÁÝ¹·ñÏí³Í ³ñ¹ÛáõÝ³µ»ñ³Ï³Ý áÉáñïÝ»ñÇ ïÝï»ë³Ï³Ý óáõó³ÝÇßÝ»ñÇ Ù³ëÇÝ                                                                                                                                 ûå»ñ³ïÇí ï»Õ»Ï³ïíáõÃÛáõÝ 01.01.2013Ã.¹ñáõÃÛ³Ùµ)          /Ñ³½.ÐÐ ¹ñ³Ù/</t>
  </si>
  <si>
    <t>ÐÐ ¿ÏáÝáÙÇÏ³ÛÇ Ý³Ë³ñ³ñáõÃÛ³Ý ÏáÕÙÇó ÙáÝÇïáñÇÝ·áõÙ ÁÝ¹·ñÏí³Í Ï³½Ù³Ï»ñåáõÃÛáõÝÝ»ñÇ ïÝï»ë³Ï³Ý óáõó³ÝÇßÝ»ñÇ Ù³ëÇÝ  ûå»ñ³ïÇí ï»Õ»Ï³ïíáõÃÛáõÝ  01.01.2013Ã. ¹ñáõÃÛ³Ùµ                  /Ñ³½.ÐÐ ¹ñ³Ù/</t>
  </si>
  <si>
    <t>§ºñ¨³ÝÇ äÉ³ëïåáÉիմեր ¶ÐÆ¦ ö´À</t>
  </si>
  <si>
    <t>§ÎáÙ»ï³ ԳԱԻ¦ ´´À</t>
  </si>
  <si>
    <t xml:space="preserve">Ը Ն Դ Ա Մ Ե Ն Ը </t>
  </si>
  <si>
    <t>Üáñ³ÙáõÍáõÃÛ³Ý ¨ Ó»éÝ»ñ»óáõÃÛ³Ý ³½·³ÛÇÝ Ï»ÝïñáÝ</t>
  </si>
  <si>
    <t>Հաստոցագործիքաշին</t>
  </si>
  <si>
    <t>Հանքարդարդյունաբ.</t>
  </si>
  <si>
    <t>Արտադրանք</t>
  </si>
  <si>
    <t>Իրացում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</si>
</sst>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Armenian"/>
      <family val="2"/>
    </font>
    <font>
      <sz val="10"/>
      <name val="Arial Armenian"/>
      <family val="2"/>
    </font>
    <font>
      <b/>
      <i/>
      <sz val="10"/>
      <name val="Arial Armenian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Arial Armenian"/>
      <family val="2"/>
    </font>
    <font>
      <sz val="11"/>
      <color theme="1"/>
      <name val="Arial Armenian"/>
      <family val="2"/>
    </font>
    <font>
      <b/>
      <sz val="12"/>
      <name val="Arial Armenian"/>
      <family val="2"/>
    </font>
    <font>
      <b/>
      <sz val="9"/>
      <name val="Arial Armenian"/>
      <family val="2"/>
    </font>
    <font>
      <sz val="9"/>
      <name val="Arial Armenian"/>
      <family val="2"/>
    </font>
    <font>
      <sz val="9"/>
      <color indexed="8"/>
      <name val="Arial Armenian"/>
      <family val="2"/>
    </font>
    <font>
      <sz val="9"/>
      <color theme="1"/>
      <name val="Arial Armenian"/>
      <family val="2"/>
    </font>
    <font>
      <sz val="11"/>
      <name val="Calibri"/>
      <family val="2"/>
      <scheme val="minor"/>
    </font>
    <font>
      <b/>
      <sz val="9"/>
      <color theme="1"/>
      <name val="Arial Armenian"/>
      <family val="2"/>
    </font>
    <font>
      <b/>
      <sz val="11"/>
      <name val="Arial Armenian"/>
      <family val="2"/>
    </font>
    <font>
      <b/>
      <sz val="11"/>
      <name val="GHEA Grapalat"/>
      <family val="3"/>
    </font>
    <font>
      <sz val="9"/>
      <name val="Arial"/>
      <family val="2"/>
      <charset val="204"/>
    </font>
    <font>
      <sz val="9"/>
      <color rgb="FFFF0000"/>
      <name val="Arial Armenian"/>
      <family val="2"/>
    </font>
    <font>
      <sz val="12"/>
      <name val="Times Armenian"/>
      <family val="1"/>
    </font>
    <font>
      <sz val="11"/>
      <name val="Times Armenian"/>
      <family val="1"/>
    </font>
    <font>
      <b/>
      <i/>
      <sz val="11"/>
      <name val="Times Armenian"/>
      <family val="1"/>
    </font>
    <font>
      <sz val="10"/>
      <color theme="1"/>
      <name val="Arial Armenian"/>
      <family val="2"/>
    </font>
    <font>
      <b/>
      <sz val="12"/>
      <name val="GHEA Grapalat"/>
      <family val="3"/>
    </font>
    <font>
      <sz val="11"/>
      <name val="Arial Armenian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360">
    <xf numFmtId="0" fontId="0" fillId="0" borderId="0" xfId="0"/>
    <xf numFmtId="0" fontId="3" fillId="0" borderId="0" xfId="0" applyFont="1"/>
    <xf numFmtId="0" fontId="5" fillId="0" borderId="0" xfId="2" applyFont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1" fontId="5" fillId="0" borderId="2" xfId="2" applyNumberFormat="1" applyFont="1" applyFill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/>
    </xf>
    <xf numFmtId="164" fontId="5" fillId="0" borderId="2" xfId="2" applyNumberFormat="1" applyFont="1" applyFill="1" applyBorder="1" applyAlignment="1">
      <alignment horizontal="center" vertical="center"/>
    </xf>
    <xf numFmtId="1" fontId="5" fillId="0" borderId="2" xfId="1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 applyBorder="1"/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2" applyFont="1" applyFill="1" applyBorder="1" applyAlignment="1">
      <alignment horizontal="center"/>
    </xf>
    <xf numFmtId="0" fontId="10" fillId="0" borderId="0" xfId="0" applyFont="1"/>
    <xf numFmtId="0" fontId="11" fillId="0" borderId="0" xfId="2" applyFont="1" applyFill="1" applyAlignment="1"/>
    <xf numFmtId="0" fontId="12" fillId="0" borderId="6" xfId="2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/>
    </xf>
    <xf numFmtId="0" fontId="13" fillId="0" borderId="0" xfId="2" applyFont="1" applyFill="1" applyBorder="1" applyAlignment="1">
      <alignment horizontal="center" vertical="center"/>
    </xf>
    <xf numFmtId="0" fontId="12" fillId="0" borderId="2" xfId="2" applyFont="1" applyFill="1" applyBorder="1" applyAlignment="1">
      <alignment horizontal="center" vertical="center" wrapText="1"/>
    </xf>
    <xf numFmtId="164" fontId="12" fillId="0" borderId="2" xfId="2" applyNumberFormat="1" applyFont="1" applyFill="1" applyBorder="1" applyAlignment="1">
      <alignment horizontal="center" vertical="center" wrapText="1"/>
    </xf>
    <xf numFmtId="0" fontId="13" fillId="0" borderId="0" xfId="2" applyFont="1" applyFill="1" applyBorder="1" applyAlignment="1">
      <alignment horizontal="center"/>
    </xf>
    <xf numFmtId="0" fontId="12" fillId="0" borderId="2" xfId="2" applyFont="1" applyBorder="1" applyAlignment="1">
      <alignment horizontal="center"/>
    </xf>
    <xf numFmtId="0" fontId="12" fillId="0" borderId="2" xfId="2" applyFont="1" applyBorder="1"/>
    <xf numFmtId="1" fontId="13" fillId="0" borderId="2" xfId="0" applyNumberFormat="1" applyFont="1" applyBorder="1" applyAlignment="1">
      <alignment horizontal="center"/>
    </xf>
    <xf numFmtId="1" fontId="12" fillId="0" borderId="2" xfId="2" applyNumberFormat="1" applyFont="1" applyBorder="1" applyAlignment="1">
      <alignment horizontal="center"/>
    </xf>
    <xf numFmtId="0" fontId="12" fillId="0" borderId="0" xfId="2" applyFont="1" applyBorder="1" applyAlignment="1">
      <alignment horizontal="center"/>
    </xf>
    <xf numFmtId="0" fontId="12" fillId="0" borderId="2" xfId="2" applyFont="1" applyFill="1" applyBorder="1" applyAlignment="1">
      <alignment horizontal="center"/>
    </xf>
    <xf numFmtId="1" fontId="12" fillId="0" borderId="2" xfId="2" applyNumberFormat="1" applyFont="1" applyFill="1" applyBorder="1" applyAlignment="1">
      <alignment horizontal="center"/>
    </xf>
    <xf numFmtId="0" fontId="13" fillId="0" borderId="0" xfId="2" applyFont="1" applyBorder="1" applyAlignment="1">
      <alignment horizontal="center"/>
    </xf>
    <xf numFmtId="0" fontId="14" fillId="0" borderId="2" xfId="3" applyFont="1" applyBorder="1" applyAlignment="1">
      <alignment horizontal="center"/>
    </xf>
    <xf numFmtId="0" fontId="13" fillId="0" borderId="2" xfId="3" applyFont="1" applyBorder="1"/>
    <xf numFmtId="0" fontId="13" fillId="0" borderId="2" xfId="2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0" fontId="13" fillId="0" borderId="2" xfId="3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164" fontId="13" fillId="0" borderId="2" xfId="0" applyNumberFormat="1" applyFont="1" applyBorder="1" applyAlignment="1">
      <alignment horizontal="center"/>
    </xf>
    <xf numFmtId="1" fontId="13" fillId="0" borderId="2" xfId="3" applyNumberFormat="1" applyFont="1" applyBorder="1" applyAlignment="1">
      <alignment horizontal="center" vertical="center"/>
    </xf>
    <xf numFmtId="0" fontId="13" fillId="0" borderId="2" xfId="2" applyFont="1" applyFill="1" applyBorder="1" applyAlignment="1">
      <alignment horizontal="center" vertical="center"/>
    </xf>
    <xf numFmtId="0" fontId="13" fillId="0" borderId="2" xfId="3" applyFont="1" applyBorder="1" applyAlignment="1">
      <alignment horizontal="center"/>
    </xf>
    <xf numFmtId="1" fontId="13" fillId="0" borderId="2" xfId="3" applyNumberFormat="1" applyFont="1" applyBorder="1" applyAlignment="1">
      <alignment horizontal="center"/>
    </xf>
    <xf numFmtId="164" fontId="13" fillId="0" borderId="2" xfId="2" applyNumberFormat="1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/>
    </xf>
    <xf numFmtId="164" fontId="12" fillId="2" borderId="2" xfId="0" applyNumberFormat="1" applyFont="1" applyFill="1" applyBorder="1" applyAlignment="1">
      <alignment horizontal="center"/>
    </xf>
    <xf numFmtId="1" fontId="12" fillId="2" borderId="2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0" fillId="2" borderId="0" xfId="0" applyFill="1"/>
    <xf numFmtId="0" fontId="13" fillId="0" borderId="2" xfId="2" applyFont="1" applyBorder="1"/>
    <xf numFmtId="1" fontId="13" fillId="0" borderId="2" xfId="2" applyNumberFormat="1" applyFont="1" applyBorder="1" applyAlignment="1">
      <alignment horizontal="center"/>
    </xf>
    <xf numFmtId="0" fontId="13" fillId="0" borderId="2" xfId="3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1" fontId="13" fillId="0" borderId="2" xfId="2" applyNumberFormat="1" applyFont="1" applyFill="1" applyBorder="1" applyAlignment="1">
      <alignment horizontal="center" vertical="center"/>
    </xf>
    <xf numFmtId="0" fontId="16" fillId="0" borderId="0" xfId="0" applyFont="1"/>
    <xf numFmtId="0" fontId="14" fillId="0" borderId="2" xfId="3" applyFont="1" applyBorder="1" applyAlignment="1">
      <alignment horizontal="center" vertical="center"/>
    </xf>
    <xf numFmtId="1" fontId="13" fillId="0" borderId="2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/>
    </xf>
    <xf numFmtId="0" fontId="13" fillId="0" borderId="0" xfId="2" applyFont="1" applyBorder="1"/>
    <xf numFmtId="1" fontId="13" fillId="0" borderId="0" xfId="0" applyNumberFormat="1" applyFont="1" applyBorder="1" applyAlignment="1">
      <alignment horizontal="center"/>
    </xf>
    <xf numFmtId="1" fontId="13" fillId="0" borderId="0" xfId="2" applyNumberFormat="1" applyFont="1" applyBorder="1" applyAlignment="1">
      <alignment horizontal="center"/>
    </xf>
    <xf numFmtId="1" fontId="13" fillId="0" borderId="2" xfId="2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13" fillId="0" borderId="2" xfId="2" applyFont="1" applyBorder="1" applyAlignment="1">
      <alignment horizontal="left"/>
    </xf>
    <xf numFmtId="0" fontId="13" fillId="0" borderId="2" xfId="2" applyFont="1" applyBorder="1" applyAlignment="1">
      <alignment horizontal="center" vertical="center" wrapText="1"/>
    </xf>
    <xf numFmtId="0" fontId="2" fillId="0" borderId="0" xfId="0" applyFont="1"/>
    <xf numFmtId="0" fontId="14" fillId="0" borderId="2" xfId="2" applyFont="1" applyBorder="1" applyAlignment="1">
      <alignment horizontal="left"/>
    </xf>
    <xf numFmtId="1" fontId="15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3" fillId="0" borderId="2" xfId="2" applyFont="1" applyFill="1" applyBorder="1" applyAlignment="1">
      <alignment horizontal="left"/>
    </xf>
    <xf numFmtId="0" fontId="14" fillId="0" borderId="2" xfId="2" applyFont="1" applyBorder="1" applyAlignment="1">
      <alignment horizontal="center"/>
    </xf>
    <xf numFmtId="0" fontId="13" fillId="0" borderId="2" xfId="4" applyFont="1" applyBorder="1" applyAlignment="1">
      <alignment horizontal="center"/>
    </xf>
    <xf numFmtId="1" fontId="13" fillId="0" borderId="2" xfId="4" applyNumberFormat="1" applyFont="1" applyBorder="1" applyAlignment="1">
      <alignment horizontal="center"/>
    </xf>
    <xf numFmtId="1" fontId="13" fillId="0" borderId="3" xfId="4" applyNumberFormat="1" applyFont="1" applyBorder="1" applyAlignment="1">
      <alignment horizontal="center"/>
    </xf>
    <xf numFmtId="0" fontId="13" fillId="0" borderId="2" xfId="3" applyFont="1" applyBorder="1" applyAlignment="1">
      <alignment horizontal="left"/>
    </xf>
    <xf numFmtId="0" fontId="13" fillId="3" borderId="2" xfId="4" applyFont="1" applyFill="1" applyBorder="1" applyAlignment="1">
      <alignment horizontal="center"/>
    </xf>
    <xf numFmtId="1" fontId="13" fillId="3" borderId="2" xfId="4" applyNumberFormat="1" applyFont="1" applyFill="1" applyBorder="1" applyAlignment="1">
      <alignment horizontal="center"/>
    </xf>
    <xf numFmtId="1" fontId="13" fillId="0" borderId="2" xfId="4" applyNumberFormat="1" applyFont="1" applyFill="1" applyBorder="1" applyAlignment="1">
      <alignment horizontal="center"/>
    </xf>
    <xf numFmtId="0" fontId="13" fillId="0" borderId="2" xfId="3" applyFont="1" applyFill="1" applyBorder="1" applyAlignment="1">
      <alignment horizontal="left"/>
    </xf>
    <xf numFmtId="164" fontId="13" fillId="0" borderId="2" xfId="4" applyNumberFormat="1" applyFont="1" applyBorder="1" applyAlignment="1">
      <alignment horizontal="center"/>
    </xf>
    <xf numFmtId="1" fontId="13" fillId="0" borderId="8" xfId="3" applyNumberFormat="1" applyFont="1" applyBorder="1" applyAlignment="1">
      <alignment horizontal="center"/>
    </xf>
    <xf numFmtId="0" fontId="13" fillId="0" borderId="2" xfId="2" applyFont="1" applyFill="1" applyBorder="1" applyAlignment="1">
      <alignment horizontal="center"/>
    </xf>
    <xf numFmtId="164" fontId="13" fillId="0" borderId="2" xfId="2" applyNumberFormat="1" applyFont="1" applyFill="1" applyBorder="1" applyAlignment="1">
      <alignment horizontal="center"/>
    </xf>
    <xf numFmtId="1" fontId="13" fillId="0" borderId="2" xfId="1" applyNumberFormat="1" applyFont="1" applyFill="1" applyBorder="1" applyAlignment="1">
      <alignment horizontal="center"/>
    </xf>
    <xf numFmtId="0" fontId="12" fillId="0" borderId="2" xfId="2" applyFont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1" fontId="13" fillId="0" borderId="2" xfId="0" applyNumberFormat="1" applyFont="1" applyFill="1" applyBorder="1" applyAlignment="1">
      <alignment horizontal="center"/>
    </xf>
    <xf numFmtId="164" fontId="13" fillId="0" borderId="2" xfId="0" applyNumberFormat="1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0" fontId="13" fillId="0" borderId="2" xfId="2" applyFont="1" applyBorder="1" applyAlignment="1">
      <alignment horizontal="center"/>
    </xf>
    <xf numFmtId="1" fontId="12" fillId="0" borderId="2" xfId="2" applyNumberFormat="1" applyFont="1" applyFill="1" applyBorder="1" applyAlignment="1"/>
    <xf numFmtId="1" fontId="12" fillId="0" borderId="3" xfId="2" applyNumberFormat="1" applyFont="1" applyFill="1" applyBorder="1" applyAlignment="1"/>
    <xf numFmtId="1" fontId="12" fillId="0" borderId="5" xfId="2" applyNumberFormat="1" applyFont="1" applyFill="1" applyBorder="1" applyAlignment="1"/>
    <xf numFmtId="1" fontId="12" fillId="0" borderId="0" xfId="2" applyNumberFormat="1" applyFont="1" applyFill="1" applyBorder="1" applyAlignment="1"/>
    <xf numFmtId="0" fontId="13" fillId="0" borderId="2" xfId="0" applyFont="1" applyBorder="1" applyAlignment="1">
      <alignment horizontal="center"/>
    </xf>
    <xf numFmtId="0" fontId="13" fillId="0" borderId="2" xfId="1" applyFont="1" applyFill="1" applyBorder="1"/>
    <xf numFmtId="164" fontId="13" fillId="0" borderId="2" xfId="2" applyNumberFormat="1" applyFont="1" applyFill="1" applyBorder="1" applyAlignment="1">
      <alignment horizontal="center" vertical="center" wrapText="1"/>
    </xf>
    <xf numFmtId="0" fontId="13" fillId="0" borderId="2" xfId="2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0" fontId="13" fillId="0" borderId="2" xfId="1" applyFont="1" applyFill="1" applyBorder="1" applyAlignment="1">
      <alignment horizontal="center"/>
    </xf>
    <xf numFmtId="164" fontId="13" fillId="0" borderId="2" xfId="2" applyNumberFormat="1" applyFont="1" applyBorder="1" applyAlignment="1">
      <alignment horizontal="center"/>
    </xf>
    <xf numFmtId="0" fontId="13" fillId="3" borderId="2" xfId="1" applyFont="1" applyFill="1" applyBorder="1"/>
    <xf numFmtId="0" fontId="13" fillId="3" borderId="2" xfId="1" applyFont="1" applyFill="1" applyBorder="1" applyAlignment="1">
      <alignment vertical="center" wrapText="1"/>
    </xf>
    <xf numFmtId="0" fontId="13" fillId="3" borderId="2" xfId="1" applyFont="1" applyFill="1" applyBorder="1" applyAlignment="1">
      <alignment horizontal="left"/>
    </xf>
    <xf numFmtId="0" fontId="13" fillId="0" borderId="2" xfId="0" applyFont="1" applyBorder="1"/>
    <xf numFmtId="1" fontId="12" fillId="2" borderId="2" xfId="1" applyNumberFormat="1" applyFont="1" applyFill="1" applyBorder="1" applyAlignment="1">
      <alignment horizontal="center"/>
    </xf>
    <xf numFmtId="0" fontId="15" fillId="0" borderId="2" xfId="0" applyFont="1" applyBorder="1"/>
    <xf numFmtId="0" fontId="15" fillId="0" borderId="0" xfId="0" applyFont="1" applyBorder="1"/>
    <xf numFmtId="0" fontId="13" fillId="0" borderId="2" xfId="2" applyFont="1" applyFill="1" applyBorder="1"/>
    <xf numFmtId="0" fontId="15" fillId="0" borderId="0" xfId="0" applyFont="1"/>
    <xf numFmtId="0" fontId="0" fillId="0" borderId="2" xfId="0" applyBorder="1" applyAlignment="1">
      <alignment horizontal="center" vertical="center"/>
    </xf>
    <xf numFmtId="0" fontId="13" fillId="0" borderId="2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7" fillId="2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1" fontId="12" fillId="0" borderId="2" xfId="2" applyNumberFormat="1" applyFont="1" applyFill="1" applyBorder="1" applyAlignment="1">
      <alignment horizontal="center"/>
    </xf>
    <xf numFmtId="0" fontId="12" fillId="0" borderId="2" xfId="2" applyFont="1" applyFill="1" applyBorder="1" applyAlignment="1">
      <alignment horizontal="center" vertical="center" wrapText="1"/>
    </xf>
    <xf numFmtId="0" fontId="12" fillId="0" borderId="6" xfId="2" applyFont="1" applyFill="1" applyBorder="1" applyAlignment="1">
      <alignment horizontal="center" vertical="center"/>
    </xf>
    <xf numFmtId="0" fontId="13" fillId="0" borderId="2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9" fillId="0" borderId="2" xfId="1" applyFont="1" applyFill="1" applyBorder="1" applyAlignment="1">
      <alignment horizontal="center" vertical="center" wrapText="1"/>
    </xf>
    <xf numFmtId="164" fontId="12" fillId="0" borderId="2" xfId="0" applyNumberFormat="1" applyFont="1" applyFill="1" applyBorder="1" applyAlignment="1">
      <alignment horizontal="center"/>
    </xf>
    <xf numFmtId="1" fontId="12" fillId="0" borderId="2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0" fillId="0" borderId="0" xfId="0" applyFill="1"/>
    <xf numFmtId="0" fontId="6" fillId="0" borderId="2" xfId="2" applyFont="1" applyBorder="1" applyAlignment="1">
      <alignment horizontal="left"/>
    </xf>
    <xf numFmtId="0" fontId="7" fillId="2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1" fontId="12" fillId="0" borderId="2" xfId="2" applyNumberFormat="1" applyFont="1" applyFill="1" applyBorder="1" applyAlignment="1">
      <alignment horizontal="center"/>
    </xf>
    <xf numFmtId="0" fontId="12" fillId="0" borderId="2" xfId="2" applyFont="1" applyFill="1" applyBorder="1" applyAlignment="1">
      <alignment horizontal="center" vertical="center" wrapText="1"/>
    </xf>
    <xf numFmtId="0" fontId="12" fillId="0" borderId="6" xfId="2" applyFont="1" applyFill="1" applyBorder="1" applyAlignment="1">
      <alignment horizontal="center" vertical="center"/>
    </xf>
    <xf numFmtId="0" fontId="13" fillId="0" borderId="2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164" fontId="13" fillId="0" borderId="2" xfId="2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1" fontId="12" fillId="0" borderId="2" xfId="2" applyNumberFormat="1" applyFont="1" applyFill="1" applyBorder="1" applyAlignment="1">
      <alignment horizontal="center"/>
    </xf>
    <xf numFmtId="0" fontId="12" fillId="0" borderId="2" xfId="2" applyFont="1" applyFill="1" applyBorder="1" applyAlignment="1">
      <alignment horizontal="center" vertical="center" wrapText="1"/>
    </xf>
    <xf numFmtId="0" fontId="12" fillId="0" borderId="6" xfId="2" applyFont="1" applyFill="1" applyBorder="1" applyAlignment="1">
      <alignment horizontal="center" vertical="center"/>
    </xf>
    <xf numFmtId="0" fontId="13" fillId="0" borderId="2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3" fillId="0" borderId="3" xfId="2" applyFont="1" applyBorder="1" applyAlignment="1">
      <alignment horizontal="center"/>
    </xf>
    <xf numFmtId="0" fontId="13" fillId="0" borderId="5" xfId="2" applyFont="1" applyBorder="1" applyAlignment="1">
      <alignment horizontal="center"/>
    </xf>
    <xf numFmtId="0" fontId="7" fillId="2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1" fontId="12" fillId="0" borderId="2" xfId="2" applyNumberFormat="1" applyFont="1" applyFill="1" applyBorder="1" applyAlignment="1">
      <alignment horizontal="center"/>
    </xf>
    <xf numFmtId="0" fontId="12" fillId="0" borderId="2" xfId="2" applyFont="1" applyFill="1" applyBorder="1" applyAlignment="1">
      <alignment horizontal="center" vertical="center" wrapText="1"/>
    </xf>
    <xf numFmtId="0" fontId="12" fillId="0" borderId="6" xfId="2" applyFont="1" applyFill="1" applyBorder="1" applyAlignment="1">
      <alignment horizontal="center" vertical="center"/>
    </xf>
    <xf numFmtId="0" fontId="13" fillId="0" borderId="2" xfId="2" applyFont="1" applyBorder="1" applyAlignment="1">
      <alignment horizontal="center"/>
    </xf>
    <xf numFmtId="1" fontId="13" fillId="0" borderId="9" xfId="0" applyNumberFormat="1" applyFont="1" applyFill="1" applyBorder="1" applyAlignment="1">
      <alignment horizontal="center"/>
    </xf>
    <xf numFmtId="164" fontId="13" fillId="0" borderId="9" xfId="0" applyNumberFormat="1" applyFont="1" applyFill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1" fontId="20" fillId="3" borderId="2" xfId="0" applyNumberFormat="1" applyFont="1" applyFill="1" applyBorder="1"/>
    <xf numFmtId="1" fontId="13" fillId="0" borderId="7" xfId="3" applyNumberFormat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1" fontId="12" fillId="0" borderId="2" xfId="2" applyNumberFormat="1" applyFont="1" applyFill="1" applyBorder="1" applyAlignment="1">
      <alignment horizontal="center"/>
    </xf>
    <xf numFmtId="0" fontId="12" fillId="0" borderId="2" xfId="2" applyFont="1" applyFill="1" applyBorder="1" applyAlignment="1">
      <alignment horizontal="center" vertical="center" wrapText="1"/>
    </xf>
    <xf numFmtId="0" fontId="12" fillId="0" borderId="6" xfId="2" applyFont="1" applyFill="1" applyBorder="1" applyAlignment="1">
      <alignment horizontal="center" vertical="center"/>
    </xf>
    <xf numFmtId="0" fontId="13" fillId="0" borderId="2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164" fontId="13" fillId="0" borderId="2" xfId="3" applyNumberFormat="1" applyFont="1" applyBorder="1" applyAlignment="1">
      <alignment horizont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1" fontId="12" fillId="0" borderId="2" xfId="2" applyNumberFormat="1" applyFont="1" applyFill="1" applyBorder="1" applyAlignment="1">
      <alignment horizontal="center"/>
    </xf>
    <xf numFmtId="0" fontId="12" fillId="0" borderId="2" xfId="2" applyFont="1" applyFill="1" applyBorder="1" applyAlignment="1">
      <alignment horizontal="center" vertical="center" wrapText="1"/>
    </xf>
    <xf numFmtId="0" fontId="12" fillId="0" borderId="6" xfId="2" applyFont="1" applyFill="1" applyBorder="1" applyAlignment="1">
      <alignment horizontal="center" vertical="center"/>
    </xf>
    <xf numFmtId="0" fontId="13" fillId="0" borderId="2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3" fillId="0" borderId="5" xfId="2" applyFont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1" fontId="12" fillId="0" borderId="2" xfId="2" applyNumberFormat="1" applyFont="1" applyFill="1" applyBorder="1" applyAlignment="1">
      <alignment horizontal="center"/>
    </xf>
    <xf numFmtId="0" fontId="12" fillId="0" borderId="5" xfId="2" applyFont="1" applyFill="1" applyBorder="1" applyAlignment="1">
      <alignment horizontal="center"/>
    </xf>
    <xf numFmtId="1" fontId="12" fillId="0" borderId="2" xfId="2" applyNumberFormat="1" applyFont="1" applyFill="1" applyBorder="1" applyAlignment="1">
      <alignment horizontal="center"/>
    </xf>
    <xf numFmtId="0" fontId="12" fillId="4" borderId="2" xfId="1" applyFont="1" applyFill="1" applyBorder="1" applyAlignment="1">
      <alignment horizontal="center"/>
    </xf>
    <xf numFmtId="1" fontId="12" fillId="4" borderId="2" xfId="0" applyNumberFormat="1" applyFont="1" applyFill="1" applyBorder="1" applyAlignment="1">
      <alignment horizontal="center"/>
    </xf>
    <xf numFmtId="164" fontId="12" fillId="4" borderId="2" xfId="0" applyNumberFormat="1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0" fillId="4" borderId="0" xfId="0" applyFill="1"/>
    <xf numFmtId="1" fontId="12" fillId="5" borderId="2" xfId="0" applyNumberFormat="1" applyFont="1" applyFill="1" applyBorder="1" applyAlignment="1">
      <alignment horizontal="center"/>
    </xf>
    <xf numFmtId="164" fontId="12" fillId="5" borderId="2" xfId="0" applyNumberFormat="1" applyFont="1" applyFill="1" applyBorder="1" applyAlignment="1">
      <alignment horizontal="center"/>
    </xf>
    <xf numFmtId="0" fontId="0" fillId="5" borderId="0" xfId="0" applyFill="1"/>
    <xf numFmtId="0" fontId="12" fillId="5" borderId="2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0" fontId="7" fillId="5" borderId="2" xfId="1" applyFont="1" applyFill="1" applyBorder="1" applyAlignment="1">
      <alignment horizontal="center" vertical="center"/>
    </xf>
    <xf numFmtId="1" fontId="7" fillId="5" borderId="2" xfId="0" applyNumberFormat="1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" fontId="7" fillId="5" borderId="0" xfId="0" applyNumberFormat="1" applyFont="1" applyFill="1" applyBorder="1" applyAlignment="1">
      <alignment horizontal="center" vertical="center"/>
    </xf>
    <xf numFmtId="0" fontId="8" fillId="5" borderId="0" xfId="0" applyFont="1" applyFill="1"/>
    <xf numFmtId="0" fontId="19" fillId="0" borderId="2" xfId="1" applyFont="1" applyFill="1" applyBorder="1" applyAlignment="1">
      <alignment horizontal="left" vertical="top" wrapText="1"/>
    </xf>
    <xf numFmtId="1" fontId="13" fillId="0" borderId="3" xfId="0" applyNumberFormat="1" applyFont="1" applyFill="1" applyBorder="1" applyAlignment="1">
      <alignment horizontal="center"/>
    </xf>
    <xf numFmtId="164" fontId="13" fillId="0" borderId="4" xfId="0" applyNumberFormat="1" applyFont="1" applyFill="1" applyBorder="1" applyAlignment="1">
      <alignment horizontal="center"/>
    </xf>
    <xf numFmtId="1" fontId="13" fillId="0" borderId="5" xfId="0" applyNumberFormat="1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1" fontId="13" fillId="0" borderId="0" xfId="1" applyNumberFormat="1" applyFont="1" applyFill="1" applyBorder="1" applyAlignment="1">
      <alignment horizontal="center"/>
    </xf>
    <xf numFmtId="1" fontId="13" fillId="0" borderId="0" xfId="2" applyNumberFormat="1" applyFont="1" applyFill="1" applyBorder="1" applyAlignment="1">
      <alignment horizontal="center"/>
    </xf>
    <xf numFmtId="0" fontId="15" fillId="0" borderId="3" xfId="0" applyFont="1" applyBorder="1"/>
    <xf numFmtId="0" fontId="5" fillId="0" borderId="2" xfId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1" fontId="12" fillId="0" borderId="2" xfId="2" applyNumberFormat="1" applyFont="1" applyFill="1" applyBorder="1" applyAlignment="1">
      <alignment horizontal="center"/>
    </xf>
    <xf numFmtId="0" fontId="12" fillId="0" borderId="2" xfId="2" applyFont="1" applyFill="1" applyBorder="1" applyAlignment="1">
      <alignment horizontal="center" vertical="center" wrapText="1"/>
    </xf>
    <xf numFmtId="0" fontId="12" fillId="0" borderId="6" xfId="2" applyFont="1" applyFill="1" applyBorder="1" applyAlignment="1">
      <alignment horizontal="center" vertical="center"/>
    </xf>
    <xf numFmtId="0" fontId="12" fillId="0" borderId="5" xfId="2" applyFont="1" applyFill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2" fillId="0" borderId="2" xfId="2" applyFont="1" applyFill="1" applyBorder="1" applyAlignment="1">
      <alignment horizontal="center" vertical="center" wrapText="1"/>
    </xf>
    <xf numFmtId="0" fontId="12" fillId="0" borderId="6" xfId="2" applyFont="1" applyFill="1" applyBorder="1" applyAlignment="1">
      <alignment horizontal="center" vertical="center"/>
    </xf>
    <xf numFmtId="1" fontId="12" fillId="0" borderId="2" xfId="2" applyNumberFormat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13" fillId="0" borderId="2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21" fillId="0" borderId="2" xfId="1" applyFont="1" applyFill="1" applyBorder="1" applyAlignment="1">
      <alignment horizontal="center"/>
    </xf>
    <xf numFmtId="0" fontId="21" fillId="3" borderId="2" xfId="1" applyFont="1" applyFill="1" applyBorder="1"/>
    <xf numFmtId="0" fontId="21" fillId="0" borderId="2" xfId="2" applyFont="1" applyFill="1" applyBorder="1" applyAlignment="1">
      <alignment horizontal="center"/>
    </xf>
    <xf numFmtId="164" fontId="21" fillId="0" borderId="2" xfId="2" applyNumberFormat="1" applyFont="1" applyFill="1" applyBorder="1" applyAlignment="1">
      <alignment horizontal="center" vertical="center"/>
    </xf>
    <xf numFmtId="0" fontId="21" fillId="0" borderId="2" xfId="2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1" fontId="21" fillId="0" borderId="2" xfId="2" applyNumberFormat="1" applyFont="1" applyFill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2" fillId="0" borderId="2" xfId="2" applyFont="1" applyFill="1" applyBorder="1" applyAlignment="1">
      <alignment horizontal="center" vertical="center" wrapText="1"/>
    </xf>
    <xf numFmtId="0" fontId="12" fillId="0" borderId="6" xfId="2" applyFont="1" applyFill="1" applyBorder="1" applyAlignment="1">
      <alignment horizontal="center" vertical="center"/>
    </xf>
    <xf numFmtId="1" fontId="12" fillId="0" borderId="2" xfId="2" applyNumberFormat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13" fillId="0" borderId="2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1" fontId="21" fillId="0" borderId="2" xfId="2" applyNumberFormat="1" applyFont="1" applyFill="1" applyBorder="1" applyAlignment="1">
      <alignment horizontal="center" vertical="center"/>
    </xf>
    <xf numFmtId="0" fontId="13" fillId="0" borderId="2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3" fillId="0" borderId="2" xfId="2" applyFont="1" applyFill="1" applyBorder="1" applyAlignment="1">
      <alignment vertical="center"/>
    </xf>
    <xf numFmtId="1" fontId="13" fillId="0" borderId="2" xfId="0" applyNumberFormat="1" applyFont="1" applyBorder="1" applyAlignment="1"/>
    <xf numFmtId="0" fontId="13" fillId="0" borderId="2" xfId="2" applyFont="1" applyBorder="1" applyAlignment="1">
      <alignment horizontal="center"/>
    </xf>
    <xf numFmtId="0" fontId="12" fillId="0" borderId="2" xfId="2" applyFont="1" applyFill="1" applyBorder="1" applyAlignment="1">
      <alignment horizontal="center" vertical="center" wrapText="1"/>
    </xf>
    <xf numFmtId="0" fontId="12" fillId="0" borderId="6" xfId="2" applyFont="1" applyFill="1" applyBorder="1" applyAlignment="1">
      <alignment horizontal="center" vertical="center"/>
    </xf>
    <xf numFmtId="1" fontId="12" fillId="0" borderId="2" xfId="2" applyNumberFormat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1" fontId="12" fillId="0" borderId="2" xfId="2" applyNumberFormat="1" applyFont="1" applyFill="1" applyBorder="1" applyAlignment="1">
      <alignment horizontal="center"/>
    </xf>
    <xf numFmtId="0" fontId="12" fillId="0" borderId="2" xfId="2" applyFont="1" applyFill="1" applyBorder="1" applyAlignment="1">
      <alignment horizontal="center" vertical="center" wrapText="1"/>
    </xf>
    <xf numFmtId="0" fontId="12" fillId="0" borderId="6" xfId="2" applyFont="1" applyFill="1" applyBorder="1" applyAlignment="1">
      <alignment horizontal="center" vertical="center"/>
    </xf>
    <xf numFmtId="0" fontId="13" fillId="0" borderId="2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22" fillId="0" borderId="2" xfId="1" applyFont="1" applyFill="1" applyBorder="1" applyAlignment="1">
      <alignment horizontal="center" vertical="center"/>
    </xf>
    <xf numFmtId="0" fontId="23" fillId="0" borderId="0" xfId="1" applyFont="1" applyFill="1" applyBorder="1" applyAlignment="1"/>
    <xf numFmtId="164" fontId="23" fillId="0" borderId="0" xfId="1" applyNumberFormat="1" applyFont="1" applyFill="1" applyBorder="1" applyAlignment="1"/>
    <xf numFmtId="0" fontId="6" fillId="3" borderId="2" xfId="1" applyFont="1" applyFill="1" applyBorder="1"/>
    <xf numFmtId="0" fontId="6" fillId="3" borderId="2" xfId="1" applyFont="1" applyFill="1" applyBorder="1" applyAlignment="1">
      <alignment horizontal="left"/>
    </xf>
    <xf numFmtId="0" fontId="6" fillId="0" borderId="2" xfId="0" applyFont="1" applyBorder="1"/>
    <xf numFmtId="0" fontId="6" fillId="0" borderId="2" xfId="2" applyFont="1" applyFill="1" applyBorder="1" applyAlignment="1">
      <alignment horizontal="center"/>
    </xf>
    <xf numFmtId="164" fontId="6" fillId="0" borderId="2" xfId="2" applyNumberFormat="1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1" fontId="6" fillId="0" borderId="2" xfId="2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1" fontId="6" fillId="0" borderId="6" xfId="0" applyNumberFormat="1" applyFont="1" applyFill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2" fontId="6" fillId="3" borderId="2" xfId="0" applyNumberFormat="1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1" fontId="6" fillId="0" borderId="2" xfId="0" applyNumberFormat="1" applyFont="1" applyFill="1" applyBorder="1" applyAlignment="1">
      <alignment horizontal="center"/>
    </xf>
    <xf numFmtId="1" fontId="6" fillId="7" borderId="2" xfId="1" applyNumberFormat="1" applyFont="1" applyFill="1" applyBorder="1" applyAlignment="1">
      <alignment horizontal="center"/>
    </xf>
    <xf numFmtId="164" fontId="6" fillId="7" borderId="2" xfId="0" applyNumberFormat="1" applyFont="1" applyFill="1" applyBorder="1" applyAlignment="1">
      <alignment horizontal="center"/>
    </xf>
    <xf numFmtId="0" fontId="6" fillId="3" borderId="2" xfId="1" applyFont="1" applyFill="1" applyBorder="1" applyAlignment="1">
      <alignment vertical="center" wrapText="1"/>
    </xf>
    <xf numFmtId="0" fontId="25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23" fillId="0" borderId="0" xfId="1" applyFont="1" applyFill="1" applyBorder="1" applyAlignment="1">
      <alignment vertical="center"/>
    </xf>
    <xf numFmtId="0" fontId="26" fillId="0" borderId="2" xfId="1" applyFont="1" applyFill="1" applyBorder="1" applyAlignment="1">
      <alignment horizontal="center" vertical="center" wrapText="1"/>
    </xf>
    <xf numFmtId="0" fontId="12" fillId="0" borderId="2" xfId="2" applyFont="1" applyFill="1" applyBorder="1" applyAlignment="1">
      <alignment horizontal="center" vertical="center" wrapText="1"/>
    </xf>
    <xf numFmtId="0" fontId="12" fillId="0" borderId="6" xfId="2" applyFont="1" applyFill="1" applyBorder="1" applyAlignment="1">
      <alignment horizontal="center" vertical="center"/>
    </xf>
    <xf numFmtId="0" fontId="27" fillId="0" borderId="2" xfId="2" applyFont="1" applyFill="1" applyBorder="1" applyAlignment="1">
      <alignment horizontal="center"/>
    </xf>
    <xf numFmtId="1" fontId="27" fillId="0" borderId="2" xfId="2" applyNumberFormat="1" applyFont="1" applyBorder="1" applyAlignment="1">
      <alignment horizontal="center"/>
    </xf>
    <xf numFmtId="164" fontId="27" fillId="0" borderId="2" xfId="0" applyNumberFormat="1" applyFont="1" applyBorder="1" applyAlignment="1">
      <alignment horizontal="center"/>
    </xf>
    <xf numFmtId="0" fontId="12" fillId="2" borderId="2" xfId="1" applyFont="1" applyFill="1" applyBorder="1" applyAlignment="1">
      <alignment horizontal="center"/>
    </xf>
    <xf numFmtId="0" fontId="12" fillId="0" borderId="3" xfId="2" applyFont="1" applyBorder="1" applyAlignment="1">
      <alignment horizontal="center"/>
    </xf>
    <xf numFmtId="0" fontId="12" fillId="0" borderId="5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2" fillId="0" borderId="3" xfId="2" applyFont="1" applyFill="1" applyBorder="1" applyAlignment="1">
      <alignment horizontal="center"/>
    </xf>
    <xf numFmtId="0" fontId="12" fillId="0" borderId="5" xfId="2" applyFont="1" applyFill="1" applyBorder="1" applyAlignment="1">
      <alignment horizontal="center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12" fillId="0" borderId="6" xfId="1" applyFont="1" applyFill="1" applyBorder="1" applyAlignment="1">
      <alignment horizontal="center" vertical="center"/>
    </xf>
    <xf numFmtId="0" fontId="12" fillId="0" borderId="2" xfId="1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 wrapText="1"/>
    </xf>
    <xf numFmtId="0" fontId="12" fillId="0" borderId="2" xfId="2" applyFont="1" applyFill="1" applyBorder="1" applyAlignment="1">
      <alignment horizontal="center" vertical="center" wrapText="1"/>
    </xf>
    <xf numFmtId="0" fontId="12" fillId="0" borderId="6" xfId="2" applyFont="1" applyFill="1" applyBorder="1" applyAlignment="1">
      <alignment horizontal="center" vertical="center"/>
    </xf>
    <xf numFmtId="1" fontId="12" fillId="0" borderId="6" xfId="2" applyNumberFormat="1" applyFont="1" applyFill="1" applyBorder="1" applyAlignment="1">
      <alignment horizontal="center" vertical="center" wrapText="1"/>
    </xf>
    <xf numFmtId="1" fontId="12" fillId="0" borderId="2" xfId="2" applyNumberFormat="1" applyFont="1" applyFill="1" applyBorder="1" applyAlignment="1">
      <alignment horizontal="center" vertical="center" wrapText="1"/>
    </xf>
    <xf numFmtId="0" fontId="12" fillId="2" borderId="2" xfId="1" applyFont="1" applyFill="1" applyBorder="1" applyAlignment="1">
      <alignment horizontal="center" vertical="center"/>
    </xf>
    <xf numFmtId="1" fontId="12" fillId="0" borderId="2" xfId="2" applyNumberFormat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vertical="center"/>
    </xf>
    <xf numFmtId="0" fontId="5" fillId="0" borderId="4" xfId="2" applyFont="1" applyFill="1" applyBorder="1" applyAlignment="1">
      <alignment vertical="center"/>
    </xf>
    <xf numFmtId="0" fontId="5" fillId="0" borderId="5" xfId="2" applyFont="1" applyFill="1" applyBorder="1" applyAlignme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1" fontId="5" fillId="0" borderId="2" xfId="2" applyNumberFormat="1" applyFont="1" applyFill="1" applyBorder="1" applyAlignment="1">
      <alignment horizontal="center" vertical="center" wrapText="1"/>
    </xf>
    <xf numFmtId="164" fontId="5" fillId="0" borderId="2" xfId="2" applyNumberFormat="1" applyFont="1" applyFill="1" applyBorder="1" applyAlignment="1">
      <alignment horizontal="center" vertical="center" wrapText="1"/>
    </xf>
    <xf numFmtId="0" fontId="18" fillId="0" borderId="2" xfId="1" applyFont="1" applyFill="1" applyBorder="1" applyAlignment="1">
      <alignment horizontal="center"/>
    </xf>
    <xf numFmtId="1" fontId="12" fillId="0" borderId="3" xfId="2" applyNumberFormat="1" applyFont="1" applyFill="1" applyBorder="1" applyAlignment="1">
      <alignment horizontal="center"/>
    </xf>
    <xf numFmtId="0" fontId="12" fillId="5" borderId="2" xfId="1" applyFont="1" applyFill="1" applyBorder="1" applyAlignment="1">
      <alignment horizontal="center"/>
    </xf>
    <xf numFmtId="0" fontId="12" fillId="5" borderId="2" xfId="1" applyFont="1" applyFill="1" applyBorder="1" applyAlignment="1">
      <alignment horizontal="left"/>
    </xf>
    <xf numFmtId="0" fontId="24" fillId="6" borderId="3" xfId="0" applyFont="1" applyFill="1" applyBorder="1" applyAlignment="1">
      <alignment horizontal="center"/>
    </xf>
    <xf numFmtId="0" fontId="24" fillId="6" borderId="5" xfId="0" applyFont="1" applyFill="1" applyBorder="1" applyAlignment="1">
      <alignment horizontal="center"/>
    </xf>
    <xf numFmtId="0" fontId="12" fillId="0" borderId="7" xfId="1" applyFont="1" applyFill="1" applyBorder="1" applyAlignment="1">
      <alignment horizontal="center" vertical="center"/>
    </xf>
    <xf numFmtId="0" fontId="12" fillId="0" borderId="10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12" fillId="0" borderId="11" xfId="2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3"/>
    <cellStyle name="Normal_AUGUSTAMPOP" xfId="1"/>
    <cellStyle name="Normal_Sheet1" xfId="4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72"/>
  <sheetViews>
    <sheetView topLeftCell="A131" workbookViewId="0">
      <selection activeCell="I161" sqref="I161"/>
    </sheetView>
  </sheetViews>
  <sheetFormatPr defaultRowHeight="15" x14ac:dyDescent="0.25"/>
  <cols>
    <col min="1" max="1" width="3.28515625" customWidth="1"/>
    <col min="2" max="2" width="25.28515625" customWidth="1"/>
    <col min="3" max="4" width="11.42578125" customWidth="1"/>
    <col min="5" max="5" width="7.140625" customWidth="1"/>
    <col min="6" max="6" width="10.140625" customWidth="1"/>
    <col min="7" max="7" width="10.28515625" customWidth="1"/>
    <col min="8" max="8" width="6.5703125" customWidth="1"/>
    <col min="9" max="10" width="11.28515625" customWidth="1"/>
    <col min="11" max="11" width="7.140625" customWidth="1"/>
    <col min="12" max="12" width="11.28515625" customWidth="1"/>
    <col min="13" max="13" width="11.7109375" customWidth="1"/>
    <col min="14" max="14" width="8.28515625" customWidth="1"/>
    <col min="15" max="15" width="7.28515625" customWidth="1"/>
    <col min="16" max="16" width="7.5703125" customWidth="1"/>
    <col min="17" max="17" width="6.7109375" customWidth="1"/>
    <col min="18" max="18" width="14.7109375" customWidth="1"/>
  </cols>
  <sheetData>
    <row r="3" spans="1:18" x14ac:dyDescent="0.25">
      <c r="A3" s="337" t="s">
        <v>171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</row>
    <row r="4" spans="1:18" x14ac:dyDescent="0.25">
      <c r="A4" s="338"/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1"/>
    </row>
    <row r="5" spans="1:18" x14ac:dyDescent="0.25">
      <c r="A5" s="339" t="s">
        <v>0</v>
      </c>
      <c r="B5" s="340" t="s">
        <v>1</v>
      </c>
      <c r="C5" s="341" t="s">
        <v>172</v>
      </c>
      <c r="D5" s="341"/>
      <c r="E5" s="341"/>
      <c r="F5" s="341"/>
      <c r="G5" s="341"/>
      <c r="H5" s="341"/>
      <c r="I5" s="342" t="s">
        <v>2</v>
      </c>
      <c r="J5" s="343"/>
      <c r="K5" s="344"/>
      <c r="L5" s="345" t="s">
        <v>3</v>
      </c>
      <c r="M5" s="346"/>
      <c r="N5" s="347"/>
      <c r="O5" s="340" t="s">
        <v>4</v>
      </c>
      <c r="P5" s="348" t="s">
        <v>5</v>
      </c>
      <c r="Q5" s="340" t="s">
        <v>6</v>
      </c>
      <c r="R5" s="2"/>
    </row>
    <row r="6" spans="1:18" x14ac:dyDescent="0.25">
      <c r="A6" s="339"/>
      <c r="B6" s="340"/>
      <c r="C6" s="340" t="s">
        <v>7</v>
      </c>
      <c r="D6" s="340" t="s">
        <v>8</v>
      </c>
      <c r="E6" s="349" t="s">
        <v>9</v>
      </c>
      <c r="F6" s="340" t="s">
        <v>10</v>
      </c>
      <c r="G6" s="340" t="s">
        <v>8</v>
      </c>
      <c r="H6" s="349" t="s">
        <v>9</v>
      </c>
      <c r="I6" s="340" t="s">
        <v>11</v>
      </c>
      <c r="J6" s="340" t="s">
        <v>8</v>
      </c>
      <c r="K6" s="349" t="s">
        <v>9</v>
      </c>
      <c r="L6" s="340" t="s">
        <v>11</v>
      </c>
      <c r="M6" s="340" t="s">
        <v>8</v>
      </c>
      <c r="N6" s="349" t="s">
        <v>9</v>
      </c>
      <c r="O6" s="340"/>
      <c r="P6" s="348"/>
      <c r="Q6" s="340"/>
      <c r="R6" s="2"/>
    </row>
    <row r="7" spans="1:18" x14ac:dyDescent="0.25">
      <c r="A7" s="339"/>
      <c r="B7" s="340"/>
      <c r="C7" s="340"/>
      <c r="D7" s="340"/>
      <c r="E7" s="349"/>
      <c r="F7" s="340"/>
      <c r="G7" s="340"/>
      <c r="H7" s="349"/>
      <c r="I7" s="340"/>
      <c r="J7" s="340"/>
      <c r="K7" s="349"/>
      <c r="L7" s="340"/>
      <c r="M7" s="340"/>
      <c r="N7" s="349"/>
      <c r="O7" s="340"/>
      <c r="P7" s="348"/>
      <c r="Q7" s="340"/>
      <c r="R7" s="2"/>
    </row>
    <row r="8" spans="1:18" x14ac:dyDescent="0.25">
      <c r="A8" s="339"/>
      <c r="B8" s="340"/>
      <c r="C8" s="340"/>
      <c r="D8" s="340"/>
      <c r="E8" s="349"/>
      <c r="F8" s="340"/>
      <c r="G8" s="340"/>
      <c r="H8" s="349"/>
      <c r="I8" s="340"/>
      <c r="J8" s="340"/>
      <c r="K8" s="349"/>
      <c r="L8" s="340"/>
      <c r="M8" s="340"/>
      <c r="N8" s="349"/>
      <c r="O8" s="340"/>
      <c r="P8" s="348"/>
      <c r="Q8" s="340"/>
      <c r="R8" s="2"/>
    </row>
    <row r="9" spans="1:18" x14ac:dyDescent="0.25">
      <c r="A9" s="339"/>
      <c r="B9" s="340"/>
      <c r="C9" s="340"/>
      <c r="D9" s="340"/>
      <c r="E9" s="349"/>
      <c r="F9" s="340"/>
      <c r="G9" s="340"/>
      <c r="H9" s="349"/>
      <c r="I9" s="340"/>
      <c r="J9" s="340"/>
      <c r="K9" s="349"/>
      <c r="L9" s="340"/>
      <c r="M9" s="340"/>
      <c r="N9" s="349"/>
      <c r="O9" s="340"/>
      <c r="P9" s="348"/>
      <c r="Q9" s="340"/>
      <c r="R9" s="2"/>
    </row>
    <row r="10" spans="1:18" x14ac:dyDescent="0.25">
      <c r="A10" s="339"/>
      <c r="B10" s="340"/>
      <c r="C10" s="340"/>
      <c r="D10" s="340"/>
      <c r="E10" s="349"/>
      <c r="F10" s="340"/>
      <c r="G10" s="340"/>
      <c r="H10" s="349"/>
      <c r="I10" s="340"/>
      <c r="J10" s="340"/>
      <c r="K10" s="349"/>
      <c r="L10" s="340"/>
      <c r="M10" s="340"/>
      <c r="N10" s="349"/>
      <c r="O10" s="340"/>
      <c r="P10" s="348"/>
      <c r="Q10" s="340"/>
      <c r="R10" s="2"/>
    </row>
    <row r="11" spans="1:18" x14ac:dyDescent="0.25">
      <c r="A11" s="3">
        <v>1</v>
      </c>
      <c r="B11" s="3">
        <v>2</v>
      </c>
      <c r="C11" s="4">
        <v>3</v>
      </c>
      <c r="D11" s="4">
        <v>4</v>
      </c>
      <c r="E11" s="5">
        <v>5</v>
      </c>
      <c r="F11" s="4">
        <v>6</v>
      </c>
      <c r="G11" s="4">
        <v>7</v>
      </c>
      <c r="H11" s="4">
        <v>8</v>
      </c>
      <c r="I11" s="4">
        <v>11</v>
      </c>
      <c r="J11" s="4">
        <v>12</v>
      </c>
      <c r="K11" s="4">
        <v>13</v>
      </c>
      <c r="L11" s="4">
        <v>17</v>
      </c>
      <c r="M11" s="4">
        <v>18</v>
      </c>
      <c r="N11" s="4">
        <v>19</v>
      </c>
      <c r="O11" s="4">
        <v>20</v>
      </c>
      <c r="P11" s="5">
        <v>21</v>
      </c>
      <c r="Q11" s="4">
        <v>22</v>
      </c>
      <c r="R11" s="6"/>
    </row>
    <row r="12" spans="1:18" ht="25.5" x14ac:dyDescent="0.25">
      <c r="A12" s="7">
        <v>1</v>
      </c>
      <c r="B12" s="8" t="s">
        <v>12</v>
      </c>
      <c r="C12" s="5">
        <f t="shared" ref="C12:P12" si="0">C154</f>
        <v>25387709</v>
      </c>
      <c r="D12" s="5">
        <f t="shared" si="0"/>
        <v>24210739</v>
      </c>
      <c r="E12" s="9">
        <f t="shared" si="0"/>
        <v>104.86135512013904</v>
      </c>
      <c r="F12" s="5">
        <f t="shared" si="0"/>
        <v>25387709</v>
      </c>
      <c r="G12" s="10">
        <f t="shared" si="0"/>
        <v>24210739</v>
      </c>
      <c r="H12" s="11">
        <f t="shared" si="0"/>
        <v>104.86135512013904</v>
      </c>
      <c r="I12" s="10">
        <f t="shared" si="0"/>
        <v>21774121</v>
      </c>
      <c r="J12" s="10">
        <f t="shared" si="0"/>
        <v>21935963</v>
      </c>
      <c r="K12" s="11">
        <f t="shared" si="0"/>
        <v>99.262206997705093</v>
      </c>
      <c r="L12" s="5">
        <f t="shared" si="0"/>
        <v>16049966</v>
      </c>
      <c r="M12" s="5">
        <f t="shared" si="0"/>
        <v>16814620</v>
      </c>
      <c r="N12" s="9">
        <f t="shared" si="0"/>
        <v>95.452445550360338</v>
      </c>
      <c r="O12" s="5">
        <f t="shared" si="0"/>
        <v>8973</v>
      </c>
      <c r="P12" s="9">
        <f t="shared" si="0"/>
        <v>156.82525353839296</v>
      </c>
      <c r="Q12" s="5">
        <f>Q154</f>
        <v>8995</v>
      </c>
      <c r="R12" s="12">
        <f t="shared" ref="R12:R21" si="1">O12*P12</f>
        <v>1407193</v>
      </c>
    </row>
    <row r="13" spans="1:18" ht="25.5" x14ac:dyDescent="0.25">
      <c r="A13" s="7">
        <v>2</v>
      </c>
      <c r="B13" s="8" t="s">
        <v>13</v>
      </c>
      <c r="C13" s="5">
        <f t="shared" ref="C13:P13" si="2">C162</f>
        <v>696384</v>
      </c>
      <c r="D13" s="5">
        <f t="shared" si="2"/>
        <v>943356</v>
      </c>
      <c r="E13" s="9">
        <f t="shared" si="2"/>
        <v>73.819851678475572</v>
      </c>
      <c r="F13" s="5">
        <f t="shared" si="2"/>
        <v>696384</v>
      </c>
      <c r="G13" s="10">
        <f t="shared" si="2"/>
        <v>943356</v>
      </c>
      <c r="H13" s="11">
        <f t="shared" si="2"/>
        <v>73.819851678475572</v>
      </c>
      <c r="I13" s="10">
        <f t="shared" si="2"/>
        <v>557511</v>
      </c>
      <c r="J13" s="10">
        <f t="shared" si="2"/>
        <v>546332</v>
      </c>
      <c r="K13" s="11">
        <f t="shared" si="2"/>
        <v>102.04619169296325</v>
      </c>
      <c r="L13" s="5">
        <f t="shared" si="2"/>
        <v>183665</v>
      </c>
      <c r="M13" s="5">
        <f t="shared" si="2"/>
        <v>211547</v>
      </c>
      <c r="N13" s="9">
        <f t="shared" si="2"/>
        <v>86.819950176556517</v>
      </c>
      <c r="O13" s="5">
        <f t="shared" si="2"/>
        <v>814</v>
      </c>
      <c r="P13" s="9">
        <f t="shared" si="2"/>
        <v>111.5970515970516</v>
      </c>
      <c r="Q13" s="5">
        <f>Q162</f>
        <v>1324</v>
      </c>
      <c r="R13" s="12">
        <f t="shared" si="1"/>
        <v>90840</v>
      </c>
    </row>
    <row r="14" spans="1:18" ht="17.25" customHeight="1" x14ac:dyDescent="0.25">
      <c r="A14" s="7">
        <v>3</v>
      </c>
      <c r="B14" s="8" t="s">
        <v>14</v>
      </c>
      <c r="C14" s="5">
        <f t="shared" ref="C14:P14" si="3">C176</f>
        <v>681880</v>
      </c>
      <c r="D14" s="5">
        <f t="shared" si="3"/>
        <v>326221</v>
      </c>
      <c r="E14" s="9">
        <f t="shared" si="3"/>
        <v>209.02394389079797</v>
      </c>
      <c r="F14" s="5">
        <f t="shared" si="3"/>
        <v>681880</v>
      </c>
      <c r="G14" s="10">
        <f t="shared" si="3"/>
        <v>326221</v>
      </c>
      <c r="H14" s="11">
        <f t="shared" si="3"/>
        <v>209.02394389079797</v>
      </c>
      <c r="I14" s="10">
        <f t="shared" si="3"/>
        <v>372311</v>
      </c>
      <c r="J14" s="10">
        <f t="shared" si="3"/>
        <v>319347</v>
      </c>
      <c r="K14" s="11">
        <f t="shared" si="3"/>
        <v>116.58509395735672</v>
      </c>
      <c r="L14" s="5">
        <f t="shared" si="3"/>
        <v>367962</v>
      </c>
      <c r="M14" s="5">
        <f t="shared" si="3"/>
        <v>325722</v>
      </c>
      <c r="N14" s="9">
        <f t="shared" si="3"/>
        <v>112.96811391309154</v>
      </c>
      <c r="O14" s="5">
        <f t="shared" si="3"/>
        <v>524</v>
      </c>
      <c r="P14" s="9">
        <f t="shared" si="3"/>
        <v>69.454198473282446</v>
      </c>
      <c r="Q14" s="5">
        <f>Q176</f>
        <v>488</v>
      </c>
      <c r="R14" s="12">
        <f t="shared" si="1"/>
        <v>36394</v>
      </c>
    </row>
    <row r="15" spans="1:18" ht="18" customHeight="1" x14ac:dyDescent="0.25">
      <c r="A15" s="7">
        <v>4</v>
      </c>
      <c r="B15" s="8" t="s">
        <v>15</v>
      </c>
      <c r="C15" s="5">
        <f t="shared" ref="C15:Q15" si="4">C60</f>
        <v>95555</v>
      </c>
      <c r="D15" s="10">
        <f t="shared" si="4"/>
        <v>146577</v>
      </c>
      <c r="E15" s="11">
        <f t="shared" si="4"/>
        <v>65.190991765420222</v>
      </c>
      <c r="F15" s="10">
        <f t="shared" si="4"/>
        <v>95555</v>
      </c>
      <c r="G15" s="10">
        <f t="shared" si="4"/>
        <v>146577</v>
      </c>
      <c r="H15" s="11">
        <f t="shared" si="4"/>
        <v>65.190991765420222</v>
      </c>
      <c r="I15" s="10">
        <f t="shared" si="4"/>
        <v>160957</v>
      </c>
      <c r="J15" s="10">
        <f t="shared" si="4"/>
        <v>154453</v>
      </c>
      <c r="K15" s="11">
        <f t="shared" si="4"/>
        <v>104.21098975092747</v>
      </c>
      <c r="L15" s="10">
        <f t="shared" si="4"/>
        <v>94294</v>
      </c>
      <c r="M15" s="10">
        <f t="shared" si="4"/>
        <v>95615</v>
      </c>
      <c r="N15" s="11">
        <f t="shared" si="4"/>
        <v>98.618417612299325</v>
      </c>
      <c r="O15" s="10">
        <f t="shared" si="4"/>
        <v>777</v>
      </c>
      <c r="P15" s="11">
        <f t="shared" si="4"/>
        <v>82.395109395109401</v>
      </c>
      <c r="Q15" s="10">
        <f t="shared" si="4"/>
        <v>801</v>
      </c>
      <c r="R15" s="12">
        <f t="shared" si="1"/>
        <v>64021.000000000007</v>
      </c>
    </row>
    <row r="16" spans="1:18" ht="16.5" customHeight="1" x14ac:dyDescent="0.25">
      <c r="A16" s="7">
        <v>5</v>
      </c>
      <c r="B16" s="8" t="s">
        <v>16</v>
      </c>
      <c r="C16" s="5">
        <f t="shared" ref="C16:Q16" si="5">C72</f>
        <v>43962</v>
      </c>
      <c r="D16" s="10">
        <f t="shared" si="5"/>
        <v>60314</v>
      </c>
      <c r="E16" s="11">
        <f t="shared" si="5"/>
        <v>72.888549922074475</v>
      </c>
      <c r="F16" s="10">
        <f t="shared" si="5"/>
        <v>43962</v>
      </c>
      <c r="G16" s="10">
        <f t="shared" si="5"/>
        <v>60314</v>
      </c>
      <c r="H16" s="11">
        <f t="shared" si="5"/>
        <v>72.888549922074475</v>
      </c>
      <c r="I16" s="10">
        <f t="shared" si="5"/>
        <v>65549</v>
      </c>
      <c r="J16" s="10">
        <f t="shared" si="5"/>
        <v>52926</v>
      </c>
      <c r="K16" s="11">
        <f t="shared" si="5"/>
        <v>123.85028152514832</v>
      </c>
      <c r="L16" s="10">
        <f t="shared" si="5"/>
        <v>38413</v>
      </c>
      <c r="M16" s="10">
        <f t="shared" si="5"/>
        <v>41849</v>
      </c>
      <c r="N16" s="11">
        <f t="shared" si="5"/>
        <v>91.789529021004086</v>
      </c>
      <c r="O16" s="10">
        <f t="shared" si="5"/>
        <v>502</v>
      </c>
      <c r="P16" s="11">
        <f t="shared" si="5"/>
        <v>77.758964143426297</v>
      </c>
      <c r="Q16" s="10">
        <f t="shared" si="5"/>
        <v>555</v>
      </c>
      <c r="R16" s="12">
        <f t="shared" si="1"/>
        <v>39035</v>
      </c>
    </row>
    <row r="17" spans="1:18" ht="16.5" customHeight="1" x14ac:dyDescent="0.25">
      <c r="A17" s="7">
        <v>6</v>
      </c>
      <c r="B17" s="8" t="s">
        <v>17</v>
      </c>
      <c r="C17" s="5">
        <f t="shared" ref="C17:Q17" si="6">C83</f>
        <v>135067</v>
      </c>
      <c r="D17" s="10">
        <f t="shared" si="6"/>
        <v>54511</v>
      </c>
      <c r="E17" s="11">
        <f t="shared" si="6"/>
        <v>247.77934728770342</v>
      </c>
      <c r="F17" s="10">
        <f t="shared" si="6"/>
        <v>135067</v>
      </c>
      <c r="G17" s="10">
        <f t="shared" si="6"/>
        <v>37287</v>
      </c>
      <c r="H17" s="11">
        <f t="shared" si="6"/>
        <v>362.23616810148309</v>
      </c>
      <c r="I17" s="10">
        <f t="shared" si="6"/>
        <v>93013</v>
      </c>
      <c r="J17" s="10">
        <f t="shared" si="6"/>
        <v>40591</v>
      </c>
      <c r="K17" s="11">
        <f t="shared" si="6"/>
        <v>229.14685521421006</v>
      </c>
      <c r="L17" s="10">
        <f t="shared" si="6"/>
        <v>33542</v>
      </c>
      <c r="M17" s="10">
        <f t="shared" si="6"/>
        <v>46</v>
      </c>
      <c r="N17" s="11">
        <f t="shared" si="6"/>
        <v>72917.391304347824</v>
      </c>
      <c r="O17" s="10">
        <f t="shared" si="6"/>
        <v>391</v>
      </c>
      <c r="P17" s="11">
        <f t="shared" si="6"/>
        <v>56.554987212276217</v>
      </c>
      <c r="Q17" s="10">
        <f t="shared" si="6"/>
        <v>430</v>
      </c>
      <c r="R17" s="12">
        <f t="shared" si="1"/>
        <v>22113</v>
      </c>
    </row>
    <row r="18" spans="1:18" ht="16.5" customHeight="1" x14ac:dyDescent="0.25">
      <c r="A18" s="7">
        <v>7</v>
      </c>
      <c r="B18" s="8" t="s">
        <v>18</v>
      </c>
      <c r="C18" s="5">
        <f t="shared" ref="C18:Q18" si="7">C98</f>
        <v>329615</v>
      </c>
      <c r="D18" s="10">
        <f t="shared" si="7"/>
        <v>343663</v>
      </c>
      <c r="E18" s="11">
        <f t="shared" si="7"/>
        <v>95.912274524752448</v>
      </c>
      <c r="F18" s="10">
        <f t="shared" si="7"/>
        <v>329615</v>
      </c>
      <c r="G18" s="10">
        <f t="shared" si="7"/>
        <v>343663</v>
      </c>
      <c r="H18" s="11">
        <f t="shared" si="7"/>
        <v>95.912274524752448</v>
      </c>
      <c r="I18" s="10">
        <f t="shared" si="7"/>
        <v>574008</v>
      </c>
      <c r="J18" s="10">
        <f t="shared" si="7"/>
        <v>486151</v>
      </c>
      <c r="K18" s="11">
        <f t="shared" si="7"/>
        <v>118.07195706683726</v>
      </c>
      <c r="L18" s="10">
        <f t="shared" si="7"/>
        <v>143236</v>
      </c>
      <c r="M18" s="10">
        <f t="shared" si="7"/>
        <v>124497</v>
      </c>
      <c r="N18" s="11">
        <f t="shared" si="7"/>
        <v>115.05176831570239</v>
      </c>
      <c r="O18" s="10">
        <f t="shared" si="7"/>
        <v>4098</v>
      </c>
      <c r="P18" s="11">
        <f t="shared" si="7"/>
        <v>107.0024402147389</v>
      </c>
      <c r="Q18" s="10">
        <f t="shared" si="7"/>
        <v>4100</v>
      </c>
      <c r="R18" s="12">
        <f t="shared" si="1"/>
        <v>438496</v>
      </c>
    </row>
    <row r="19" spans="1:18" ht="26.25" customHeight="1" x14ac:dyDescent="0.25">
      <c r="A19" s="7">
        <v>8</v>
      </c>
      <c r="B19" s="8" t="s">
        <v>19</v>
      </c>
      <c r="C19" s="5">
        <f t="shared" ref="C19:Q19" si="8">C126</f>
        <v>138767</v>
      </c>
      <c r="D19" s="10">
        <f t="shared" si="8"/>
        <v>319267</v>
      </c>
      <c r="E19" s="11">
        <f t="shared" si="8"/>
        <v>43.464247792599927</v>
      </c>
      <c r="F19" s="10">
        <f t="shared" si="8"/>
        <v>138767</v>
      </c>
      <c r="G19" s="10">
        <f t="shared" si="8"/>
        <v>319267</v>
      </c>
      <c r="H19" s="11">
        <f t="shared" si="8"/>
        <v>43.464247792599927</v>
      </c>
      <c r="I19" s="10">
        <f t="shared" si="8"/>
        <v>107621</v>
      </c>
      <c r="J19" s="10">
        <f t="shared" si="8"/>
        <v>280029</v>
      </c>
      <c r="K19" s="11">
        <f t="shared" si="8"/>
        <v>38.432090962007507</v>
      </c>
      <c r="L19" s="10">
        <f t="shared" si="8"/>
        <v>78391</v>
      </c>
      <c r="M19" s="10">
        <f t="shared" si="8"/>
        <v>35717</v>
      </c>
      <c r="N19" s="11">
        <f t="shared" si="8"/>
        <v>219.47811966290561</v>
      </c>
      <c r="O19" s="10">
        <f t="shared" si="8"/>
        <v>1800</v>
      </c>
      <c r="P19" s="11">
        <f t="shared" si="8"/>
        <v>65.537777777777777</v>
      </c>
      <c r="Q19" s="10">
        <f t="shared" si="8"/>
        <v>2110</v>
      </c>
      <c r="R19" s="12">
        <f t="shared" si="1"/>
        <v>117968</v>
      </c>
    </row>
    <row r="20" spans="1:18" ht="17.25" customHeight="1" x14ac:dyDescent="0.25">
      <c r="A20" s="7">
        <v>9</v>
      </c>
      <c r="B20" s="8" t="s">
        <v>20</v>
      </c>
      <c r="C20" s="5">
        <f t="shared" ref="C20:Q20" si="9">C136</f>
        <v>16261</v>
      </c>
      <c r="D20" s="10">
        <f t="shared" si="9"/>
        <v>3554</v>
      </c>
      <c r="E20" s="11">
        <f t="shared" si="9"/>
        <v>457.54079909960603</v>
      </c>
      <c r="F20" s="10">
        <f t="shared" si="9"/>
        <v>16261</v>
      </c>
      <c r="G20" s="10">
        <f t="shared" si="9"/>
        <v>3554</v>
      </c>
      <c r="H20" s="11">
        <f t="shared" si="9"/>
        <v>457.54079909960603</v>
      </c>
      <c r="I20" s="10">
        <f t="shared" si="9"/>
        <v>15099</v>
      </c>
      <c r="J20" s="10">
        <f t="shared" si="9"/>
        <v>4525</v>
      </c>
      <c r="K20" s="11">
        <f t="shared" si="9"/>
        <v>333.67955801104972</v>
      </c>
      <c r="L20" s="10">
        <f>L136</f>
        <v>0</v>
      </c>
      <c r="M20" s="10">
        <f t="shared" si="9"/>
        <v>0</v>
      </c>
      <c r="N20" s="11">
        <f t="shared" si="9"/>
        <v>0</v>
      </c>
      <c r="O20" s="10">
        <f t="shared" si="9"/>
        <v>135</v>
      </c>
      <c r="P20" s="11">
        <f t="shared" si="9"/>
        <v>73.555555555555557</v>
      </c>
      <c r="Q20" s="10">
        <f t="shared" si="9"/>
        <v>136</v>
      </c>
      <c r="R20" s="12">
        <f t="shared" si="1"/>
        <v>9930</v>
      </c>
    </row>
    <row r="21" spans="1:18" ht="25.5" x14ac:dyDescent="0.25">
      <c r="A21" s="7">
        <v>10</v>
      </c>
      <c r="B21" s="8" t="s">
        <v>21</v>
      </c>
      <c r="C21" s="5">
        <f t="shared" ref="C21:P21" si="10">C191</f>
        <v>53553.599999999999</v>
      </c>
      <c r="D21" s="10">
        <f t="shared" si="10"/>
        <v>96040.2</v>
      </c>
      <c r="E21" s="11">
        <f t="shared" si="10"/>
        <v>55.761649809142419</v>
      </c>
      <c r="F21" s="10">
        <f t="shared" si="10"/>
        <v>53554</v>
      </c>
      <c r="G21" s="10">
        <f t="shared" si="10"/>
        <v>96040.2</v>
      </c>
      <c r="H21" s="11">
        <f t="shared" si="10"/>
        <v>55.76206630140296</v>
      </c>
      <c r="I21" s="10">
        <f t="shared" si="10"/>
        <v>17253.7</v>
      </c>
      <c r="J21" s="10">
        <f t="shared" si="10"/>
        <v>94422.6</v>
      </c>
      <c r="K21" s="11">
        <f t="shared" si="10"/>
        <v>18.272849932113711</v>
      </c>
      <c r="L21" s="10">
        <f t="shared" si="10"/>
        <v>0</v>
      </c>
      <c r="M21" s="10">
        <f t="shared" si="10"/>
        <v>60324</v>
      </c>
      <c r="N21" s="11">
        <f t="shared" si="10"/>
        <v>0</v>
      </c>
      <c r="O21" s="10">
        <f t="shared" si="10"/>
        <v>679</v>
      </c>
      <c r="P21" s="11">
        <f t="shared" si="10"/>
        <v>113.15243004418262</v>
      </c>
      <c r="Q21" s="10">
        <f>Q191</f>
        <v>701</v>
      </c>
      <c r="R21" s="12">
        <f t="shared" si="1"/>
        <v>76830.5</v>
      </c>
    </row>
    <row r="22" spans="1:18" ht="19.5" customHeight="1" x14ac:dyDescent="0.25">
      <c r="A22" s="7">
        <v>11</v>
      </c>
      <c r="B22" s="8" t="s">
        <v>22</v>
      </c>
      <c r="C22" s="5">
        <f t="shared" ref="C22:P22" si="11">C196</f>
        <v>1491</v>
      </c>
      <c r="D22" s="10">
        <f t="shared" si="11"/>
        <v>4956</v>
      </c>
      <c r="E22" s="11">
        <f t="shared" si="11"/>
        <v>30.084745762711862</v>
      </c>
      <c r="F22" s="10">
        <f t="shared" si="11"/>
        <v>1491</v>
      </c>
      <c r="G22" s="10">
        <f t="shared" si="11"/>
        <v>4956</v>
      </c>
      <c r="H22" s="11">
        <f t="shared" si="11"/>
        <v>30.084745762711862</v>
      </c>
      <c r="I22" s="10">
        <f t="shared" si="11"/>
        <v>1491</v>
      </c>
      <c r="J22" s="10">
        <f t="shared" si="11"/>
        <v>4956</v>
      </c>
      <c r="K22" s="11">
        <f t="shared" si="11"/>
        <v>30.084745762711862</v>
      </c>
      <c r="L22" s="10">
        <f t="shared" si="11"/>
        <v>1491</v>
      </c>
      <c r="M22" s="10">
        <f t="shared" si="11"/>
        <v>4956</v>
      </c>
      <c r="N22" s="11">
        <f t="shared" si="11"/>
        <v>30.084745762711862</v>
      </c>
      <c r="O22" s="10">
        <f>O196</f>
        <v>243</v>
      </c>
      <c r="P22" s="11">
        <f t="shared" si="11"/>
        <v>60.08230452674897</v>
      </c>
      <c r="Q22" s="10">
        <f>Q196</f>
        <v>240</v>
      </c>
      <c r="R22" s="12"/>
    </row>
    <row r="23" spans="1:18" s="16" customFormat="1" ht="20.25" customHeight="1" x14ac:dyDescent="0.25">
      <c r="A23" s="336" t="s">
        <v>23</v>
      </c>
      <c r="B23" s="336" t="s">
        <v>23</v>
      </c>
      <c r="C23" s="13">
        <f>SUM(C12:C22)</f>
        <v>27580244.600000001</v>
      </c>
      <c r="D23" s="13">
        <f>SUM(D12:D22)</f>
        <v>26509198.199999999</v>
      </c>
      <c r="E23" s="14">
        <f>C23/D23*100</f>
        <v>104.04028213874837</v>
      </c>
      <c r="F23" s="13">
        <f>SUM(F12:F22)</f>
        <v>27580245</v>
      </c>
      <c r="G23" s="13">
        <f>SUM(G12:G22)</f>
        <v>26491974.199999999</v>
      </c>
      <c r="H23" s="14">
        <f>F23/G23*100</f>
        <v>104.10792639228828</v>
      </c>
      <c r="I23" s="13">
        <f>SUM(I12:I22)</f>
        <v>23738934.699999999</v>
      </c>
      <c r="J23" s="13">
        <f>SUM(J12:J22)</f>
        <v>23919695.600000001</v>
      </c>
      <c r="K23" s="14">
        <f>I23/J23*100</f>
        <v>99.244301001890662</v>
      </c>
      <c r="L23" s="13">
        <f>SUM(L12:L22)</f>
        <v>16990960</v>
      </c>
      <c r="M23" s="13">
        <f>SUM(M12:M22)</f>
        <v>17714893</v>
      </c>
      <c r="N23" s="14">
        <f>L23/M23*100</f>
        <v>95.913421548749966</v>
      </c>
      <c r="O23" s="13">
        <f>SUM(O12:O22)</f>
        <v>18936</v>
      </c>
      <c r="P23" s="14">
        <f>R23/O23</f>
        <v>121.61071504013519</v>
      </c>
      <c r="Q23" s="13">
        <f>SUM(Q12:Q22)</f>
        <v>19880</v>
      </c>
      <c r="R23" s="15">
        <f>SUM(R12:R22)</f>
        <v>2302820.5</v>
      </c>
    </row>
    <row r="24" spans="1:18" x14ac:dyDescent="0.2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7"/>
      <c r="Q24" s="17"/>
      <c r="R24" s="18"/>
    </row>
    <row r="25" spans="1:18" s="22" customFormat="1" x14ac:dyDescent="0.25">
      <c r="A25" s="19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20"/>
      <c r="Q25" s="20"/>
      <c r="R25" s="21"/>
    </row>
    <row r="26" spans="1:18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18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 ht="66.75" customHeight="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x14ac:dyDescent="0.25">
      <c r="A30" s="18"/>
      <c r="B30" s="18"/>
      <c r="C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18" x14ac:dyDescent="0.25">
      <c r="A31" s="18"/>
      <c r="B31" s="18"/>
      <c r="C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spans="1:18" x14ac:dyDescent="0.25">
      <c r="A32" s="18"/>
      <c r="B32" s="18"/>
      <c r="C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</row>
    <row r="33" spans="1:18" x14ac:dyDescent="0.25">
      <c r="A33" s="18"/>
      <c r="B33" s="18"/>
      <c r="C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</row>
    <row r="34" spans="1:18" x14ac:dyDescent="0.25">
      <c r="A34" s="18"/>
      <c r="B34" s="18"/>
      <c r="C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</row>
    <row r="35" spans="1:18" x14ac:dyDescent="0.25">
      <c r="A35" s="18"/>
      <c r="B35" s="18"/>
      <c r="C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</row>
    <row r="36" spans="1:18" s="24" customFormat="1" ht="13.5" customHeight="1" x14ac:dyDescent="0.2">
      <c r="A36" s="325" t="s">
        <v>170</v>
      </c>
      <c r="B36" s="325"/>
      <c r="C36" s="325"/>
      <c r="D36" s="325"/>
      <c r="E36" s="325"/>
      <c r="F36" s="325"/>
      <c r="G36" s="325"/>
      <c r="H36" s="325"/>
      <c r="I36" s="325"/>
      <c r="J36" s="325"/>
      <c r="K36" s="325"/>
      <c r="L36" s="325"/>
      <c r="M36" s="325"/>
      <c r="N36" s="325"/>
      <c r="O36" s="325"/>
      <c r="P36" s="325"/>
      <c r="Q36" s="325"/>
      <c r="R36" s="23"/>
    </row>
    <row r="37" spans="1:18" s="24" customFormat="1" ht="14.25" x14ac:dyDescent="0.2">
      <c r="A37" s="325"/>
      <c r="B37" s="325"/>
      <c r="C37" s="325"/>
      <c r="D37" s="325"/>
      <c r="E37" s="325"/>
      <c r="F37" s="325"/>
      <c r="G37" s="325"/>
      <c r="H37" s="325"/>
      <c r="I37" s="325"/>
      <c r="J37" s="325"/>
      <c r="K37" s="325"/>
      <c r="L37" s="325"/>
      <c r="M37" s="325"/>
      <c r="N37" s="325"/>
      <c r="O37" s="325"/>
      <c r="P37" s="325"/>
      <c r="Q37" s="325"/>
      <c r="R37" s="23"/>
    </row>
    <row r="38" spans="1:18" s="24" customFormat="1" ht="9" customHeight="1" x14ac:dyDescent="0.2">
      <c r="A38" s="326"/>
      <c r="B38" s="326"/>
      <c r="C38" s="326"/>
      <c r="D38" s="326"/>
      <c r="E38" s="326"/>
      <c r="F38" s="326"/>
      <c r="G38" s="326"/>
      <c r="H38" s="326"/>
      <c r="I38" s="326"/>
      <c r="J38" s="326"/>
      <c r="K38" s="326"/>
      <c r="L38" s="326"/>
      <c r="M38" s="326"/>
      <c r="N38" s="326"/>
      <c r="O38" s="326"/>
      <c r="P38" s="326"/>
      <c r="Q38" s="326"/>
      <c r="R38" s="25"/>
    </row>
    <row r="39" spans="1:18" x14ac:dyDescent="0.25">
      <c r="A39" s="327" t="s">
        <v>0</v>
      </c>
      <c r="B39" s="329" t="s">
        <v>24</v>
      </c>
      <c r="C39" s="331" t="s">
        <v>172</v>
      </c>
      <c r="D39" s="331"/>
      <c r="E39" s="331"/>
      <c r="F39" s="331"/>
      <c r="G39" s="331"/>
      <c r="H39" s="331" t="s">
        <v>2</v>
      </c>
      <c r="I39" s="331"/>
      <c r="J39" s="331"/>
      <c r="K39" s="331"/>
      <c r="L39" s="26"/>
      <c r="M39" s="26" t="s">
        <v>3</v>
      </c>
      <c r="N39" s="27"/>
      <c r="O39" s="329" t="s">
        <v>25</v>
      </c>
      <c r="P39" s="332" t="s">
        <v>26</v>
      </c>
      <c r="Q39" s="329" t="s">
        <v>27</v>
      </c>
      <c r="R39" s="28"/>
    </row>
    <row r="40" spans="1:18" ht="60" x14ac:dyDescent="0.25">
      <c r="A40" s="328"/>
      <c r="B40" s="330"/>
      <c r="C40" s="29" t="s">
        <v>7</v>
      </c>
      <c r="D40" s="29" t="s">
        <v>28</v>
      </c>
      <c r="E40" s="30" t="s">
        <v>29</v>
      </c>
      <c r="F40" s="29" t="s">
        <v>10</v>
      </c>
      <c r="G40" s="29" t="s">
        <v>30</v>
      </c>
      <c r="H40" s="30" t="s">
        <v>29</v>
      </c>
      <c r="I40" s="29" t="s">
        <v>11</v>
      </c>
      <c r="J40" s="29" t="s">
        <v>28</v>
      </c>
      <c r="K40" s="30" t="s">
        <v>29</v>
      </c>
      <c r="L40" s="29" t="s">
        <v>11</v>
      </c>
      <c r="M40" s="29" t="s">
        <v>28</v>
      </c>
      <c r="N40" s="30" t="s">
        <v>29</v>
      </c>
      <c r="O40" s="330"/>
      <c r="P40" s="333"/>
      <c r="Q40" s="330"/>
      <c r="R40" s="31"/>
    </row>
    <row r="41" spans="1:18" x14ac:dyDescent="0.25">
      <c r="A41" s="32"/>
      <c r="B41" s="33" t="s">
        <v>31</v>
      </c>
      <c r="C41" s="32"/>
      <c r="D41" s="32"/>
      <c r="E41" s="32"/>
      <c r="F41" s="32"/>
      <c r="G41" s="32"/>
      <c r="H41" s="32"/>
      <c r="I41" s="32"/>
      <c r="J41" s="32"/>
      <c r="K41" s="34"/>
      <c r="L41" s="32"/>
      <c r="M41" s="32"/>
      <c r="N41" s="32"/>
      <c r="O41" s="32"/>
      <c r="P41" s="35"/>
      <c r="Q41" s="35"/>
      <c r="R41" s="36"/>
    </row>
    <row r="42" spans="1:18" x14ac:dyDescent="0.25">
      <c r="A42" s="319" t="s">
        <v>32</v>
      </c>
      <c r="B42" s="320"/>
      <c r="C42" s="37">
        <v>3</v>
      </c>
      <c r="D42" s="37">
        <v>4</v>
      </c>
      <c r="E42" s="38">
        <v>5</v>
      </c>
      <c r="F42" s="37">
        <v>6</v>
      </c>
      <c r="G42" s="37">
        <v>7</v>
      </c>
      <c r="H42" s="37">
        <v>8</v>
      </c>
      <c r="I42" s="37">
        <v>9</v>
      </c>
      <c r="J42" s="37">
        <v>10</v>
      </c>
      <c r="K42" s="37">
        <v>11</v>
      </c>
      <c r="L42" s="37">
        <v>12</v>
      </c>
      <c r="M42" s="37">
        <v>13</v>
      </c>
      <c r="N42" s="37">
        <v>14</v>
      </c>
      <c r="O42" s="37">
        <v>15</v>
      </c>
      <c r="P42" s="38">
        <v>16</v>
      </c>
      <c r="Q42" s="37">
        <v>17</v>
      </c>
      <c r="R42" s="39"/>
    </row>
    <row r="43" spans="1:18" x14ac:dyDescent="0.25">
      <c r="A43" s="40">
        <v>1</v>
      </c>
      <c r="B43" s="41" t="s">
        <v>33</v>
      </c>
      <c r="C43" s="42">
        <v>7209</v>
      </c>
      <c r="D43" s="42">
        <v>4251</v>
      </c>
      <c r="E43" s="43">
        <f t="shared" ref="E43:E60" si="12">C43/D43*100</f>
        <v>169.58362738179252</v>
      </c>
      <c r="F43" s="42">
        <v>7209</v>
      </c>
      <c r="G43" s="42">
        <v>4251</v>
      </c>
      <c r="H43" s="43">
        <f>F43/G43*100</f>
        <v>169.58362738179252</v>
      </c>
      <c r="I43" s="42">
        <v>7209</v>
      </c>
      <c r="J43" s="42">
        <v>4251</v>
      </c>
      <c r="K43" s="43">
        <f>I43/J43*100</f>
        <v>169.58362738179252</v>
      </c>
      <c r="L43" s="42">
        <v>0</v>
      </c>
      <c r="M43" s="42">
        <v>0</v>
      </c>
      <c r="N43" s="43">
        <v>0</v>
      </c>
      <c r="O43" s="107">
        <v>90</v>
      </c>
      <c r="P43" s="44">
        <v>75</v>
      </c>
      <c r="Q43" s="42">
        <v>90</v>
      </c>
      <c r="R43" s="45">
        <f t="shared" ref="R43:R59" si="13">Q43*P43</f>
        <v>6750</v>
      </c>
    </row>
    <row r="44" spans="1:18" x14ac:dyDescent="0.25">
      <c r="A44" s="40">
        <v>2</v>
      </c>
      <c r="B44" s="41" t="s">
        <v>34</v>
      </c>
      <c r="C44" s="42">
        <v>0</v>
      </c>
      <c r="D44" s="42">
        <v>0</v>
      </c>
      <c r="E44" s="43">
        <v>0</v>
      </c>
      <c r="F44" s="42">
        <v>0</v>
      </c>
      <c r="G44" s="42">
        <v>0</v>
      </c>
      <c r="H44" s="43">
        <v>0</v>
      </c>
      <c r="I44" s="42">
        <v>0</v>
      </c>
      <c r="J44" s="42">
        <v>0</v>
      </c>
      <c r="K44" s="43">
        <v>0</v>
      </c>
      <c r="L44" s="42">
        <v>0</v>
      </c>
      <c r="M44" s="42">
        <v>0</v>
      </c>
      <c r="N44" s="47">
        <v>0</v>
      </c>
      <c r="O44" s="107">
        <v>0</v>
      </c>
      <c r="P44" s="44">
        <v>0</v>
      </c>
      <c r="Q44" s="46">
        <v>0</v>
      </c>
      <c r="R44" s="45">
        <f t="shared" si="13"/>
        <v>0</v>
      </c>
    </row>
    <row r="45" spans="1:18" x14ac:dyDescent="0.25">
      <c r="A45" s="40">
        <v>3</v>
      </c>
      <c r="B45" s="41" t="s">
        <v>35</v>
      </c>
      <c r="C45" s="42">
        <v>0</v>
      </c>
      <c r="D45" s="42">
        <v>0</v>
      </c>
      <c r="E45" s="43">
        <v>0</v>
      </c>
      <c r="F45" s="42">
        <v>0</v>
      </c>
      <c r="G45" s="42">
        <v>0</v>
      </c>
      <c r="H45" s="43">
        <v>0</v>
      </c>
      <c r="I45" s="42">
        <v>5548</v>
      </c>
      <c r="J45" s="42">
        <v>8921</v>
      </c>
      <c r="K45" s="43">
        <f>I45/J45*100</f>
        <v>62.190337406120392</v>
      </c>
      <c r="L45" s="42">
        <v>0</v>
      </c>
      <c r="M45" s="42">
        <v>0</v>
      </c>
      <c r="N45" s="43">
        <v>0</v>
      </c>
      <c r="O45" s="107">
        <v>20</v>
      </c>
      <c r="P45" s="44">
        <v>60</v>
      </c>
      <c r="Q45" s="42">
        <v>33</v>
      </c>
      <c r="R45" s="45">
        <f t="shared" si="13"/>
        <v>1980</v>
      </c>
    </row>
    <row r="46" spans="1:18" x14ac:dyDescent="0.25">
      <c r="A46" s="40">
        <v>4</v>
      </c>
      <c r="B46" s="41" t="s">
        <v>36</v>
      </c>
      <c r="C46" s="42">
        <v>0</v>
      </c>
      <c r="D46" s="42">
        <v>0</v>
      </c>
      <c r="E46" s="43">
        <v>0</v>
      </c>
      <c r="F46" s="42">
        <v>0</v>
      </c>
      <c r="G46" s="42">
        <v>0</v>
      </c>
      <c r="H46" s="43">
        <v>0</v>
      </c>
      <c r="I46" s="42">
        <v>0</v>
      </c>
      <c r="J46" s="42">
        <v>0</v>
      </c>
      <c r="K46" s="43">
        <v>0</v>
      </c>
      <c r="L46" s="42">
        <v>0</v>
      </c>
      <c r="M46" s="42">
        <v>0</v>
      </c>
      <c r="N46" s="43">
        <v>0</v>
      </c>
      <c r="O46" s="107">
        <v>21</v>
      </c>
      <c r="P46" s="44">
        <v>60</v>
      </c>
      <c r="Q46" s="42">
        <v>21</v>
      </c>
      <c r="R46" s="45">
        <f t="shared" si="13"/>
        <v>1260</v>
      </c>
    </row>
    <row r="47" spans="1:18" x14ac:dyDescent="0.25">
      <c r="A47" s="40">
        <v>5</v>
      </c>
      <c r="B47" s="41" t="s">
        <v>37</v>
      </c>
      <c r="C47" s="48">
        <v>4527</v>
      </c>
      <c r="D47" s="48">
        <v>1240</v>
      </c>
      <c r="E47" s="43">
        <f t="shared" si="12"/>
        <v>365.08064516129031</v>
      </c>
      <c r="F47" s="48">
        <v>4527</v>
      </c>
      <c r="G47" s="48">
        <v>1240</v>
      </c>
      <c r="H47" s="43">
        <f t="shared" ref="H47" si="14">F47/G47*100</f>
        <v>365.08064516129031</v>
      </c>
      <c r="I47" s="48">
        <v>6788</v>
      </c>
      <c r="J47" s="48">
        <v>1715</v>
      </c>
      <c r="K47" s="43">
        <f t="shared" ref="K47:K60" si="15">I47/J47*100</f>
        <v>395.80174927113706</v>
      </c>
      <c r="L47" s="48">
        <v>0</v>
      </c>
      <c r="M47" s="48">
        <v>0</v>
      </c>
      <c r="N47" s="43">
        <v>0</v>
      </c>
      <c r="O47" s="107">
        <v>50</v>
      </c>
      <c r="P47" s="44">
        <v>55</v>
      </c>
      <c r="Q47" s="44">
        <v>50</v>
      </c>
      <c r="R47" s="45">
        <f t="shared" si="13"/>
        <v>2750</v>
      </c>
    </row>
    <row r="48" spans="1:18" x14ac:dyDescent="0.25">
      <c r="A48" s="40">
        <v>6</v>
      </c>
      <c r="B48" s="41" t="s">
        <v>38</v>
      </c>
      <c r="C48" s="49">
        <v>3806</v>
      </c>
      <c r="D48" s="42">
        <v>0</v>
      </c>
      <c r="E48" s="43">
        <v>0</v>
      </c>
      <c r="F48" s="42">
        <v>3806</v>
      </c>
      <c r="G48" s="42">
        <v>0</v>
      </c>
      <c r="H48" s="43">
        <v>0</v>
      </c>
      <c r="I48" s="42">
        <v>3512</v>
      </c>
      <c r="J48" s="42">
        <v>2288</v>
      </c>
      <c r="K48" s="43">
        <f t="shared" si="15"/>
        <v>153.49650349650349</v>
      </c>
      <c r="L48" s="42">
        <v>0</v>
      </c>
      <c r="M48" s="42">
        <v>0</v>
      </c>
      <c r="N48" s="43">
        <v>0</v>
      </c>
      <c r="O48" s="107">
        <v>63</v>
      </c>
      <c r="P48" s="44">
        <v>75</v>
      </c>
      <c r="Q48" s="42">
        <v>66</v>
      </c>
      <c r="R48" s="45">
        <f t="shared" si="13"/>
        <v>4950</v>
      </c>
    </row>
    <row r="49" spans="1:18" x14ac:dyDescent="0.25">
      <c r="A49" s="40">
        <v>7</v>
      </c>
      <c r="B49" s="41" t="s">
        <v>39</v>
      </c>
      <c r="C49" s="42">
        <v>0</v>
      </c>
      <c r="D49" s="42">
        <v>0</v>
      </c>
      <c r="E49" s="43">
        <v>0</v>
      </c>
      <c r="F49" s="42">
        <v>0</v>
      </c>
      <c r="G49" s="42">
        <v>0</v>
      </c>
      <c r="H49" s="43">
        <v>0</v>
      </c>
      <c r="I49" s="42">
        <v>0</v>
      </c>
      <c r="J49" s="42">
        <v>0</v>
      </c>
      <c r="K49" s="43">
        <v>0</v>
      </c>
      <c r="L49" s="42">
        <v>0</v>
      </c>
      <c r="M49" s="42">
        <v>0</v>
      </c>
      <c r="N49" s="43">
        <v>0</v>
      </c>
      <c r="O49" s="107">
        <v>26</v>
      </c>
      <c r="P49" s="44">
        <v>75</v>
      </c>
      <c r="Q49" s="42">
        <v>26</v>
      </c>
      <c r="R49" s="45">
        <f t="shared" si="13"/>
        <v>1950</v>
      </c>
    </row>
    <row r="50" spans="1:18" x14ac:dyDescent="0.25">
      <c r="A50" s="40">
        <v>8</v>
      </c>
      <c r="B50" s="41" t="s">
        <v>41</v>
      </c>
      <c r="C50" s="51">
        <v>6914</v>
      </c>
      <c r="D50" s="42">
        <v>4585</v>
      </c>
      <c r="E50" s="43">
        <f t="shared" si="12"/>
        <v>150.79607415485279</v>
      </c>
      <c r="F50" s="42">
        <v>6914</v>
      </c>
      <c r="G50" s="42">
        <v>4585</v>
      </c>
      <c r="H50" s="43">
        <f t="shared" ref="H50:H60" si="16">F50/G50*100</f>
        <v>150.79607415485279</v>
      </c>
      <c r="I50" s="42">
        <v>9564</v>
      </c>
      <c r="J50" s="42">
        <v>5231</v>
      </c>
      <c r="K50" s="43">
        <f t="shared" si="15"/>
        <v>182.83311030395717</v>
      </c>
      <c r="L50" s="42">
        <v>0</v>
      </c>
      <c r="M50" s="42">
        <v>0</v>
      </c>
      <c r="N50" s="43">
        <v>0</v>
      </c>
      <c r="O50" s="107">
        <v>48</v>
      </c>
      <c r="P50" s="44">
        <v>80</v>
      </c>
      <c r="Q50" s="42">
        <v>49</v>
      </c>
      <c r="R50" s="45">
        <f t="shared" si="13"/>
        <v>3920</v>
      </c>
    </row>
    <row r="51" spans="1:18" x14ac:dyDescent="0.25">
      <c r="A51" s="40">
        <v>9</v>
      </c>
      <c r="B51" s="41" t="s">
        <v>42</v>
      </c>
      <c r="C51" s="51">
        <v>12645</v>
      </c>
      <c r="D51" s="42">
        <v>5610</v>
      </c>
      <c r="E51" s="52">
        <f t="shared" si="12"/>
        <v>225.40106951871655</v>
      </c>
      <c r="F51" s="42">
        <v>12645</v>
      </c>
      <c r="G51" s="42">
        <v>5610</v>
      </c>
      <c r="H51" s="43">
        <f t="shared" si="16"/>
        <v>225.40106951871655</v>
      </c>
      <c r="I51" s="42">
        <v>1501</v>
      </c>
      <c r="J51" s="53">
        <v>837</v>
      </c>
      <c r="K51" s="43">
        <f t="shared" si="15"/>
        <v>179.33094384707289</v>
      </c>
      <c r="L51" s="42">
        <v>0</v>
      </c>
      <c r="M51" s="42">
        <v>0</v>
      </c>
      <c r="N51" s="43">
        <v>0</v>
      </c>
      <c r="O51" s="107">
        <v>77</v>
      </c>
      <c r="P51" s="44">
        <v>80</v>
      </c>
      <c r="Q51" s="42">
        <v>76</v>
      </c>
      <c r="R51" s="45">
        <f t="shared" si="13"/>
        <v>6080</v>
      </c>
    </row>
    <row r="52" spans="1:18" x14ac:dyDescent="0.25">
      <c r="A52" s="40">
        <v>10</v>
      </c>
      <c r="B52" s="41" t="s">
        <v>43</v>
      </c>
      <c r="C52" s="51">
        <v>9526</v>
      </c>
      <c r="D52" s="42">
        <v>88457</v>
      </c>
      <c r="E52" s="43">
        <f t="shared" si="12"/>
        <v>10.769074239460981</v>
      </c>
      <c r="F52" s="51">
        <v>9526</v>
      </c>
      <c r="G52" s="42">
        <v>88457</v>
      </c>
      <c r="H52" s="43">
        <v>0</v>
      </c>
      <c r="I52" s="42">
        <v>90648</v>
      </c>
      <c r="J52" s="42">
        <v>91770</v>
      </c>
      <c r="K52" s="43">
        <f t="shared" si="15"/>
        <v>98.777378228179145</v>
      </c>
      <c r="L52" s="42">
        <v>90648</v>
      </c>
      <c r="M52" s="42">
        <v>91770</v>
      </c>
      <c r="N52" s="43">
        <f t="shared" ref="N52:N54" si="17">L52/M52*100</f>
        <v>98.777378228179145</v>
      </c>
      <c r="O52" s="107">
        <v>180</v>
      </c>
      <c r="P52" s="44">
        <v>84</v>
      </c>
      <c r="Q52" s="42">
        <v>180</v>
      </c>
      <c r="R52" s="45">
        <f t="shared" si="13"/>
        <v>15120</v>
      </c>
    </row>
    <row r="53" spans="1:18" x14ac:dyDescent="0.25">
      <c r="A53" s="40">
        <v>11</v>
      </c>
      <c r="B53" s="41" t="s">
        <v>44</v>
      </c>
      <c r="C53" s="51">
        <v>0</v>
      </c>
      <c r="D53" s="42">
        <v>1382</v>
      </c>
      <c r="E53" s="43">
        <f t="shared" si="12"/>
        <v>0</v>
      </c>
      <c r="F53" s="42">
        <v>0</v>
      </c>
      <c r="G53" s="42">
        <v>1382</v>
      </c>
      <c r="H53" s="43">
        <v>0</v>
      </c>
      <c r="I53" s="42">
        <v>0</v>
      </c>
      <c r="J53" s="42">
        <v>2464</v>
      </c>
      <c r="K53" s="43">
        <f t="shared" si="15"/>
        <v>0</v>
      </c>
      <c r="L53" s="42">
        <v>0</v>
      </c>
      <c r="M53" s="42">
        <v>2464</v>
      </c>
      <c r="N53" s="43">
        <f t="shared" si="17"/>
        <v>0</v>
      </c>
      <c r="O53" s="107">
        <v>13</v>
      </c>
      <c r="P53" s="44">
        <v>65</v>
      </c>
      <c r="Q53" s="42">
        <v>23</v>
      </c>
      <c r="R53" s="45">
        <f t="shared" si="13"/>
        <v>1495</v>
      </c>
    </row>
    <row r="54" spans="1:18" x14ac:dyDescent="0.25">
      <c r="A54" s="40">
        <v>12</v>
      </c>
      <c r="B54" s="41" t="s">
        <v>45</v>
      </c>
      <c r="C54" s="42">
        <v>12036</v>
      </c>
      <c r="D54" s="42">
        <v>8987</v>
      </c>
      <c r="E54" s="43">
        <f t="shared" si="12"/>
        <v>133.9267831311895</v>
      </c>
      <c r="F54" s="54">
        <v>12036</v>
      </c>
      <c r="G54" s="54">
        <v>8987</v>
      </c>
      <c r="H54" s="43">
        <f t="shared" si="16"/>
        <v>133.9267831311895</v>
      </c>
      <c r="I54" s="54">
        <v>3646</v>
      </c>
      <c r="J54" s="54">
        <v>1381</v>
      </c>
      <c r="K54" s="43">
        <f t="shared" si="15"/>
        <v>264.01158580738598</v>
      </c>
      <c r="L54" s="55">
        <v>3646</v>
      </c>
      <c r="M54" s="54">
        <v>1381</v>
      </c>
      <c r="N54" s="43">
        <f t="shared" si="17"/>
        <v>264.01158580738598</v>
      </c>
      <c r="O54" s="107">
        <v>27</v>
      </c>
      <c r="P54" s="44">
        <v>108</v>
      </c>
      <c r="Q54" s="42">
        <v>27</v>
      </c>
      <c r="R54" s="45">
        <f t="shared" si="13"/>
        <v>2916</v>
      </c>
    </row>
    <row r="55" spans="1:18" x14ac:dyDescent="0.25">
      <c r="A55" s="40">
        <v>13</v>
      </c>
      <c r="B55" s="41" t="s">
        <v>46</v>
      </c>
      <c r="C55" s="49">
        <v>29805</v>
      </c>
      <c r="D55" s="49">
        <v>30500</v>
      </c>
      <c r="E55" s="43">
        <f t="shared" si="12"/>
        <v>97.721311475409834</v>
      </c>
      <c r="F55" s="49">
        <v>29805</v>
      </c>
      <c r="G55" s="49">
        <v>30500</v>
      </c>
      <c r="H55" s="43">
        <f t="shared" si="16"/>
        <v>97.721311475409834</v>
      </c>
      <c r="I55" s="42">
        <v>22456</v>
      </c>
      <c r="J55" s="42">
        <v>34091</v>
      </c>
      <c r="K55" s="43">
        <f t="shared" si="15"/>
        <v>65.870757677979526</v>
      </c>
      <c r="L55" s="49">
        <v>0</v>
      </c>
      <c r="M55" s="49">
        <v>0</v>
      </c>
      <c r="N55" s="43">
        <v>0</v>
      </c>
      <c r="O55" s="107">
        <v>83</v>
      </c>
      <c r="P55" s="44">
        <v>110</v>
      </c>
      <c r="Q55" s="42">
        <v>81</v>
      </c>
      <c r="R55" s="45">
        <f t="shared" si="13"/>
        <v>8910</v>
      </c>
    </row>
    <row r="56" spans="1:18" x14ac:dyDescent="0.25">
      <c r="A56" s="40">
        <v>14</v>
      </c>
      <c r="B56" s="41" t="s">
        <v>47</v>
      </c>
      <c r="C56" s="46">
        <v>1287</v>
      </c>
      <c r="D56" s="46">
        <v>1565</v>
      </c>
      <c r="E56" s="47">
        <f t="shared" si="12"/>
        <v>82.236421725239623</v>
      </c>
      <c r="F56" s="46">
        <v>1287</v>
      </c>
      <c r="G56" s="46">
        <v>1565</v>
      </c>
      <c r="H56" s="47">
        <f t="shared" si="16"/>
        <v>82.236421725239623</v>
      </c>
      <c r="I56" s="46">
        <v>2285</v>
      </c>
      <c r="J56" s="46">
        <v>1504</v>
      </c>
      <c r="K56" s="47">
        <f t="shared" si="15"/>
        <v>151.92819148936169</v>
      </c>
      <c r="L56" s="46">
        <v>0</v>
      </c>
      <c r="M56" s="46">
        <v>0</v>
      </c>
      <c r="N56" s="43">
        <v>0</v>
      </c>
      <c r="O56" s="107">
        <v>13</v>
      </c>
      <c r="P56" s="44">
        <v>80</v>
      </c>
      <c r="Q56" s="46">
        <v>13</v>
      </c>
      <c r="R56" s="45">
        <f t="shared" si="13"/>
        <v>1040</v>
      </c>
    </row>
    <row r="57" spans="1:18" x14ac:dyDescent="0.25">
      <c r="A57" s="40">
        <v>15</v>
      </c>
      <c r="B57" s="41" t="s">
        <v>48</v>
      </c>
      <c r="C57" s="42">
        <v>0</v>
      </c>
      <c r="D57" s="53">
        <v>0</v>
      </c>
      <c r="E57" s="43">
        <v>0</v>
      </c>
      <c r="F57" s="42">
        <v>0</v>
      </c>
      <c r="G57" s="42">
        <v>0</v>
      </c>
      <c r="H57" s="47">
        <v>0</v>
      </c>
      <c r="I57" s="42">
        <v>0</v>
      </c>
      <c r="J57" s="42">
        <v>0</v>
      </c>
      <c r="K57" s="43">
        <v>0</v>
      </c>
      <c r="L57" s="42">
        <v>0</v>
      </c>
      <c r="M57" s="42">
        <v>0</v>
      </c>
      <c r="N57" s="43">
        <v>0</v>
      </c>
      <c r="O57" s="107">
        <v>50</v>
      </c>
      <c r="P57" s="44">
        <v>80</v>
      </c>
      <c r="Q57" s="42">
        <v>50</v>
      </c>
      <c r="R57" s="45">
        <f t="shared" si="13"/>
        <v>4000</v>
      </c>
    </row>
    <row r="58" spans="1:18" x14ac:dyDescent="0.25">
      <c r="A58" s="40">
        <v>16</v>
      </c>
      <c r="B58" s="41" t="s">
        <v>49</v>
      </c>
      <c r="C58" s="46">
        <v>0</v>
      </c>
      <c r="D58" s="46">
        <v>0</v>
      </c>
      <c r="E58" s="47">
        <v>0</v>
      </c>
      <c r="F58" s="46">
        <v>0</v>
      </c>
      <c r="G58" s="46">
        <v>0</v>
      </c>
      <c r="H58" s="47">
        <v>0</v>
      </c>
      <c r="I58" s="46">
        <v>0</v>
      </c>
      <c r="J58" s="46">
        <v>0</v>
      </c>
      <c r="K58" s="43">
        <v>0</v>
      </c>
      <c r="L58" s="46">
        <v>0</v>
      </c>
      <c r="M58" s="46">
        <v>0</v>
      </c>
      <c r="N58" s="47">
        <v>0</v>
      </c>
      <c r="O58" s="107">
        <v>3</v>
      </c>
      <c r="P58" s="44">
        <v>40</v>
      </c>
      <c r="Q58" s="46">
        <v>3</v>
      </c>
      <c r="R58" s="45">
        <f t="shared" si="13"/>
        <v>120</v>
      </c>
    </row>
    <row r="59" spans="1:18" x14ac:dyDescent="0.25">
      <c r="A59" s="40">
        <v>17</v>
      </c>
      <c r="B59" s="41" t="s">
        <v>169</v>
      </c>
      <c r="C59" s="132">
        <v>7800</v>
      </c>
      <c r="D59" s="132">
        <v>0</v>
      </c>
      <c r="E59" s="47">
        <v>0</v>
      </c>
      <c r="F59" s="132">
        <v>7800</v>
      </c>
      <c r="G59" s="132">
        <v>0</v>
      </c>
      <c r="H59" s="47">
        <v>0</v>
      </c>
      <c r="I59" s="132">
        <v>7800</v>
      </c>
      <c r="J59" s="132">
        <v>0</v>
      </c>
      <c r="K59" s="43">
        <v>0</v>
      </c>
      <c r="L59" s="132">
        <v>0</v>
      </c>
      <c r="M59" s="132">
        <v>0</v>
      </c>
      <c r="N59" s="47">
        <v>0</v>
      </c>
      <c r="O59" s="132">
        <v>13</v>
      </c>
      <c r="P59" s="44">
        <v>60</v>
      </c>
      <c r="Q59" s="132">
        <v>13</v>
      </c>
      <c r="R59" s="45">
        <f t="shared" si="13"/>
        <v>780</v>
      </c>
    </row>
    <row r="60" spans="1:18" s="60" customFormat="1" x14ac:dyDescent="0.25">
      <c r="A60" s="315" t="s">
        <v>50</v>
      </c>
      <c r="B60" s="315"/>
      <c r="C60" s="56">
        <f>SUM(C43:C59)</f>
        <v>95555</v>
      </c>
      <c r="D60" s="56">
        <f>SUM(D43:D59)</f>
        <v>146577</v>
      </c>
      <c r="E60" s="57">
        <f t="shared" si="12"/>
        <v>65.190991765420222</v>
      </c>
      <c r="F60" s="56">
        <f>SUM(F43:F59)</f>
        <v>95555</v>
      </c>
      <c r="G60" s="56">
        <f>SUM(G43:G58)</f>
        <v>146577</v>
      </c>
      <c r="H60" s="57">
        <f t="shared" si="16"/>
        <v>65.190991765420222</v>
      </c>
      <c r="I60" s="56">
        <f>SUM(I43:I59)</f>
        <v>160957</v>
      </c>
      <c r="J60" s="56">
        <f>SUM(J43:J59)</f>
        <v>154453</v>
      </c>
      <c r="K60" s="57">
        <f t="shared" si="15"/>
        <v>104.21098975092747</v>
      </c>
      <c r="L60" s="56">
        <f>SUM(L43:L59)</f>
        <v>94294</v>
      </c>
      <c r="M60" s="56">
        <f>SUM(M43:M59)</f>
        <v>95615</v>
      </c>
      <c r="N60" s="57">
        <f>L60/M60*100</f>
        <v>98.618417612299325</v>
      </c>
      <c r="O60" s="56">
        <f>SUM(O43:O59)</f>
        <v>777</v>
      </c>
      <c r="P60" s="57">
        <f>R60/O60</f>
        <v>82.395109395109401</v>
      </c>
      <c r="Q60" s="56">
        <f>SUM(Q43:Q59)</f>
        <v>801</v>
      </c>
      <c r="R60" s="56">
        <f>SUM(R43:R59)</f>
        <v>64021</v>
      </c>
    </row>
    <row r="61" spans="1:18" x14ac:dyDescent="0.25">
      <c r="A61" s="46"/>
      <c r="B61" s="61"/>
      <c r="C61" s="46"/>
      <c r="D61" s="46"/>
      <c r="E61" s="46"/>
      <c r="F61" s="46"/>
      <c r="G61" s="46"/>
      <c r="H61" s="46"/>
      <c r="I61" s="46"/>
      <c r="J61" s="46"/>
      <c r="K61" s="34"/>
      <c r="L61" s="46"/>
      <c r="M61" s="46"/>
      <c r="N61" s="46"/>
      <c r="O61" s="46"/>
      <c r="P61" s="62"/>
      <c r="Q61" s="46"/>
      <c r="R61" s="39"/>
    </row>
    <row r="62" spans="1:18" x14ac:dyDescent="0.25">
      <c r="A62" s="319" t="s">
        <v>51</v>
      </c>
      <c r="B62" s="320"/>
      <c r="C62" s="37">
        <v>3</v>
      </c>
      <c r="D62" s="37">
        <v>4</v>
      </c>
      <c r="E62" s="38">
        <v>5</v>
      </c>
      <c r="F62" s="37">
        <v>6</v>
      </c>
      <c r="G62" s="37">
        <v>7</v>
      </c>
      <c r="H62" s="37">
        <v>8</v>
      </c>
      <c r="I62" s="37">
        <v>9</v>
      </c>
      <c r="J62" s="37">
        <v>10</v>
      </c>
      <c r="K62" s="37">
        <v>11</v>
      </c>
      <c r="L62" s="37">
        <v>12</v>
      </c>
      <c r="M62" s="37">
        <v>13</v>
      </c>
      <c r="N62" s="37">
        <v>14</v>
      </c>
      <c r="O62" s="37">
        <v>15</v>
      </c>
      <c r="P62" s="38">
        <v>16</v>
      </c>
      <c r="Q62" s="37">
        <v>15</v>
      </c>
      <c r="R62" s="39"/>
    </row>
    <row r="63" spans="1:18" s="66" customFormat="1" x14ac:dyDescent="0.25">
      <c r="A63" s="44">
        <v>1</v>
      </c>
      <c r="B63" s="63" t="s">
        <v>52</v>
      </c>
      <c r="C63" s="64">
        <v>22032</v>
      </c>
      <c r="D63" s="65">
        <v>9802</v>
      </c>
      <c r="E63" s="43">
        <f t="shared" ref="E63:E69" si="18">C63/D63*100</f>
        <v>224.7704550091818</v>
      </c>
      <c r="F63" s="65">
        <v>22032</v>
      </c>
      <c r="G63" s="65">
        <v>9802</v>
      </c>
      <c r="H63" s="43">
        <f>F63/G63*100</f>
        <v>224.7704550091818</v>
      </c>
      <c r="I63" s="65">
        <v>21582</v>
      </c>
      <c r="J63" s="65">
        <v>7709</v>
      </c>
      <c r="K63" s="43">
        <f t="shared" ref="K63:K68" si="19">I63/J63*100</f>
        <v>279.95849007653391</v>
      </c>
      <c r="L63" s="65">
        <v>21390</v>
      </c>
      <c r="M63" s="65">
        <v>7665</v>
      </c>
      <c r="N63" s="43">
        <f>L63/M63*100</f>
        <v>279.06066536203525</v>
      </c>
      <c r="O63" s="68">
        <v>107</v>
      </c>
      <c r="P63" s="65">
        <v>70</v>
      </c>
      <c r="Q63" s="64">
        <v>153</v>
      </c>
      <c r="R63" s="45">
        <f t="shared" ref="R63:R71" si="20">Q63*P63</f>
        <v>10710</v>
      </c>
    </row>
    <row r="64" spans="1:18" x14ac:dyDescent="0.25">
      <c r="A64" s="67">
        <v>2</v>
      </c>
      <c r="B64" s="63" t="s">
        <v>53</v>
      </c>
      <c r="C64" s="42">
        <v>560</v>
      </c>
      <c r="D64" s="42">
        <v>1604</v>
      </c>
      <c r="E64" s="43">
        <f t="shared" si="18"/>
        <v>34.912718204488783</v>
      </c>
      <c r="F64" s="68">
        <v>560</v>
      </c>
      <c r="G64" s="68">
        <v>1604</v>
      </c>
      <c r="H64" s="43">
        <f t="shared" ref="H64:H69" si="21">F64/G64*100</f>
        <v>34.912718204488783</v>
      </c>
      <c r="I64" s="68">
        <v>8036</v>
      </c>
      <c r="J64" s="68">
        <v>1265</v>
      </c>
      <c r="K64" s="43">
        <f t="shared" si="19"/>
        <v>635.25691699604738</v>
      </c>
      <c r="L64" s="68">
        <v>0</v>
      </c>
      <c r="M64" s="68">
        <v>0</v>
      </c>
      <c r="N64" s="43">
        <v>0</v>
      </c>
      <c r="O64" s="68">
        <v>130</v>
      </c>
      <c r="P64" s="68">
        <v>105</v>
      </c>
      <c r="Q64" s="68">
        <v>132</v>
      </c>
      <c r="R64" s="45">
        <f t="shared" si="20"/>
        <v>13860</v>
      </c>
    </row>
    <row r="65" spans="1:18" x14ac:dyDescent="0.25">
      <c r="A65" s="67">
        <v>3</v>
      </c>
      <c r="B65" s="63" t="s">
        <v>54</v>
      </c>
      <c r="C65" s="68">
        <v>16390</v>
      </c>
      <c r="D65" s="68">
        <v>17429</v>
      </c>
      <c r="E65" s="43">
        <f t="shared" si="18"/>
        <v>94.03867118021688</v>
      </c>
      <c r="F65" s="68">
        <v>16390</v>
      </c>
      <c r="G65" s="68">
        <v>17429</v>
      </c>
      <c r="H65" s="43">
        <f t="shared" si="21"/>
        <v>94.03867118021688</v>
      </c>
      <c r="I65" s="68">
        <v>16592</v>
      </c>
      <c r="J65" s="68">
        <v>17468</v>
      </c>
      <c r="K65" s="43">
        <f t="shared" si="19"/>
        <v>94.985115640027487</v>
      </c>
      <c r="L65" s="68">
        <v>0</v>
      </c>
      <c r="M65" s="68">
        <v>0</v>
      </c>
      <c r="N65" s="43">
        <v>0</v>
      </c>
      <c r="O65" s="68">
        <v>118</v>
      </c>
      <c r="P65" s="68">
        <v>50</v>
      </c>
      <c r="Q65" s="68">
        <v>116</v>
      </c>
      <c r="R65" s="45">
        <f t="shared" si="20"/>
        <v>5800</v>
      </c>
    </row>
    <row r="66" spans="1:18" x14ac:dyDescent="0.25">
      <c r="A66" s="44">
        <v>4</v>
      </c>
      <c r="B66" s="63" t="s">
        <v>55</v>
      </c>
      <c r="C66" s="68">
        <v>2241</v>
      </c>
      <c r="D66" s="68">
        <v>20790</v>
      </c>
      <c r="E66" s="43">
        <f t="shared" si="18"/>
        <v>10.779220779220779</v>
      </c>
      <c r="F66" s="68">
        <v>2241</v>
      </c>
      <c r="G66" s="68">
        <v>20790</v>
      </c>
      <c r="H66" s="43">
        <f t="shared" si="21"/>
        <v>10.779220779220779</v>
      </c>
      <c r="I66" s="48">
        <v>16229</v>
      </c>
      <c r="J66" s="48">
        <v>20790</v>
      </c>
      <c r="K66" s="43">
        <f>I66/J66*100</f>
        <v>78.061568061568067</v>
      </c>
      <c r="L66" s="68">
        <v>13988</v>
      </c>
      <c r="M66" s="68">
        <v>12261</v>
      </c>
      <c r="N66" s="43">
        <f t="shared" ref="N66:N68" si="22">L66/M66*100</f>
        <v>114.08531114917217</v>
      </c>
      <c r="O66" s="68">
        <v>63</v>
      </c>
      <c r="P66" s="68">
        <v>55</v>
      </c>
      <c r="Q66" s="68">
        <v>62</v>
      </c>
      <c r="R66" s="45">
        <f t="shared" si="20"/>
        <v>3410</v>
      </c>
    </row>
    <row r="67" spans="1:18" x14ac:dyDescent="0.25">
      <c r="A67" s="67">
        <v>5</v>
      </c>
      <c r="B67" s="63" t="s">
        <v>56</v>
      </c>
      <c r="C67" s="130">
        <v>0</v>
      </c>
      <c r="D67" s="130">
        <v>0</v>
      </c>
      <c r="E67" s="130">
        <v>0</v>
      </c>
      <c r="F67" s="130">
        <v>0</v>
      </c>
      <c r="G67" s="130">
        <v>0</v>
      </c>
      <c r="H67" s="130">
        <v>0</v>
      </c>
      <c r="I67" s="130">
        <v>0</v>
      </c>
      <c r="J67" s="130">
        <v>0</v>
      </c>
      <c r="K67" s="130">
        <v>0</v>
      </c>
      <c r="L67" s="130">
        <v>0</v>
      </c>
      <c r="M67" s="130">
        <v>0</v>
      </c>
      <c r="N67" s="47">
        <v>0</v>
      </c>
      <c r="O67" s="68">
        <v>0</v>
      </c>
      <c r="P67" s="44">
        <v>0</v>
      </c>
      <c r="Q67" s="130">
        <v>0</v>
      </c>
      <c r="R67" s="45">
        <f t="shared" si="20"/>
        <v>0</v>
      </c>
    </row>
    <row r="68" spans="1:18" x14ac:dyDescent="0.25">
      <c r="A68" s="67">
        <v>6</v>
      </c>
      <c r="B68" s="63" t="s">
        <v>57</v>
      </c>
      <c r="C68" s="68">
        <v>2739</v>
      </c>
      <c r="D68" s="68">
        <v>4272</v>
      </c>
      <c r="E68" s="43">
        <f t="shared" si="18"/>
        <v>64.115168539325836</v>
      </c>
      <c r="F68" s="68">
        <v>2739</v>
      </c>
      <c r="G68" s="68">
        <v>4272</v>
      </c>
      <c r="H68" s="43">
        <f t="shared" si="21"/>
        <v>64.115168539325836</v>
      </c>
      <c r="I68" s="68">
        <v>3110</v>
      </c>
      <c r="J68" s="68">
        <v>5694</v>
      </c>
      <c r="K68" s="43">
        <f t="shared" si="19"/>
        <v>54.618897084650506</v>
      </c>
      <c r="L68" s="68">
        <v>3035</v>
      </c>
      <c r="M68" s="68">
        <v>5694</v>
      </c>
      <c r="N68" s="43">
        <f t="shared" si="22"/>
        <v>53.301721109940289</v>
      </c>
      <c r="O68" s="68">
        <v>31</v>
      </c>
      <c r="P68" s="68">
        <v>40</v>
      </c>
      <c r="Q68" s="68">
        <v>27</v>
      </c>
      <c r="R68" s="45">
        <f t="shared" si="20"/>
        <v>1080</v>
      </c>
    </row>
    <row r="69" spans="1:18" x14ac:dyDescent="0.25">
      <c r="A69" s="44">
        <v>7</v>
      </c>
      <c r="B69" s="63" t="s">
        <v>58</v>
      </c>
      <c r="C69" s="42">
        <v>0</v>
      </c>
      <c r="D69" s="42">
        <v>6417</v>
      </c>
      <c r="E69" s="43">
        <f t="shared" si="18"/>
        <v>0</v>
      </c>
      <c r="F69" s="42">
        <v>0</v>
      </c>
      <c r="G69" s="42">
        <v>6417</v>
      </c>
      <c r="H69" s="43">
        <f t="shared" si="21"/>
        <v>0</v>
      </c>
      <c r="I69" s="42">
        <v>0</v>
      </c>
      <c r="J69" s="42">
        <v>0</v>
      </c>
      <c r="K69" s="43">
        <v>0</v>
      </c>
      <c r="L69" s="69">
        <v>0</v>
      </c>
      <c r="M69" s="42">
        <v>16229</v>
      </c>
      <c r="N69" s="43">
        <f>L69/M69*100</f>
        <v>0</v>
      </c>
      <c r="O69" s="68">
        <v>41</v>
      </c>
      <c r="P69" s="68">
        <v>55</v>
      </c>
      <c r="Q69" s="68">
        <v>35</v>
      </c>
      <c r="R69" s="45">
        <f t="shared" si="20"/>
        <v>1925</v>
      </c>
    </row>
    <row r="70" spans="1:18" s="66" customFormat="1" x14ac:dyDescent="0.25">
      <c r="A70" s="67">
        <v>8</v>
      </c>
      <c r="B70" s="63" t="s">
        <v>59</v>
      </c>
      <c r="C70" s="42">
        <v>0</v>
      </c>
      <c r="D70" s="42">
        <v>0</v>
      </c>
      <c r="E70" s="43">
        <v>0</v>
      </c>
      <c r="F70" s="42">
        <v>0</v>
      </c>
      <c r="G70" s="42">
        <v>0</v>
      </c>
      <c r="H70" s="43">
        <v>0</v>
      </c>
      <c r="I70" s="42">
        <v>0</v>
      </c>
      <c r="J70" s="42">
        <v>0</v>
      </c>
      <c r="K70" s="43">
        <v>0</v>
      </c>
      <c r="L70" s="42">
        <v>0</v>
      </c>
      <c r="M70" s="42">
        <v>0</v>
      </c>
      <c r="N70" s="43">
        <v>0</v>
      </c>
      <c r="O70" s="68">
        <v>12</v>
      </c>
      <c r="P70" s="65">
        <v>75</v>
      </c>
      <c r="Q70" s="68">
        <v>30</v>
      </c>
      <c r="R70" s="45">
        <f t="shared" si="20"/>
        <v>2250</v>
      </c>
    </row>
    <row r="71" spans="1:18" s="66" customFormat="1" x14ac:dyDescent="0.25">
      <c r="A71" s="67">
        <v>9</v>
      </c>
      <c r="B71" s="63" t="s">
        <v>60</v>
      </c>
      <c r="C71" s="130">
        <v>0</v>
      </c>
      <c r="D71" s="130">
        <v>0</v>
      </c>
      <c r="E71" s="130">
        <v>0</v>
      </c>
      <c r="F71" s="130">
        <v>0</v>
      </c>
      <c r="G71" s="130">
        <v>0</v>
      </c>
      <c r="H71" s="130">
        <v>0</v>
      </c>
      <c r="I71" s="130">
        <v>0</v>
      </c>
      <c r="J71" s="130">
        <v>0</v>
      </c>
      <c r="K71" s="130">
        <v>0</v>
      </c>
      <c r="L71" s="130">
        <v>0</v>
      </c>
      <c r="M71" s="130">
        <v>0</v>
      </c>
      <c r="N71" s="47">
        <v>0</v>
      </c>
      <c r="O71" s="68">
        <v>0</v>
      </c>
      <c r="P71" s="44">
        <v>0</v>
      </c>
      <c r="Q71" s="130">
        <v>0</v>
      </c>
      <c r="R71" s="45">
        <f t="shared" si="20"/>
        <v>0</v>
      </c>
    </row>
    <row r="72" spans="1:18" s="60" customFormat="1" x14ac:dyDescent="0.25">
      <c r="A72" s="334" t="s">
        <v>61</v>
      </c>
      <c r="B72" s="334"/>
      <c r="C72" s="70">
        <f>SUM(C63:C71)</f>
        <v>43962</v>
      </c>
      <c r="D72" s="70">
        <f>SUM(D63:D71)</f>
        <v>60314</v>
      </c>
      <c r="E72" s="71">
        <f>C72/D72*100</f>
        <v>72.888549922074475</v>
      </c>
      <c r="F72" s="70">
        <f>SUM(F63:F71)</f>
        <v>43962</v>
      </c>
      <c r="G72" s="70">
        <f>SUM(G63:G71)</f>
        <v>60314</v>
      </c>
      <c r="H72" s="71">
        <f>F72/G72*100</f>
        <v>72.888549922074475</v>
      </c>
      <c r="I72" s="72">
        <f>SUM(I63:I71)</f>
        <v>65549</v>
      </c>
      <c r="J72" s="70">
        <f>SUM(J63:J71)</f>
        <v>52926</v>
      </c>
      <c r="K72" s="71">
        <f>I72/J72*100</f>
        <v>123.85028152514832</v>
      </c>
      <c r="L72" s="70">
        <f>SUM(L63:L71)</f>
        <v>38413</v>
      </c>
      <c r="M72" s="70">
        <f>SUM(M63:M71)</f>
        <v>41849</v>
      </c>
      <c r="N72" s="71">
        <f>L72/M72*100</f>
        <v>91.789529021004086</v>
      </c>
      <c r="O72" s="72">
        <f>SUM(O63:O71)</f>
        <v>502</v>
      </c>
      <c r="P72" s="71">
        <f>R72/O72</f>
        <v>77.758964143426297</v>
      </c>
      <c r="Q72" s="70">
        <f>SUM(Q63:Q71)</f>
        <v>555</v>
      </c>
      <c r="R72" s="59">
        <f>SUM(R63:R71)</f>
        <v>39035</v>
      </c>
    </row>
    <row r="73" spans="1:18" x14ac:dyDescent="0.25">
      <c r="A73" s="39"/>
      <c r="B73" s="73"/>
      <c r="C73" s="39"/>
      <c r="D73" s="39"/>
      <c r="E73" s="39"/>
      <c r="F73" s="39"/>
      <c r="G73" s="39"/>
      <c r="H73" s="39"/>
      <c r="I73" s="39"/>
      <c r="J73" s="39"/>
      <c r="K73" s="74"/>
      <c r="L73" s="39"/>
      <c r="M73" s="39"/>
      <c r="N73" s="39"/>
      <c r="O73" s="39"/>
      <c r="P73" s="75"/>
      <c r="Q73" s="39"/>
      <c r="R73" s="39"/>
    </row>
    <row r="74" spans="1:18" x14ac:dyDescent="0.25">
      <c r="A74" s="319" t="s">
        <v>62</v>
      </c>
      <c r="B74" s="320"/>
      <c r="C74" s="37">
        <v>3</v>
      </c>
      <c r="D74" s="37">
        <v>4</v>
      </c>
      <c r="E74" s="38">
        <v>5</v>
      </c>
      <c r="F74" s="37">
        <v>6</v>
      </c>
      <c r="G74" s="37">
        <v>7</v>
      </c>
      <c r="H74" s="37">
        <v>8</v>
      </c>
      <c r="I74" s="37">
        <v>9</v>
      </c>
      <c r="J74" s="37">
        <v>10</v>
      </c>
      <c r="K74" s="37">
        <v>11</v>
      </c>
      <c r="L74" s="37">
        <v>12</v>
      </c>
      <c r="M74" s="37">
        <v>13</v>
      </c>
      <c r="N74" s="37">
        <v>14</v>
      </c>
      <c r="O74" s="37">
        <v>15</v>
      </c>
      <c r="P74" s="38">
        <v>16</v>
      </c>
      <c r="Q74" s="37">
        <v>15</v>
      </c>
      <c r="R74" s="39"/>
    </row>
    <row r="75" spans="1:18" x14ac:dyDescent="0.25">
      <c r="A75" s="40">
        <v>1</v>
      </c>
      <c r="B75" s="41" t="s">
        <v>63</v>
      </c>
      <c r="C75" s="46">
        <v>0</v>
      </c>
      <c r="D75" s="46">
        <v>8</v>
      </c>
      <c r="E75" s="47">
        <f t="shared" ref="E75:E82" si="23">C75/D75*100</f>
        <v>0</v>
      </c>
      <c r="F75" s="46">
        <v>0</v>
      </c>
      <c r="G75" s="46">
        <v>8</v>
      </c>
      <c r="H75" s="47">
        <f t="shared" ref="H75:H81" si="24">F75/G75*100</f>
        <v>0</v>
      </c>
      <c r="I75" s="46">
        <v>0</v>
      </c>
      <c r="J75" s="46">
        <v>17698</v>
      </c>
      <c r="K75" s="47">
        <f>I75/J75*100</f>
        <v>0</v>
      </c>
      <c r="L75" s="46">
        <v>0</v>
      </c>
      <c r="M75" s="46">
        <v>0</v>
      </c>
      <c r="N75" s="47">
        <v>0</v>
      </c>
      <c r="O75" s="107">
        <v>167</v>
      </c>
      <c r="P75" s="62">
        <v>55</v>
      </c>
      <c r="Q75" s="46">
        <v>191</v>
      </c>
      <c r="R75" s="45">
        <f t="shared" ref="R75:R82" si="25">Q75*P75</f>
        <v>10505</v>
      </c>
    </row>
    <row r="76" spans="1:18" x14ac:dyDescent="0.25">
      <c r="A76" s="40">
        <v>2</v>
      </c>
      <c r="B76" s="41" t="s">
        <v>40</v>
      </c>
      <c r="C76" s="51">
        <v>33502</v>
      </c>
      <c r="D76" s="51">
        <v>17224</v>
      </c>
      <c r="E76" s="47">
        <f t="shared" si="23"/>
        <v>194.50766372503483</v>
      </c>
      <c r="F76" s="51">
        <v>33502</v>
      </c>
      <c r="G76" s="51">
        <v>0</v>
      </c>
      <c r="H76" s="43">
        <v>0</v>
      </c>
      <c r="I76" s="51">
        <v>33542</v>
      </c>
      <c r="J76" s="51">
        <v>0</v>
      </c>
      <c r="K76" s="47">
        <v>0</v>
      </c>
      <c r="L76" s="51">
        <v>33542</v>
      </c>
      <c r="M76" s="51">
        <v>0</v>
      </c>
      <c r="N76" s="47">
        <v>0</v>
      </c>
      <c r="O76" s="131">
        <v>21</v>
      </c>
      <c r="P76" s="44">
        <v>75</v>
      </c>
      <c r="Q76" s="50">
        <v>21</v>
      </c>
      <c r="R76" s="45">
        <f t="shared" si="25"/>
        <v>1575</v>
      </c>
    </row>
    <row r="77" spans="1:18" x14ac:dyDescent="0.25">
      <c r="A77" s="40">
        <v>3</v>
      </c>
      <c r="B77" s="41" t="s">
        <v>64</v>
      </c>
      <c r="C77" s="46">
        <v>16034</v>
      </c>
      <c r="D77" s="46">
        <v>0</v>
      </c>
      <c r="E77" s="47" t="e">
        <f t="shared" si="23"/>
        <v>#DIV/0!</v>
      </c>
      <c r="F77" s="46">
        <v>16034</v>
      </c>
      <c r="G77" s="46">
        <v>0</v>
      </c>
      <c r="H77" s="47">
        <v>0</v>
      </c>
      <c r="I77" s="46">
        <v>15833</v>
      </c>
      <c r="J77" s="46">
        <v>0</v>
      </c>
      <c r="K77" s="47">
        <v>0</v>
      </c>
      <c r="L77" s="46">
        <v>0</v>
      </c>
      <c r="M77" s="46">
        <v>0</v>
      </c>
      <c r="N77" s="47">
        <v>0</v>
      </c>
      <c r="O77" s="107">
        <v>47</v>
      </c>
      <c r="P77" s="62">
        <v>43</v>
      </c>
      <c r="Q77" s="46">
        <v>58</v>
      </c>
      <c r="R77" s="45">
        <f t="shared" si="25"/>
        <v>2494</v>
      </c>
    </row>
    <row r="78" spans="1:18" x14ac:dyDescent="0.25">
      <c r="A78" s="40">
        <v>4</v>
      </c>
      <c r="B78" s="41" t="s">
        <v>65</v>
      </c>
      <c r="C78" s="46">
        <v>1162</v>
      </c>
      <c r="D78" s="46">
        <v>140</v>
      </c>
      <c r="E78" s="47">
        <f t="shared" si="23"/>
        <v>830.00000000000011</v>
      </c>
      <c r="F78" s="46">
        <v>1162</v>
      </c>
      <c r="G78" s="46">
        <v>140</v>
      </c>
      <c r="H78" s="47">
        <f t="shared" si="24"/>
        <v>830.00000000000011</v>
      </c>
      <c r="I78" s="46">
        <v>3436</v>
      </c>
      <c r="J78" s="46">
        <v>365</v>
      </c>
      <c r="K78" s="47">
        <f t="shared" ref="K78:K82" si="26">I78/J78*100</f>
        <v>941.36986301369859</v>
      </c>
      <c r="L78" s="46">
        <v>0</v>
      </c>
      <c r="M78" s="46">
        <v>0</v>
      </c>
      <c r="N78" s="47">
        <v>0</v>
      </c>
      <c r="O78" s="107">
        <v>74</v>
      </c>
      <c r="P78" s="76">
        <v>50</v>
      </c>
      <c r="Q78" s="46">
        <v>74</v>
      </c>
      <c r="R78" s="45">
        <f t="shared" si="25"/>
        <v>3700</v>
      </c>
    </row>
    <row r="79" spans="1:18" x14ac:dyDescent="0.25">
      <c r="A79" s="40">
        <v>5</v>
      </c>
      <c r="B79" s="41" t="s">
        <v>66</v>
      </c>
      <c r="C79" s="46">
        <v>25</v>
      </c>
      <c r="D79" s="46">
        <v>3846</v>
      </c>
      <c r="E79" s="47">
        <f t="shared" si="23"/>
        <v>0.6500260010400416</v>
      </c>
      <c r="F79" s="46">
        <v>25</v>
      </c>
      <c r="G79" s="46">
        <v>3846</v>
      </c>
      <c r="H79" s="47">
        <f t="shared" si="24"/>
        <v>0.6500260010400416</v>
      </c>
      <c r="I79" s="46">
        <v>95</v>
      </c>
      <c r="J79" s="46">
        <v>3846</v>
      </c>
      <c r="K79" s="47">
        <f t="shared" si="26"/>
        <v>2.4700988039521579</v>
      </c>
      <c r="L79" s="46">
        <v>0</v>
      </c>
      <c r="M79" s="46">
        <v>0</v>
      </c>
      <c r="N79" s="47">
        <v>0</v>
      </c>
      <c r="O79" s="107">
        <v>54</v>
      </c>
      <c r="P79" s="62">
        <v>48</v>
      </c>
      <c r="Q79" s="46">
        <v>54</v>
      </c>
      <c r="R79" s="45">
        <f t="shared" si="25"/>
        <v>2592</v>
      </c>
    </row>
    <row r="80" spans="1:18" x14ac:dyDescent="0.25">
      <c r="A80" s="40">
        <v>6</v>
      </c>
      <c r="B80" s="41" t="s">
        <v>67</v>
      </c>
      <c r="C80" s="46">
        <v>366</v>
      </c>
      <c r="D80" s="46">
        <v>66</v>
      </c>
      <c r="E80" s="47">
        <f t="shared" si="23"/>
        <v>554.54545454545462</v>
      </c>
      <c r="F80" s="46">
        <v>366</v>
      </c>
      <c r="G80" s="46">
        <v>66</v>
      </c>
      <c r="H80" s="47">
        <f t="shared" si="24"/>
        <v>554.54545454545462</v>
      </c>
      <c r="I80" s="46">
        <v>481</v>
      </c>
      <c r="J80" s="46">
        <v>162</v>
      </c>
      <c r="K80" s="47">
        <f t="shared" si="26"/>
        <v>296.91358024691357</v>
      </c>
      <c r="L80" s="46">
        <v>0</v>
      </c>
      <c r="M80" s="46">
        <v>46</v>
      </c>
      <c r="N80" s="47">
        <f t="shared" ref="N80" si="27">L80/M80*100</f>
        <v>0</v>
      </c>
      <c r="O80" s="107">
        <v>9</v>
      </c>
      <c r="P80" s="62">
        <v>37</v>
      </c>
      <c r="Q80" s="46">
        <v>11</v>
      </c>
      <c r="R80" s="45">
        <f t="shared" si="25"/>
        <v>407</v>
      </c>
    </row>
    <row r="81" spans="1:18" x14ac:dyDescent="0.25">
      <c r="A81" s="40">
        <v>7</v>
      </c>
      <c r="B81" s="41" t="s">
        <v>168</v>
      </c>
      <c r="C81" s="42">
        <v>83978</v>
      </c>
      <c r="D81" s="42">
        <v>32166</v>
      </c>
      <c r="E81" s="47">
        <f t="shared" si="23"/>
        <v>261.07691351116085</v>
      </c>
      <c r="F81" s="42">
        <v>83978</v>
      </c>
      <c r="G81" s="42">
        <v>32166</v>
      </c>
      <c r="H81" s="47">
        <f t="shared" si="24"/>
        <v>261.07691351116085</v>
      </c>
      <c r="I81" s="42">
        <v>39626</v>
      </c>
      <c r="J81" s="42">
        <v>17353</v>
      </c>
      <c r="K81" s="47">
        <f t="shared" si="26"/>
        <v>228.35244626289403</v>
      </c>
      <c r="L81" s="42">
        <v>0</v>
      </c>
      <c r="M81" s="42">
        <v>0</v>
      </c>
      <c r="N81" s="43">
        <v>0</v>
      </c>
      <c r="O81" s="107"/>
      <c r="P81" s="44"/>
      <c r="Q81" s="46"/>
      <c r="R81" s="45">
        <f t="shared" si="25"/>
        <v>0</v>
      </c>
    </row>
    <row r="82" spans="1:18" x14ac:dyDescent="0.25">
      <c r="A82" s="40">
        <v>8</v>
      </c>
      <c r="B82" s="41" t="s">
        <v>68</v>
      </c>
      <c r="C82" s="46">
        <v>0</v>
      </c>
      <c r="D82" s="46">
        <v>1061</v>
      </c>
      <c r="E82" s="47">
        <f t="shared" si="23"/>
        <v>0</v>
      </c>
      <c r="F82" s="46">
        <v>0</v>
      </c>
      <c r="G82" s="46">
        <v>1061</v>
      </c>
      <c r="H82" s="47">
        <v>0</v>
      </c>
      <c r="I82" s="46">
        <v>0</v>
      </c>
      <c r="J82" s="46">
        <v>1167</v>
      </c>
      <c r="K82" s="47">
        <f t="shared" si="26"/>
        <v>0</v>
      </c>
      <c r="L82" s="46">
        <v>0</v>
      </c>
      <c r="M82" s="46">
        <v>0</v>
      </c>
      <c r="N82" s="47">
        <v>0</v>
      </c>
      <c r="O82" s="107">
        <v>19</v>
      </c>
      <c r="P82" s="62">
        <v>40</v>
      </c>
      <c r="Q82" s="46">
        <v>21</v>
      </c>
      <c r="R82" s="45">
        <f t="shared" si="25"/>
        <v>840</v>
      </c>
    </row>
    <row r="83" spans="1:18" s="60" customFormat="1" x14ac:dyDescent="0.25">
      <c r="A83" s="315" t="s">
        <v>69</v>
      </c>
      <c r="B83" s="315" t="s">
        <v>69</v>
      </c>
      <c r="C83" s="56">
        <f>SUM(C75:C82)</f>
        <v>135067</v>
      </c>
      <c r="D83" s="56">
        <f>SUM(D75:D82)</f>
        <v>54511</v>
      </c>
      <c r="E83" s="57">
        <f>C83/D83*100</f>
        <v>247.77934728770342</v>
      </c>
      <c r="F83" s="56">
        <f>SUM(F75:F82)</f>
        <v>135067</v>
      </c>
      <c r="G83" s="56">
        <f>SUM(G75:G82)</f>
        <v>37287</v>
      </c>
      <c r="H83" s="57">
        <f>F83/G83*100</f>
        <v>362.23616810148309</v>
      </c>
      <c r="I83" s="56">
        <f>SUM(I75:I82)</f>
        <v>93013</v>
      </c>
      <c r="J83" s="56">
        <f>SUM(J75:J82)</f>
        <v>40591</v>
      </c>
      <c r="K83" s="57">
        <f>I83/J83*100</f>
        <v>229.14685521421006</v>
      </c>
      <c r="L83" s="56">
        <f>SUM(L75:L82)</f>
        <v>33542</v>
      </c>
      <c r="M83" s="56">
        <f>SUM(M75:M82)</f>
        <v>46</v>
      </c>
      <c r="N83" s="58">
        <f>L83/M83*100</f>
        <v>72917.391304347824</v>
      </c>
      <c r="O83" s="56">
        <f>SUM(O75:O82)</f>
        <v>391</v>
      </c>
      <c r="P83" s="57">
        <f>R83/O83</f>
        <v>56.554987212276217</v>
      </c>
      <c r="Q83" s="56">
        <f>SUM(Q75:Q82)</f>
        <v>430</v>
      </c>
      <c r="R83" s="59">
        <f>SUM(R75:R82)</f>
        <v>22113</v>
      </c>
    </row>
    <row r="84" spans="1:18" s="60" customFormat="1" x14ac:dyDescent="0.25">
      <c r="A84" s="315" t="s">
        <v>70</v>
      </c>
      <c r="B84" s="315" t="s">
        <v>70</v>
      </c>
      <c r="C84" s="56">
        <f>C60+C72+C83</f>
        <v>274584</v>
      </c>
      <c r="D84" s="56">
        <f>D60+D72+D83</f>
        <v>261402</v>
      </c>
      <c r="E84" s="57">
        <f>C84/D84*100</f>
        <v>105.04280762962792</v>
      </c>
      <c r="F84" s="56">
        <f>F60+F72+F83</f>
        <v>274584</v>
      </c>
      <c r="G84" s="56">
        <f>G60+G72+G83</f>
        <v>244178</v>
      </c>
      <c r="H84" s="57">
        <f>F84/G84*100</f>
        <v>112.45239128832245</v>
      </c>
      <c r="I84" s="56">
        <f>I60+I72+I83</f>
        <v>319519</v>
      </c>
      <c r="J84" s="56">
        <f>J60+J72+J83</f>
        <v>247970</v>
      </c>
      <c r="K84" s="57">
        <f>I84/J84*100</f>
        <v>128.85389361616325</v>
      </c>
      <c r="L84" s="56">
        <f>L60+L72+L83</f>
        <v>166249</v>
      </c>
      <c r="M84" s="56">
        <f>M60+M72+M83</f>
        <v>137510</v>
      </c>
      <c r="N84" s="57">
        <f>L84/M84*100</f>
        <v>120.89957094029525</v>
      </c>
      <c r="O84" s="56">
        <f>O60+O72+O83</f>
        <v>1670</v>
      </c>
      <c r="P84" s="57">
        <f>R84/O84</f>
        <v>74.951497005988017</v>
      </c>
      <c r="Q84" s="58">
        <f>SUM(Q60:Q72:Q83)</f>
        <v>2801</v>
      </c>
      <c r="R84" s="59">
        <f>R60+R72+R83</f>
        <v>125169</v>
      </c>
    </row>
    <row r="85" spans="1:18" x14ac:dyDescent="0.25">
      <c r="A85" s="46"/>
      <c r="B85" s="61"/>
      <c r="C85" s="46"/>
      <c r="D85" s="46"/>
      <c r="E85" s="46"/>
      <c r="F85" s="46"/>
      <c r="G85" s="46"/>
      <c r="H85" s="46"/>
      <c r="I85" s="46"/>
      <c r="J85" s="46"/>
      <c r="K85" s="34"/>
      <c r="L85" s="46"/>
      <c r="M85" s="46"/>
      <c r="N85" s="46"/>
      <c r="O85" s="46"/>
      <c r="P85" s="62"/>
      <c r="Q85" s="46"/>
      <c r="R85" s="39"/>
    </row>
    <row r="86" spans="1:18" x14ac:dyDescent="0.25">
      <c r="A86" s="316" t="s">
        <v>18</v>
      </c>
      <c r="B86" s="317"/>
      <c r="C86" s="37">
        <v>3</v>
      </c>
      <c r="D86" s="37">
        <v>4</v>
      </c>
      <c r="E86" s="38">
        <v>5</v>
      </c>
      <c r="F86" s="37">
        <v>6</v>
      </c>
      <c r="G86" s="37">
        <v>7</v>
      </c>
      <c r="H86" s="37">
        <v>8</v>
      </c>
      <c r="I86" s="37">
        <v>9</v>
      </c>
      <c r="J86" s="37">
        <v>10</v>
      </c>
      <c r="K86" s="37">
        <v>11</v>
      </c>
      <c r="L86" s="37">
        <v>12</v>
      </c>
      <c r="M86" s="37">
        <v>13</v>
      </c>
      <c r="N86" s="37">
        <v>14</v>
      </c>
      <c r="O86" s="37">
        <v>15</v>
      </c>
      <c r="P86" s="38">
        <v>16</v>
      </c>
      <c r="Q86" s="37">
        <v>15</v>
      </c>
      <c r="R86" s="39"/>
    </row>
    <row r="87" spans="1:18" x14ac:dyDescent="0.25">
      <c r="A87" s="77">
        <v>1</v>
      </c>
      <c r="B87" s="78" t="s">
        <v>71</v>
      </c>
      <c r="C87" s="51">
        <v>38</v>
      </c>
      <c r="D87" s="51">
        <v>0</v>
      </c>
      <c r="E87" s="47">
        <v>0</v>
      </c>
      <c r="F87" s="51">
        <v>38</v>
      </c>
      <c r="G87" s="51">
        <v>0</v>
      </c>
      <c r="H87" s="47">
        <v>0</v>
      </c>
      <c r="I87" s="51">
        <v>38</v>
      </c>
      <c r="J87" s="51">
        <v>0</v>
      </c>
      <c r="K87" s="47">
        <v>0</v>
      </c>
      <c r="L87" s="46">
        <v>0</v>
      </c>
      <c r="M87" s="51">
        <v>0</v>
      </c>
      <c r="N87" s="47">
        <v>0</v>
      </c>
      <c r="O87" s="107">
        <v>2896</v>
      </c>
      <c r="P87" s="51">
        <v>113</v>
      </c>
      <c r="Q87" s="50">
        <v>2896</v>
      </c>
      <c r="R87" s="45">
        <f t="shared" ref="R87:R97" si="28">Q87*P87</f>
        <v>327248</v>
      </c>
    </row>
    <row r="88" spans="1:18" s="80" customFormat="1" x14ac:dyDescent="0.25">
      <c r="A88" s="79">
        <v>2</v>
      </c>
      <c r="B88" s="78" t="s">
        <v>72</v>
      </c>
      <c r="C88" s="51">
        <v>55377</v>
      </c>
      <c r="D88" s="51">
        <v>65917</v>
      </c>
      <c r="E88" s="47">
        <f>C88/D88*100</f>
        <v>84.010194638712321</v>
      </c>
      <c r="F88" s="51">
        <v>55377</v>
      </c>
      <c r="G88" s="51">
        <v>65917</v>
      </c>
      <c r="H88" s="47">
        <f t="shared" ref="H88:H97" si="29">F88/G88*100</f>
        <v>84.010194638712321</v>
      </c>
      <c r="I88" s="51">
        <v>67825</v>
      </c>
      <c r="J88" s="51">
        <v>47789</v>
      </c>
      <c r="K88" s="47">
        <f>I88/J88*100</f>
        <v>141.92596622653747</v>
      </c>
      <c r="L88" s="51">
        <v>67361</v>
      </c>
      <c r="M88" s="51">
        <v>47725</v>
      </c>
      <c r="N88" s="47">
        <f t="shared" ref="N88:N97" si="30">L88/M88*100</f>
        <v>141.14405447878471</v>
      </c>
      <c r="O88" s="107">
        <v>549</v>
      </c>
      <c r="P88" s="51">
        <v>82</v>
      </c>
      <c r="Q88" s="51">
        <v>551</v>
      </c>
      <c r="R88" s="45">
        <f t="shared" si="28"/>
        <v>45182</v>
      </c>
    </row>
    <row r="89" spans="1:18" x14ac:dyDescent="0.25">
      <c r="A89" s="77">
        <v>3</v>
      </c>
      <c r="B89" s="78" t="s">
        <v>73</v>
      </c>
      <c r="C89" s="51">
        <v>3234</v>
      </c>
      <c r="D89" s="51">
        <v>10029</v>
      </c>
      <c r="E89" s="47">
        <f>C89/D89*100</f>
        <v>32.246485192940469</v>
      </c>
      <c r="F89" s="51">
        <v>3234</v>
      </c>
      <c r="G89" s="51">
        <v>10029</v>
      </c>
      <c r="H89" s="47">
        <f t="shared" si="29"/>
        <v>32.246485192940469</v>
      </c>
      <c r="I89" s="51">
        <v>75146</v>
      </c>
      <c r="J89" s="51">
        <v>48698</v>
      </c>
      <c r="K89" s="47">
        <f>I89/J89*100</f>
        <v>154.31023861349541</v>
      </c>
      <c r="L89" s="51">
        <v>10918</v>
      </c>
      <c r="M89" s="51">
        <v>14665</v>
      </c>
      <c r="N89" s="47">
        <f t="shared" si="30"/>
        <v>74.449369246505285</v>
      </c>
      <c r="O89" s="107">
        <v>21</v>
      </c>
      <c r="P89" s="51">
        <v>176</v>
      </c>
      <c r="Q89" s="46">
        <v>20</v>
      </c>
      <c r="R89" s="45">
        <f t="shared" si="28"/>
        <v>3520</v>
      </c>
    </row>
    <row r="90" spans="1:18" x14ac:dyDescent="0.25">
      <c r="A90" s="79">
        <v>4</v>
      </c>
      <c r="B90" s="78" t="s">
        <v>74</v>
      </c>
      <c r="C90" s="51">
        <v>61725</v>
      </c>
      <c r="D90" s="51">
        <v>89292</v>
      </c>
      <c r="E90" s="47">
        <f t="shared" ref="E90:E97" si="31">C90/D90*100</f>
        <v>69.127133449805129</v>
      </c>
      <c r="F90" s="51">
        <v>61725</v>
      </c>
      <c r="G90" s="51">
        <v>89292</v>
      </c>
      <c r="H90" s="47">
        <f t="shared" si="29"/>
        <v>69.127133449805129</v>
      </c>
      <c r="I90" s="51">
        <v>61282</v>
      </c>
      <c r="J90" s="51">
        <v>63310</v>
      </c>
      <c r="K90" s="47">
        <f t="shared" ref="K90:K97" si="32">I90/J90*100</f>
        <v>96.796714579055447</v>
      </c>
      <c r="L90" s="46">
        <v>47763</v>
      </c>
      <c r="M90" s="51">
        <v>51192</v>
      </c>
      <c r="N90" s="47">
        <f t="shared" si="30"/>
        <v>93.301687763713076</v>
      </c>
      <c r="O90" s="107">
        <v>175</v>
      </c>
      <c r="P90" s="51">
        <v>35</v>
      </c>
      <c r="Q90" s="50">
        <v>178</v>
      </c>
      <c r="R90" s="45">
        <f t="shared" si="28"/>
        <v>6230</v>
      </c>
    </row>
    <row r="91" spans="1:18" x14ac:dyDescent="0.25">
      <c r="A91" s="77">
        <v>5</v>
      </c>
      <c r="B91" s="78" t="s">
        <v>75</v>
      </c>
      <c r="C91" s="62">
        <v>12767</v>
      </c>
      <c r="D91" s="62">
        <v>6082</v>
      </c>
      <c r="E91" s="47">
        <f t="shared" si="31"/>
        <v>209.91450180861557</v>
      </c>
      <c r="F91" s="62">
        <v>12767</v>
      </c>
      <c r="G91" s="62">
        <v>6082</v>
      </c>
      <c r="H91" s="47">
        <f t="shared" si="29"/>
        <v>209.91450180861557</v>
      </c>
      <c r="I91" s="62">
        <v>13755</v>
      </c>
      <c r="J91" s="62">
        <v>8204</v>
      </c>
      <c r="K91" s="47">
        <f t="shared" si="32"/>
        <v>167.66211604095562</v>
      </c>
      <c r="L91" s="46">
        <v>0</v>
      </c>
      <c r="M91" s="62">
        <v>0</v>
      </c>
      <c r="N91" s="47">
        <v>0</v>
      </c>
      <c r="O91" s="107">
        <v>87</v>
      </c>
      <c r="P91" s="62">
        <v>42</v>
      </c>
      <c r="Q91" s="46">
        <v>88</v>
      </c>
      <c r="R91" s="45">
        <f t="shared" si="28"/>
        <v>3696</v>
      </c>
    </row>
    <row r="92" spans="1:18" x14ac:dyDescent="0.25">
      <c r="A92" s="79">
        <v>6</v>
      </c>
      <c r="B92" s="78" t="s">
        <v>76</v>
      </c>
      <c r="C92" s="46">
        <v>0</v>
      </c>
      <c r="D92" s="46">
        <v>0</v>
      </c>
      <c r="E92" s="46">
        <v>0</v>
      </c>
      <c r="F92" s="46">
        <v>0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7">
        <v>0</v>
      </c>
      <c r="O92" s="107">
        <v>0</v>
      </c>
      <c r="P92" s="44">
        <v>0</v>
      </c>
      <c r="Q92" s="46">
        <v>0</v>
      </c>
      <c r="R92" s="45">
        <f t="shared" si="28"/>
        <v>0</v>
      </c>
    </row>
    <row r="93" spans="1:18" x14ac:dyDescent="0.25">
      <c r="A93" s="77">
        <v>7</v>
      </c>
      <c r="B93" s="78" t="s">
        <v>77</v>
      </c>
      <c r="C93" s="51">
        <v>0</v>
      </c>
      <c r="D93" s="62">
        <v>0</v>
      </c>
      <c r="E93" s="47">
        <v>0</v>
      </c>
      <c r="F93" s="51">
        <v>0</v>
      </c>
      <c r="G93" s="62">
        <v>0</v>
      </c>
      <c r="H93" s="47">
        <v>0</v>
      </c>
      <c r="I93" s="51">
        <v>0</v>
      </c>
      <c r="J93" s="62">
        <v>0</v>
      </c>
      <c r="K93" s="47">
        <v>0</v>
      </c>
      <c r="L93" s="46">
        <v>0</v>
      </c>
      <c r="M93" s="62">
        <v>0</v>
      </c>
      <c r="N93" s="47">
        <v>0</v>
      </c>
      <c r="O93" s="107">
        <v>11</v>
      </c>
      <c r="P93" s="51">
        <v>75</v>
      </c>
      <c r="Q93" s="50">
        <v>10</v>
      </c>
      <c r="R93" s="45">
        <f t="shared" si="28"/>
        <v>750</v>
      </c>
    </row>
    <row r="94" spans="1:18" x14ac:dyDescent="0.25">
      <c r="A94" s="79">
        <v>8</v>
      </c>
      <c r="B94" s="81" t="s">
        <v>78</v>
      </c>
      <c r="C94" s="51">
        <v>16843</v>
      </c>
      <c r="D94" s="51">
        <v>13697</v>
      </c>
      <c r="E94" s="47">
        <f t="shared" si="31"/>
        <v>122.9685332554574</v>
      </c>
      <c r="F94" s="51">
        <v>16843</v>
      </c>
      <c r="G94" s="51">
        <v>13697</v>
      </c>
      <c r="H94" s="47">
        <f t="shared" si="29"/>
        <v>122.9685332554574</v>
      </c>
      <c r="I94" s="51">
        <v>32851</v>
      </c>
      <c r="J94" s="51">
        <v>25889</v>
      </c>
      <c r="K94" s="47">
        <f t="shared" si="32"/>
        <v>126.89173007841168</v>
      </c>
      <c r="L94" s="46">
        <v>0</v>
      </c>
      <c r="M94" s="51">
        <v>0</v>
      </c>
      <c r="N94" s="47" t="e">
        <f t="shared" si="30"/>
        <v>#DIV/0!</v>
      </c>
      <c r="O94" s="107">
        <v>84</v>
      </c>
      <c r="P94" s="51">
        <v>85</v>
      </c>
      <c r="Q94" s="50">
        <v>84</v>
      </c>
      <c r="R94" s="45">
        <f t="shared" si="28"/>
        <v>7140</v>
      </c>
    </row>
    <row r="95" spans="1:18" x14ac:dyDescent="0.25">
      <c r="A95" s="77">
        <v>9</v>
      </c>
      <c r="B95" s="81" t="s">
        <v>79</v>
      </c>
      <c r="C95" s="51">
        <v>98334</v>
      </c>
      <c r="D95" s="51">
        <v>87630</v>
      </c>
      <c r="E95" s="47">
        <f t="shared" si="31"/>
        <v>112.21499486477234</v>
      </c>
      <c r="F95" s="51">
        <v>98334</v>
      </c>
      <c r="G95" s="51">
        <v>87630</v>
      </c>
      <c r="H95" s="47">
        <f t="shared" si="29"/>
        <v>112.21499486477234</v>
      </c>
      <c r="I95" s="51">
        <v>90565</v>
      </c>
      <c r="J95" s="51">
        <v>41049</v>
      </c>
      <c r="K95" s="47">
        <f t="shared" si="32"/>
        <v>220.62656824770394</v>
      </c>
      <c r="L95" s="46">
        <v>0</v>
      </c>
      <c r="M95" s="51">
        <v>0</v>
      </c>
      <c r="N95" s="47">
        <v>0</v>
      </c>
      <c r="O95" s="107">
        <v>127</v>
      </c>
      <c r="P95" s="51">
        <v>145</v>
      </c>
      <c r="Q95" s="50">
        <v>127</v>
      </c>
      <c r="R95" s="45">
        <f t="shared" si="28"/>
        <v>18415</v>
      </c>
    </row>
    <row r="96" spans="1:18" x14ac:dyDescent="0.25">
      <c r="A96" s="79">
        <v>10</v>
      </c>
      <c r="B96" s="78" t="s">
        <v>80</v>
      </c>
      <c r="C96" s="51">
        <v>64464</v>
      </c>
      <c r="D96" s="51">
        <v>57319</v>
      </c>
      <c r="E96" s="47">
        <f t="shared" si="31"/>
        <v>112.46532563373401</v>
      </c>
      <c r="F96" s="51">
        <v>64464</v>
      </c>
      <c r="G96" s="51">
        <v>57319</v>
      </c>
      <c r="H96" s="47">
        <f>I96/J96*100</f>
        <v>123.27187023429917</v>
      </c>
      <c r="I96" s="51">
        <v>44458</v>
      </c>
      <c r="J96" s="51">
        <v>36065</v>
      </c>
      <c r="K96" s="47">
        <f t="shared" si="32"/>
        <v>123.27187023429917</v>
      </c>
      <c r="L96" s="46">
        <v>17194</v>
      </c>
      <c r="M96" s="51">
        <v>5174</v>
      </c>
      <c r="N96" s="47">
        <f t="shared" si="30"/>
        <v>332.31542327019713</v>
      </c>
      <c r="O96" s="107">
        <v>99</v>
      </c>
      <c r="P96" s="51">
        <v>145</v>
      </c>
      <c r="Q96" s="50">
        <v>97</v>
      </c>
      <c r="R96" s="45">
        <f t="shared" si="28"/>
        <v>14065</v>
      </c>
    </row>
    <row r="97" spans="1:18" x14ac:dyDescent="0.25">
      <c r="A97" s="77">
        <v>11</v>
      </c>
      <c r="B97" s="78" t="s">
        <v>81</v>
      </c>
      <c r="C97" s="51">
        <v>16833</v>
      </c>
      <c r="D97" s="51">
        <v>13697</v>
      </c>
      <c r="E97" s="47">
        <f t="shared" si="31"/>
        <v>122.89552456742352</v>
      </c>
      <c r="F97" s="51">
        <v>16833</v>
      </c>
      <c r="G97" s="51">
        <v>13697</v>
      </c>
      <c r="H97" s="47">
        <f t="shared" si="29"/>
        <v>122.89552456742352</v>
      </c>
      <c r="I97" s="82">
        <v>188088</v>
      </c>
      <c r="J97" s="83">
        <v>215147</v>
      </c>
      <c r="K97" s="47">
        <f t="shared" si="32"/>
        <v>87.423017750654211</v>
      </c>
      <c r="L97" s="82">
        <v>0</v>
      </c>
      <c r="M97" s="83">
        <v>5741</v>
      </c>
      <c r="N97" s="47">
        <f t="shared" si="30"/>
        <v>0</v>
      </c>
      <c r="O97" s="107">
        <v>49</v>
      </c>
      <c r="P97" s="51">
        <v>250</v>
      </c>
      <c r="Q97" s="50">
        <v>49</v>
      </c>
      <c r="R97" s="45">
        <f t="shared" si="28"/>
        <v>12250</v>
      </c>
    </row>
    <row r="98" spans="1:18" s="60" customFormat="1" x14ac:dyDescent="0.25">
      <c r="A98" s="315" t="s">
        <v>82</v>
      </c>
      <c r="B98" s="315" t="s">
        <v>83</v>
      </c>
      <c r="C98" s="58">
        <f>SUM(C87:C97)</f>
        <v>329615</v>
      </c>
      <c r="D98" s="58">
        <f>SUM(D87:D97)</f>
        <v>343663</v>
      </c>
      <c r="E98" s="57">
        <f>C98/D98*100</f>
        <v>95.912274524752448</v>
      </c>
      <c r="F98" s="58">
        <f>SUM(F87:F97)</f>
        <v>329615</v>
      </c>
      <c r="G98" s="58">
        <f>SUM(G87:G97)</f>
        <v>343663</v>
      </c>
      <c r="H98" s="57">
        <f>F98/G98*100</f>
        <v>95.912274524752448</v>
      </c>
      <c r="I98" s="58">
        <f>SUM(I87:I97)</f>
        <v>574008</v>
      </c>
      <c r="J98" s="58">
        <f>SUM(J87:J97)</f>
        <v>486151</v>
      </c>
      <c r="K98" s="57">
        <f>I98/J98*100</f>
        <v>118.07195706683726</v>
      </c>
      <c r="L98" s="58">
        <f>SUM(L87:L97)</f>
        <v>143236</v>
      </c>
      <c r="M98" s="58">
        <f>SUM(M87:M97)</f>
        <v>124497</v>
      </c>
      <c r="N98" s="57">
        <f>L98/M98*100</f>
        <v>115.05176831570239</v>
      </c>
      <c r="O98" s="56">
        <f>SUM(O87:O97)</f>
        <v>4098</v>
      </c>
      <c r="P98" s="57">
        <f>R98/O98</f>
        <v>107.0024402147389</v>
      </c>
      <c r="Q98" s="58">
        <f>SUM(Q87:Q97)</f>
        <v>4100</v>
      </c>
      <c r="R98" s="59">
        <f>SUM(R87:R97)</f>
        <v>438496</v>
      </c>
    </row>
    <row r="99" spans="1:18" x14ac:dyDescent="0.25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34"/>
      <c r="L99" s="46"/>
      <c r="M99" s="46"/>
      <c r="N99" s="46"/>
      <c r="O99" s="46"/>
      <c r="P99" s="62"/>
      <c r="Q99" s="46"/>
      <c r="R99" s="39"/>
    </row>
    <row r="100" spans="1:18" x14ac:dyDescent="0.25">
      <c r="A100" s="316" t="s">
        <v>19</v>
      </c>
      <c r="B100" s="317"/>
      <c r="C100" s="37">
        <v>3</v>
      </c>
      <c r="D100" s="37">
        <v>4</v>
      </c>
      <c r="E100" s="38">
        <v>5</v>
      </c>
      <c r="F100" s="37">
        <v>6</v>
      </c>
      <c r="G100" s="37">
        <v>7</v>
      </c>
      <c r="H100" s="37">
        <v>8</v>
      </c>
      <c r="I100" s="37">
        <v>9</v>
      </c>
      <c r="J100" s="37">
        <v>10</v>
      </c>
      <c r="K100" s="37">
        <v>11</v>
      </c>
      <c r="L100" s="37">
        <v>12</v>
      </c>
      <c r="M100" s="37">
        <v>13</v>
      </c>
      <c r="N100" s="37">
        <v>14</v>
      </c>
      <c r="O100" s="37">
        <v>15</v>
      </c>
      <c r="P100" s="38">
        <v>16</v>
      </c>
      <c r="Q100" s="37">
        <v>15</v>
      </c>
      <c r="R100" s="39"/>
    </row>
    <row r="101" spans="1:18" x14ac:dyDescent="0.25">
      <c r="A101" s="85">
        <v>1</v>
      </c>
      <c r="B101" s="81" t="s">
        <v>84</v>
      </c>
      <c r="C101" s="46">
        <v>0</v>
      </c>
      <c r="D101" s="46">
        <v>0</v>
      </c>
      <c r="E101" s="47">
        <v>0</v>
      </c>
      <c r="F101" s="46">
        <v>0</v>
      </c>
      <c r="G101" s="46">
        <v>0</v>
      </c>
      <c r="H101" s="47">
        <v>0</v>
      </c>
      <c r="I101" s="46">
        <v>0</v>
      </c>
      <c r="J101" s="46">
        <v>0</v>
      </c>
      <c r="K101" s="47">
        <v>0</v>
      </c>
      <c r="L101" s="46">
        <v>0</v>
      </c>
      <c r="M101" s="46">
        <v>0</v>
      </c>
      <c r="N101" s="47">
        <v>0</v>
      </c>
      <c r="O101" s="129">
        <v>100</v>
      </c>
      <c r="P101" s="62">
        <v>61</v>
      </c>
      <c r="Q101" s="46">
        <v>300</v>
      </c>
      <c r="R101" s="45">
        <f t="shared" ref="R101:R125" si="33">Q101*P101</f>
        <v>18300</v>
      </c>
    </row>
    <row r="102" spans="1:18" x14ac:dyDescent="0.25">
      <c r="A102" s="85">
        <v>2</v>
      </c>
      <c r="B102" s="81" t="s">
        <v>85</v>
      </c>
      <c r="C102" s="130">
        <v>0</v>
      </c>
      <c r="D102" s="130">
        <v>0</v>
      </c>
      <c r="E102" s="130">
        <v>0</v>
      </c>
      <c r="F102" s="130">
        <v>0</v>
      </c>
      <c r="G102" s="130">
        <v>0</v>
      </c>
      <c r="H102" s="130">
        <v>0</v>
      </c>
      <c r="I102" s="130">
        <v>0</v>
      </c>
      <c r="J102" s="130">
        <v>0</v>
      </c>
      <c r="K102" s="130">
        <v>0</v>
      </c>
      <c r="L102" s="130">
        <v>0</v>
      </c>
      <c r="M102" s="130">
        <v>0</v>
      </c>
      <c r="N102" s="86">
        <v>0</v>
      </c>
      <c r="O102" s="130">
        <v>0</v>
      </c>
      <c r="P102" s="44">
        <v>0</v>
      </c>
      <c r="Q102" s="86">
        <v>0</v>
      </c>
      <c r="R102" s="45">
        <f t="shared" si="33"/>
        <v>0</v>
      </c>
    </row>
    <row r="103" spans="1:18" x14ac:dyDescent="0.25">
      <c r="A103" s="85">
        <v>3</v>
      </c>
      <c r="B103" s="78" t="s">
        <v>86</v>
      </c>
      <c r="C103" s="130">
        <v>0</v>
      </c>
      <c r="D103" s="130">
        <v>0</v>
      </c>
      <c r="E103" s="130">
        <v>0</v>
      </c>
      <c r="F103" s="130">
        <v>0</v>
      </c>
      <c r="G103" s="130">
        <v>0</v>
      </c>
      <c r="H103" s="130">
        <v>0</v>
      </c>
      <c r="I103" s="130">
        <v>0</v>
      </c>
      <c r="J103" s="130">
        <v>0</v>
      </c>
      <c r="K103" s="130">
        <v>0</v>
      </c>
      <c r="L103" s="130">
        <v>0</v>
      </c>
      <c r="M103" s="130">
        <v>0</v>
      </c>
      <c r="N103" s="86">
        <v>0</v>
      </c>
      <c r="O103" s="130">
        <v>0</v>
      </c>
      <c r="P103" s="44">
        <v>0</v>
      </c>
      <c r="Q103" s="86">
        <v>0</v>
      </c>
      <c r="R103" s="45">
        <f t="shared" si="33"/>
        <v>0</v>
      </c>
    </row>
    <row r="104" spans="1:18" x14ac:dyDescent="0.25">
      <c r="A104" s="85">
        <v>4</v>
      </c>
      <c r="B104" s="81" t="s">
        <v>87</v>
      </c>
      <c r="C104" s="86">
        <v>0</v>
      </c>
      <c r="D104" s="87">
        <v>10841</v>
      </c>
      <c r="E104" s="47">
        <f t="shared" ref="E104:E125" si="34">C104/D104*100</f>
        <v>0</v>
      </c>
      <c r="F104" s="86">
        <v>0</v>
      </c>
      <c r="G104" s="87">
        <v>10841</v>
      </c>
      <c r="H104" s="47">
        <f t="shared" ref="H104:H125" si="35">F104/G104*100</f>
        <v>0</v>
      </c>
      <c r="I104" s="86">
        <v>2850</v>
      </c>
      <c r="J104" s="86">
        <v>0</v>
      </c>
      <c r="K104" s="47">
        <v>0</v>
      </c>
      <c r="L104" s="87">
        <v>0</v>
      </c>
      <c r="M104" s="87">
        <v>0</v>
      </c>
      <c r="N104" s="47">
        <v>0</v>
      </c>
      <c r="O104" s="129">
        <v>7</v>
      </c>
      <c r="P104" s="87">
        <v>68</v>
      </c>
      <c r="Q104" s="86">
        <v>8</v>
      </c>
      <c r="R104" s="45">
        <f t="shared" si="33"/>
        <v>544</v>
      </c>
    </row>
    <row r="105" spans="1:18" x14ac:dyDescent="0.25">
      <c r="A105" s="85">
        <v>5</v>
      </c>
      <c r="B105" s="81" t="s">
        <v>88</v>
      </c>
      <c r="C105" s="87">
        <v>23090</v>
      </c>
      <c r="D105" s="87">
        <v>21149</v>
      </c>
      <c r="E105" s="47">
        <f t="shared" si="34"/>
        <v>109.17773890018441</v>
      </c>
      <c r="F105" s="87">
        <v>23090</v>
      </c>
      <c r="G105" s="87">
        <v>21149</v>
      </c>
      <c r="H105" s="47">
        <f t="shared" si="35"/>
        <v>109.17773890018441</v>
      </c>
      <c r="I105" s="87">
        <v>26708</v>
      </c>
      <c r="J105" s="87">
        <v>10919</v>
      </c>
      <c r="K105" s="47">
        <f t="shared" ref="K105:K125" si="36">I105/J105*100</f>
        <v>244.60115395182709</v>
      </c>
      <c r="L105" s="87">
        <v>26708</v>
      </c>
      <c r="M105" s="87">
        <v>10919</v>
      </c>
      <c r="N105" s="47">
        <f t="shared" ref="N105:N113" si="37">L105/M105*100</f>
        <v>244.60115395182709</v>
      </c>
      <c r="O105" s="129">
        <v>468</v>
      </c>
      <c r="P105" s="87">
        <v>52</v>
      </c>
      <c r="Q105" s="86">
        <v>540</v>
      </c>
      <c r="R105" s="45">
        <f t="shared" si="33"/>
        <v>28080</v>
      </c>
    </row>
    <row r="106" spans="1:18" x14ac:dyDescent="0.25">
      <c r="A106" s="85">
        <v>6</v>
      </c>
      <c r="B106" s="81" t="s">
        <v>89</v>
      </c>
      <c r="C106" s="130">
        <v>0</v>
      </c>
      <c r="D106" s="130">
        <v>0</v>
      </c>
      <c r="E106" s="130">
        <v>0</v>
      </c>
      <c r="F106" s="130">
        <v>0</v>
      </c>
      <c r="G106" s="130">
        <v>0</v>
      </c>
      <c r="H106" s="130">
        <v>0</v>
      </c>
      <c r="I106" s="130">
        <v>0</v>
      </c>
      <c r="J106" s="130">
        <v>0</v>
      </c>
      <c r="K106" s="130">
        <v>0</v>
      </c>
      <c r="L106" s="130">
        <v>0</v>
      </c>
      <c r="M106" s="130">
        <v>0</v>
      </c>
      <c r="N106" s="86">
        <v>0</v>
      </c>
      <c r="O106" s="130">
        <v>0</v>
      </c>
      <c r="P106" s="44">
        <v>0</v>
      </c>
      <c r="Q106" s="86">
        <v>0</v>
      </c>
      <c r="R106" s="45">
        <f t="shared" si="33"/>
        <v>0</v>
      </c>
    </row>
    <row r="107" spans="1:18" x14ac:dyDescent="0.25">
      <c r="A107" s="85">
        <v>7</v>
      </c>
      <c r="B107" s="78" t="s">
        <v>90</v>
      </c>
      <c r="C107" s="130">
        <v>0</v>
      </c>
      <c r="D107" s="130">
        <v>0</v>
      </c>
      <c r="E107" s="130">
        <v>0</v>
      </c>
      <c r="F107" s="130">
        <v>0</v>
      </c>
      <c r="G107" s="130">
        <v>0</v>
      </c>
      <c r="H107" s="130">
        <v>0</v>
      </c>
      <c r="I107" s="130">
        <v>0</v>
      </c>
      <c r="J107" s="130">
        <v>0</v>
      </c>
      <c r="K107" s="130">
        <v>0</v>
      </c>
      <c r="L107" s="130">
        <v>0</v>
      </c>
      <c r="M107" s="130">
        <v>0</v>
      </c>
      <c r="N107" s="86">
        <v>0</v>
      </c>
      <c r="O107" s="130">
        <v>0</v>
      </c>
      <c r="P107" s="44">
        <v>0</v>
      </c>
      <c r="Q107" s="86">
        <v>0</v>
      </c>
      <c r="R107" s="45">
        <f t="shared" si="33"/>
        <v>0</v>
      </c>
    </row>
    <row r="108" spans="1:18" x14ac:dyDescent="0.25">
      <c r="A108" s="85">
        <v>8</v>
      </c>
      <c r="B108" s="81" t="s">
        <v>91</v>
      </c>
      <c r="C108" s="87">
        <v>20436</v>
      </c>
      <c r="D108" s="87">
        <v>20123</v>
      </c>
      <c r="E108" s="47">
        <f t="shared" si="34"/>
        <v>101.5554340804055</v>
      </c>
      <c r="F108" s="87">
        <v>20436</v>
      </c>
      <c r="G108" s="87">
        <v>20123</v>
      </c>
      <c r="H108" s="47">
        <f t="shared" si="35"/>
        <v>101.5554340804055</v>
      </c>
      <c r="I108" s="87">
        <v>5285</v>
      </c>
      <c r="J108" s="86">
        <v>2407</v>
      </c>
      <c r="K108" s="47">
        <f t="shared" si="36"/>
        <v>219.56792687993354</v>
      </c>
      <c r="L108" s="87">
        <v>0</v>
      </c>
      <c r="M108" s="87">
        <v>0</v>
      </c>
      <c r="N108" s="47">
        <v>0</v>
      </c>
      <c r="O108" s="129">
        <v>140</v>
      </c>
      <c r="P108" s="87">
        <v>66</v>
      </c>
      <c r="Q108" s="86">
        <v>103</v>
      </c>
      <c r="R108" s="45">
        <f t="shared" si="33"/>
        <v>6798</v>
      </c>
    </row>
    <row r="109" spans="1:18" x14ac:dyDescent="0.25">
      <c r="A109" s="85">
        <v>9</v>
      </c>
      <c r="B109" s="81" t="s">
        <v>92</v>
      </c>
      <c r="C109" s="130">
        <v>0</v>
      </c>
      <c r="D109" s="130">
        <v>0</v>
      </c>
      <c r="E109" s="130">
        <v>0</v>
      </c>
      <c r="F109" s="130">
        <v>0</v>
      </c>
      <c r="G109" s="130">
        <v>0</v>
      </c>
      <c r="H109" s="130">
        <v>0</v>
      </c>
      <c r="I109" s="130">
        <v>0</v>
      </c>
      <c r="J109" s="130">
        <v>0</v>
      </c>
      <c r="K109" s="130">
        <v>0</v>
      </c>
      <c r="L109" s="130">
        <v>0</v>
      </c>
      <c r="M109" s="130">
        <v>0</v>
      </c>
      <c r="N109" s="86">
        <v>0</v>
      </c>
      <c r="O109" s="130">
        <v>0</v>
      </c>
      <c r="P109" s="44">
        <v>0</v>
      </c>
      <c r="Q109" s="86">
        <v>0</v>
      </c>
      <c r="R109" s="45">
        <f t="shared" si="33"/>
        <v>0</v>
      </c>
    </row>
    <row r="110" spans="1:18" x14ac:dyDescent="0.25">
      <c r="A110" s="85">
        <v>10</v>
      </c>
      <c r="B110" s="78" t="s">
        <v>93</v>
      </c>
      <c r="C110" s="87">
        <v>0</v>
      </c>
      <c r="D110" s="87">
        <v>14767</v>
      </c>
      <c r="E110" s="47">
        <f t="shared" si="34"/>
        <v>0</v>
      </c>
      <c r="F110" s="87">
        <v>0</v>
      </c>
      <c r="G110" s="87">
        <v>14767</v>
      </c>
      <c r="H110" s="47">
        <f t="shared" si="35"/>
        <v>0</v>
      </c>
      <c r="I110" s="87">
        <v>0</v>
      </c>
      <c r="J110" s="87">
        <v>14767</v>
      </c>
      <c r="K110" s="47">
        <f t="shared" si="36"/>
        <v>0</v>
      </c>
      <c r="L110" s="87">
        <v>0</v>
      </c>
      <c r="M110" s="87">
        <v>14767</v>
      </c>
      <c r="N110" s="47">
        <f t="shared" si="37"/>
        <v>0</v>
      </c>
      <c r="O110" s="129">
        <v>10</v>
      </c>
      <c r="P110" s="87">
        <v>62</v>
      </c>
      <c r="Q110" s="86">
        <v>83</v>
      </c>
      <c r="R110" s="45">
        <f t="shared" si="33"/>
        <v>5146</v>
      </c>
    </row>
    <row r="111" spans="1:18" x14ac:dyDescent="0.25">
      <c r="A111" s="85">
        <v>11</v>
      </c>
      <c r="B111" s="81" t="s">
        <v>94</v>
      </c>
      <c r="C111" s="130">
        <v>0</v>
      </c>
      <c r="D111" s="130">
        <v>0</v>
      </c>
      <c r="E111" s="130">
        <v>0</v>
      </c>
      <c r="F111" s="130">
        <v>0</v>
      </c>
      <c r="G111" s="130">
        <v>0</v>
      </c>
      <c r="H111" s="130">
        <v>0</v>
      </c>
      <c r="I111" s="130">
        <v>0</v>
      </c>
      <c r="J111" s="130">
        <v>0</v>
      </c>
      <c r="K111" s="130">
        <v>0</v>
      </c>
      <c r="L111" s="130">
        <v>0</v>
      </c>
      <c r="M111" s="130">
        <v>0</v>
      </c>
      <c r="N111" s="86">
        <v>0</v>
      </c>
      <c r="O111" s="130">
        <v>0</v>
      </c>
      <c r="P111" s="44">
        <v>0</v>
      </c>
      <c r="Q111" s="86">
        <v>0</v>
      </c>
      <c r="R111" s="45">
        <f t="shared" si="33"/>
        <v>0</v>
      </c>
    </row>
    <row r="112" spans="1:18" x14ac:dyDescent="0.25">
      <c r="A112" s="85">
        <v>12</v>
      </c>
      <c r="B112" s="81" t="s">
        <v>95</v>
      </c>
      <c r="C112" s="86">
        <v>0</v>
      </c>
      <c r="D112" s="87">
        <v>0</v>
      </c>
      <c r="E112" s="47">
        <v>0</v>
      </c>
      <c r="F112" s="86">
        <v>0</v>
      </c>
      <c r="G112" s="87">
        <v>0</v>
      </c>
      <c r="H112" s="47">
        <v>0</v>
      </c>
      <c r="I112" s="86">
        <v>0</v>
      </c>
      <c r="J112" s="86">
        <v>0</v>
      </c>
      <c r="K112" s="47">
        <v>0</v>
      </c>
      <c r="L112" s="87">
        <v>0</v>
      </c>
      <c r="M112" s="87">
        <v>0</v>
      </c>
      <c r="N112" s="47">
        <v>0</v>
      </c>
      <c r="O112" s="129">
        <v>20</v>
      </c>
      <c r="P112" s="87">
        <v>45</v>
      </c>
      <c r="Q112" s="86">
        <v>20</v>
      </c>
      <c r="R112" s="45">
        <f t="shared" si="33"/>
        <v>900</v>
      </c>
    </row>
    <row r="113" spans="1:18" x14ac:dyDescent="0.25">
      <c r="A113" s="85">
        <v>13</v>
      </c>
      <c r="B113" s="81" t="s">
        <v>96</v>
      </c>
      <c r="C113" s="86">
        <v>6409</v>
      </c>
      <c r="D113" s="87">
        <v>3963</v>
      </c>
      <c r="E113" s="47">
        <f t="shared" si="34"/>
        <v>161.72091849608881</v>
      </c>
      <c r="F113" s="86">
        <v>6409</v>
      </c>
      <c r="G113" s="86">
        <v>3963</v>
      </c>
      <c r="H113" s="47">
        <f t="shared" si="35"/>
        <v>161.72091849608881</v>
      </c>
      <c r="I113" s="86">
        <v>15055</v>
      </c>
      <c r="J113" s="86">
        <v>2976</v>
      </c>
      <c r="K113" s="47">
        <f t="shared" si="36"/>
        <v>505.88037634408602</v>
      </c>
      <c r="L113" s="87">
        <v>14887</v>
      </c>
      <c r="M113" s="87">
        <v>2513</v>
      </c>
      <c r="N113" s="47">
        <f t="shared" si="37"/>
        <v>592.39952248308794</v>
      </c>
      <c r="O113" s="129">
        <v>203</v>
      </c>
      <c r="P113" s="87">
        <v>38</v>
      </c>
      <c r="Q113" s="86">
        <v>205</v>
      </c>
      <c r="R113" s="45">
        <f t="shared" si="33"/>
        <v>7790</v>
      </c>
    </row>
    <row r="114" spans="1:18" x14ac:dyDescent="0.25">
      <c r="A114" s="85">
        <v>14</v>
      </c>
      <c r="B114" s="81" t="s">
        <v>97</v>
      </c>
      <c r="C114" s="130">
        <v>0</v>
      </c>
      <c r="D114" s="130">
        <v>0</v>
      </c>
      <c r="E114" s="130">
        <v>0</v>
      </c>
      <c r="F114" s="130">
        <v>0</v>
      </c>
      <c r="G114" s="130">
        <v>0</v>
      </c>
      <c r="H114" s="130">
        <v>0</v>
      </c>
      <c r="I114" s="130">
        <v>0</v>
      </c>
      <c r="J114" s="130">
        <v>0</v>
      </c>
      <c r="K114" s="130">
        <v>0</v>
      </c>
      <c r="L114" s="130">
        <v>0</v>
      </c>
      <c r="M114" s="130">
        <v>0</v>
      </c>
      <c r="N114" s="86">
        <v>0</v>
      </c>
      <c r="O114" s="130">
        <v>0</v>
      </c>
      <c r="P114" s="44">
        <v>0</v>
      </c>
      <c r="Q114" s="86">
        <v>0</v>
      </c>
      <c r="R114" s="45">
        <f t="shared" si="33"/>
        <v>0</v>
      </c>
    </row>
    <row r="115" spans="1:18" x14ac:dyDescent="0.25">
      <c r="A115" s="85">
        <v>15</v>
      </c>
      <c r="B115" s="81" t="s">
        <v>98</v>
      </c>
      <c r="C115" s="130">
        <v>0</v>
      </c>
      <c r="D115" s="130">
        <v>0</v>
      </c>
      <c r="E115" s="130">
        <v>0</v>
      </c>
      <c r="F115" s="130">
        <v>0</v>
      </c>
      <c r="G115" s="130">
        <v>0</v>
      </c>
      <c r="H115" s="130">
        <v>0</v>
      </c>
      <c r="I115" s="130">
        <v>0</v>
      </c>
      <c r="J115" s="130">
        <v>0</v>
      </c>
      <c r="K115" s="130">
        <v>0</v>
      </c>
      <c r="L115" s="130">
        <v>0</v>
      </c>
      <c r="M115" s="130">
        <v>0</v>
      </c>
      <c r="N115" s="86">
        <v>0</v>
      </c>
      <c r="O115" s="130">
        <v>0</v>
      </c>
      <c r="P115" s="44">
        <v>0</v>
      </c>
      <c r="Q115" s="86">
        <v>0</v>
      </c>
      <c r="R115" s="45">
        <f t="shared" si="33"/>
        <v>0</v>
      </c>
    </row>
    <row r="116" spans="1:18" x14ac:dyDescent="0.25">
      <c r="A116" s="85">
        <v>16</v>
      </c>
      <c r="B116" s="81" t="s">
        <v>99</v>
      </c>
      <c r="C116" s="51">
        <v>0</v>
      </c>
      <c r="D116" s="51">
        <v>221204</v>
      </c>
      <c r="E116" s="47">
        <v>0</v>
      </c>
      <c r="F116" s="51">
        <v>0</v>
      </c>
      <c r="G116" s="51">
        <v>221204</v>
      </c>
      <c r="H116" s="47">
        <v>0</v>
      </c>
      <c r="I116" s="51">
        <v>0</v>
      </c>
      <c r="J116" s="51">
        <v>217029</v>
      </c>
      <c r="K116" s="47">
        <v>0</v>
      </c>
      <c r="L116" s="51">
        <v>0</v>
      </c>
      <c r="M116" s="51">
        <v>0</v>
      </c>
      <c r="N116" s="47">
        <v>0</v>
      </c>
      <c r="O116" s="129">
        <v>20</v>
      </c>
      <c r="P116" s="44">
        <v>45</v>
      </c>
      <c r="Q116" s="46">
        <v>27</v>
      </c>
      <c r="R116" s="45">
        <f t="shared" si="33"/>
        <v>1215</v>
      </c>
    </row>
    <row r="117" spans="1:18" x14ac:dyDescent="0.25">
      <c r="A117" s="85">
        <v>17</v>
      </c>
      <c r="B117" s="81" t="s">
        <v>100</v>
      </c>
      <c r="C117" s="86">
        <v>41185</v>
      </c>
      <c r="D117" s="87">
        <v>15983</v>
      </c>
      <c r="E117" s="47">
        <f t="shared" si="34"/>
        <v>257.68003503722707</v>
      </c>
      <c r="F117" s="86">
        <v>41185</v>
      </c>
      <c r="G117" s="86">
        <v>15983</v>
      </c>
      <c r="H117" s="47">
        <f t="shared" si="35"/>
        <v>257.68003503722707</v>
      </c>
      <c r="I117" s="86">
        <v>1823</v>
      </c>
      <c r="J117" s="86">
        <v>7966</v>
      </c>
      <c r="K117" s="47">
        <f t="shared" si="36"/>
        <v>22.884760230981669</v>
      </c>
      <c r="L117" s="87">
        <v>0</v>
      </c>
      <c r="M117" s="87">
        <v>0</v>
      </c>
      <c r="N117" s="47">
        <v>0</v>
      </c>
      <c r="O117" s="129">
        <v>158</v>
      </c>
      <c r="P117" s="87">
        <v>50</v>
      </c>
      <c r="Q117" s="86">
        <v>163</v>
      </c>
      <c r="R117" s="45">
        <f t="shared" si="33"/>
        <v>8150</v>
      </c>
    </row>
    <row r="118" spans="1:18" x14ac:dyDescent="0.25">
      <c r="A118" s="85">
        <v>18</v>
      </c>
      <c r="B118" s="78" t="s">
        <v>101</v>
      </c>
      <c r="C118" s="51">
        <v>35071</v>
      </c>
      <c r="D118" s="51">
        <v>0</v>
      </c>
      <c r="E118" s="47">
        <v>0</v>
      </c>
      <c r="F118" s="51">
        <v>35071</v>
      </c>
      <c r="G118" s="51">
        <v>0</v>
      </c>
      <c r="H118" s="47">
        <v>0</v>
      </c>
      <c r="I118" s="51">
        <v>35071</v>
      </c>
      <c r="J118" s="51">
        <v>0</v>
      </c>
      <c r="K118" s="47">
        <v>0</v>
      </c>
      <c r="L118" s="51">
        <v>35071</v>
      </c>
      <c r="M118" s="51">
        <v>0</v>
      </c>
      <c r="N118" s="47">
        <v>0</v>
      </c>
      <c r="O118" s="129">
        <v>531</v>
      </c>
      <c r="P118" s="87">
        <v>65</v>
      </c>
      <c r="Q118" s="46">
        <v>553</v>
      </c>
      <c r="R118" s="45">
        <f t="shared" si="33"/>
        <v>35945</v>
      </c>
    </row>
    <row r="119" spans="1:18" x14ac:dyDescent="0.25">
      <c r="A119" s="85">
        <v>19</v>
      </c>
      <c r="B119" s="81" t="s">
        <v>102</v>
      </c>
      <c r="C119" s="130">
        <v>0</v>
      </c>
      <c r="D119" s="130">
        <v>0</v>
      </c>
      <c r="E119" s="130">
        <v>0</v>
      </c>
      <c r="F119" s="130">
        <v>0</v>
      </c>
      <c r="G119" s="130">
        <v>0</v>
      </c>
      <c r="H119" s="130">
        <v>0</v>
      </c>
      <c r="I119" s="130">
        <v>0</v>
      </c>
      <c r="J119" s="130">
        <v>0</v>
      </c>
      <c r="K119" s="130">
        <v>0</v>
      </c>
      <c r="L119" s="130">
        <v>0</v>
      </c>
      <c r="M119" s="130">
        <v>0</v>
      </c>
      <c r="N119" s="86">
        <v>0</v>
      </c>
      <c r="O119" s="130">
        <v>0</v>
      </c>
      <c r="P119" s="44">
        <v>0</v>
      </c>
      <c r="Q119" s="86">
        <v>0</v>
      </c>
      <c r="R119" s="45">
        <f t="shared" si="33"/>
        <v>0</v>
      </c>
    </row>
    <row r="120" spans="1:18" x14ac:dyDescent="0.25">
      <c r="A120" s="85">
        <v>20</v>
      </c>
      <c r="B120" s="81" t="s">
        <v>103</v>
      </c>
      <c r="C120" s="130">
        <v>0</v>
      </c>
      <c r="D120" s="130">
        <v>0</v>
      </c>
      <c r="E120" s="130">
        <v>0</v>
      </c>
      <c r="F120" s="130">
        <v>0</v>
      </c>
      <c r="G120" s="130">
        <v>0</v>
      </c>
      <c r="H120" s="130">
        <v>0</v>
      </c>
      <c r="I120" s="130">
        <v>0</v>
      </c>
      <c r="J120" s="130">
        <v>0</v>
      </c>
      <c r="K120" s="130">
        <v>0</v>
      </c>
      <c r="L120" s="130">
        <v>0</v>
      </c>
      <c r="M120" s="130">
        <v>0</v>
      </c>
      <c r="N120" s="86">
        <v>0</v>
      </c>
      <c r="O120" s="130">
        <v>0</v>
      </c>
      <c r="P120" s="44">
        <v>0</v>
      </c>
      <c r="Q120" s="86">
        <v>0</v>
      </c>
      <c r="R120" s="45">
        <f t="shared" si="33"/>
        <v>0</v>
      </c>
    </row>
    <row r="121" spans="1:18" x14ac:dyDescent="0.25">
      <c r="A121" s="85">
        <v>21</v>
      </c>
      <c r="B121" s="81" t="s">
        <v>104</v>
      </c>
      <c r="C121" s="87">
        <v>1725</v>
      </c>
      <c r="D121" s="87">
        <v>7518</v>
      </c>
      <c r="E121" s="47">
        <f t="shared" si="34"/>
        <v>22.944932162809259</v>
      </c>
      <c r="F121" s="87">
        <v>1725</v>
      </c>
      <c r="G121" s="87">
        <v>7518</v>
      </c>
      <c r="H121" s="47">
        <f t="shared" ref="H121" si="38">F121/G121*100</f>
        <v>22.944932162809259</v>
      </c>
      <c r="I121" s="87">
        <v>1725</v>
      </c>
      <c r="J121" s="87">
        <v>7518</v>
      </c>
      <c r="K121" s="47">
        <f t="shared" ref="K121" si="39">I121/J121*100</f>
        <v>22.944932162809259</v>
      </c>
      <c r="L121" s="87">
        <v>1725</v>
      </c>
      <c r="M121" s="87">
        <v>7518</v>
      </c>
      <c r="N121" s="47">
        <f t="shared" ref="N121" si="40">L121/M121*100</f>
        <v>22.944932162809259</v>
      </c>
      <c r="O121" s="129">
        <v>14</v>
      </c>
      <c r="P121" s="87">
        <v>46</v>
      </c>
      <c r="Q121" s="86">
        <v>26</v>
      </c>
      <c r="R121" s="45">
        <f t="shared" si="33"/>
        <v>1196</v>
      </c>
    </row>
    <row r="122" spans="1:18" x14ac:dyDescent="0.25">
      <c r="A122" s="85">
        <v>22</v>
      </c>
      <c r="B122" s="78" t="s">
        <v>105</v>
      </c>
      <c r="C122" s="86">
        <v>0</v>
      </c>
      <c r="D122" s="86">
        <v>0</v>
      </c>
      <c r="E122" s="47">
        <v>0</v>
      </c>
      <c r="F122" s="86">
        <v>0</v>
      </c>
      <c r="G122" s="86">
        <v>0</v>
      </c>
      <c r="H122" s="47">
        <v>0</v>
      </c>
      <c r="I122" s="86">
        <v>1123</v>
      </c>
      <c r="J122" s="86">
        <v>1811</v>
      </c>
      <c r="K122" s="47">
        <f t="shared" si="36"/>
        <v>62.00993926007731</v>
      </c>
      <c r="L122" s="87">
        <v>0</v>
      </c>
      <c r="M122" s="86">
        <v>0</v>
      </c>
      <c r="N122" s="47">
        <v>0</v>
      </c>
      <c r="O122" s="129">
        <v>15</v>
      </c>
      <c r="P122" s="87">
        <v>63</v>
      </c>
      <c r="Q122" s="86">
        <v>15</v>
      </c>
      <c r="R122" s="45">
        <f t="shared" si="33"/>
        <v>945</v>
      </c>
    </row>
    <row r="123" spans="1:18" x14ac:dyDescent="0.25">
      <c r="A123" s="85">
        <v>23</v>
      </c>
      <c r="B123" s="78" t="s">
        <v>106</v>
      </c>
      <c r="C123" s="86">
        <v>7036</v>
      </c>
      <c r="D123" s="87">
        <v>2244</v>
      </c>
      <c r="E123" s="47">
        <f t="shared" si="34"/>
        <v>313.5472370766488</v>
      </c>
      <c r="F123" s="86">
        <v>7036</v>
      </c>
      <c r="G123" s="86">
        <v>2244</v>
      </c>
      <c r="H123" s="47">
        <f t="shared" si="35"/>
        <v>313.5472370766488</v>
      </c>
      <c r="I123" s="86">
        <v>7382</v>
      </c>
      <c r="J123" s="86">
        <v>2437</v>
      </c>
      <c r="K123" s="47">
        <f t="shared" si="36"/>
        <v>302.91341813705378</v>
      </c>
      <c r="L123" s="87">
        <v>0</v>
      </c>
      <c r="M123" s="87">
        <v>0</v>
      </c>
      <c r="N123" s="47">
        <v>0</v>
      </c>
      <c r="O123" s="129">
        <v>44</v>
      </c>
      <c r="P123" s="87">
        <v>45</v>
      </c>
      <c r="Q123" s="86">
        <v>45</v>
      </c>
      <c r="R123" s="45">
        <f t="shared" si="33"/>
        <v>2025</v>
      </c>
    </row>
    <row r="124" spans="1:18" x14ac:dyDescent="0.25">
      <c r="A124" s="85">
        <v>24</v>
      </c>
      <c r="B124" s="81" t="s">
        <v>107</v>
      </c>
      <c r="C124" s="87">
        <v>2531</v>
      </c>
      <c r="D124" s="87">
        <v>1426</v>
      </c>
      <c r="E124" s="47">
        <f t="shared" si="34"/>
        <v>177.48948106591865</v>
      </c>
      <c r="F124" s="87">
        <v>2531</v>
      </c>
      <c r="G124" s="86">
        <v>1426</v>
      </c>
      <c r="H124" s="47">
        <f t="shared" si="35"/>
        <v>177.48948106591865</v>
      </c>
      <c r="I124" s="87">
        <v>9315</v>
      </c>
      <c r="J124" s="87">
        <v>12150</v>
      </c>
      <c r="K124" s="47">
        <f t="shared" si="36"/>
        <v>76.666666666666671</v>
      </c>
      <c r="L124" s="88">
        <v>0</v>
      </c>
      <c r="M124" s="87">
        <v>0</v>
      </c>
      <c r="N124" s="47">
        <v>0</v>
      </c>
      <c r="O124" s="129">
        <v>49</v>
      </c>
      <c r="P124" s="87">
        <v>58</v>
      </c>
      <c r="Q124" s="86">
        <v>3</v>
      </c>
      <c r="R124" s="45">
        <f t="shared" si="33"/>
        <v>174</v>
      </c>
    </row>
    <row r="125" spans="1:18" x14ac:dyDescent="0.25">
      <c r="A125" s="85">
        <v>25</v>
      </c>
      <c r="B125" s="81" t="s">
        <v>108</v>
      </c>
      <c r="C125" s="87">
        <v>1284</v>
      </c>
      <c r="D125" s="87">
        <v>49</v>
      </c>
      <c r="E125" s="47">
        <f t="shared" si="34"/>
        <v>2620.408163265306</v>
      </c>
      <c r="F125" s="87">
        <v>1284</v>
      </c>
      <c r="G125" s="87">
        <v>49</v>
      </c>
      <c r="H125" s="47">
        <f t="shared" si="35"/>
        <v>2620.408163265306</v>
      </c>
      <c r="I125" s="87">
        <v>1284</v>
      </c>
      <c r="J125" s="87">
        <v>49</v>
      </c>
      <c r="K125" s="47">
        <f t="shared" si="36"/>
        <v>2620.408163265306</v>
      </c>
      <c r="L125" s="87">
        <v>0</v>
      </c>
      <c r="M125" s="87">
        <v>0</v>
      </c>
      <c r="N125" s="47">
        <v>0</v>
      </c>
      <c r="O125" s="129">
        <v>21</v>
      </c>
      <c r="P125" s="87">
        <v>40</v>
      </c>
      <c r="Q125" s="86">
        <v>19</v>
      </c>
      <c r="R125" s="45">
        <f t="shared" si="33"/>
        <v>760</v>
      </c>
    </row>
    <row r="126" spans="1:18" s="60" customFormat="1" x14ac:dyDescent="0.25">
      <c r="A126" s="315" t="s">
        <v>109</v>
      </c>
      <c r="B126" s="315" t="s">
        <v>109</v>
      </c>
      <c r="C126" s="56">
        <f>SUM(C101:C125)</f>
        <v>138767</v>
      </c>
      <c r="D126" s="56">
        <f>SUM(D101:D125)</f>
        <v>319267</v>
      </c>
      <c r="E126" s="57">
        <f>C126/D126*100</f>
        <v>43.464247792599927</v>
      </c>
      <c r="F126" s="56">
        <f>SUM(F101:F125)</f>
        <v>138767</v>
      </c>
      <c r="G126" s="56">
        <f>SUM(G101:G125)</f>
        <v>319267</v>
      </c>
      <c r="H126" s="57">
        <f>F126/G126*100</f>
        <v>43.464247792599927</v>
      </c>
      <c r="I126" s="56">
        <f>SUM(I101:I125)</f>
        <v>107621</v>
      </c>
      <c r="J126" s="56">
        <f>SUM(J101:J125)</f>
        <v>280029</v>
      </c>
      <c r="K126" s="57">
        <f>I126/J126*100</f>
        <v>38.432090962007507</v>
      </c>
      <c r="L126" s="56">
        <f>SUM(L101:L125)</f>
        <v>78391</v>
      </c>
      <c r="M126" s="56">
        <f>SUM(M101:M125)</f>
        <v>35717</v>
      </c>
      <c r="N126" s="57">
        <f>L126/M126*100</f>
        <v>219.47811966290561</v>
      </c>
      <c r="O126" s="56">
        <f>SUM(O101:O125)</f>
        <v>1800</v>
      </c>
      <c r="P126" s="57">
        <f>R126/O126</f>
        <v>65.537777777777777</v>
      </c>
      <c r="Q126" s="58">
        <f>SUM(Q101:Q125)</f>
        <v>2110</v>
      </c>
      <c r="R126" s="59">
        <f>SUM(R101:R125)</f>
        <v>117968</v>
      </c>
    </row>
    <row r="127" spans="1:18" ht="9.75" customHeight="1" x14ac:dyDescent="0.25">
      <c r="A127" s="46"/>
      <c r="B127" s="46"/>
      <c r="E127" s="46"/>
      <c r="F127" s="46"/>
      <c r="H127" s="46"/>
      <c r="K127" s="34"/>
      <c r="R127" s="39"/>
    </row>
    <row r="128" spans="1:18" x14ac:dyDescent="0.25">
      <c r="A128" s="37"/>
      <c r="B128" s="37" t="s">
        <v>20</v>
      </c>
      <c r="C128" s="37">
        <v>3</v>
      </c>
      <c r="D128" s="37">
        <v>4</v>
      </c>
      <c r="E128" s="38">
        <v>5</v>
      </c>
      <c r="F128" s="37">
        <v>6</v>
      </c>
      <c r="G128" s="37">
        <v>7</v>
      </c>
      <c r="H128" s="37">
        <v>8</v>
      </c>
      <c r="I128" s="37">
        <v>9</v>
      </c>
      <c r="J128" s="37">
        <v>10</v>
      </c>
      <c r="K128" s="37">
        <v>11</v>
      </c>
      <c r="L128" s="37">
        <v>12</v>
      </c>
      <c r="M128" s="37">
        <v>13</v>
      </c>
      <c r="N128" s="37">
        <v>14</v>
      </c>
      <c r="O128" s="37">
        <v>15</v>
      </c>
      <c r="P128" s="38"/>
      <c r="Q128" s="37">
        <v>15</v>
      </c>
      <c r="R128" s="39"/>
    </row>
    <row r="129" spans="1:18" x14ac:dyDescent="0.25">
      <c r="A129" s="50">
        <v>1</v>
      </c>
      <c r="B129" s="89" t="s">
        <v>110</v>
      </c>
      <c r="C129" s="90">
        <v>334</v>
      </c>
      <c r="D129" s="91">
        <v>0</v>
      </c>
      <c r="E129" s="47">
        <v>0</v>
      </c>
      <c r="F129" s="90">
        <v>334</v>
      </c>
      <c r="G129" s="51">
        <v>0</v>
      </c>
      <c r="H129" s="47">
        <v>0</v>
      </c>
      <c r="I129" s="51">
        <v>334</v>
      </c>
      <c r="J129" s="91">
        <v>0</v>
      </c>
      <c r="K129" s="47">
        <v>0</v>
      </c>
      <c r="L129" s="90">
        <v>0</v>
      </c>
      <c r="M129" s="91">
        <v>0</v>
      </c>
      <c r="N129" s="47">
        <v>0</v>
      </c>
      <c r="O129" s="107">
        <v>27</v>
      </c>
      <c r="P129" s="92">
        <v>75</v>
      </c>
      <c r="Q129" s="86">
        <v>27</v>
      </c>
      <c r="R129" s="45">
        <f t="shared" ref="R129:R135" si="41">Q129*P129</f>
        <v>2025</v>
      </c>
    </row>
    <row r="130" spans="1:18" x14ac:dyDescent="0.25">
      <c r="A130" s="50">
        <v>2</v>
      </c>
      <c r="B130" s="89" t="s">
        <v>167</v>
      </c>
      <c r="C130" s="107">
        <v>13214</v>
      </c>
      <c r="D130" s="107">
        <v>3554</v>
      </c>
      <c r="E130" s="47">
        <f t="shared" ref="E130" si="42">C130/D130*100</f>
        <v>371.80641530669669</v>
      </c>
      <c r="F130" s="107">
        <v>13214</v>
      </c>
      <c r="G130" s="107">
        <v>3554</v>
      </c>
      <c r="H130" s="47">
        <f t="shared" ref="H130" si="43">F130/G130*100</f>
        <v>371.80641530669669</v>
      </c>
      <c r="I130" s="107">
        <v>11682</v>
      </c>
      <c r="J130" s="107">
        <v>3700</v>
      </c>
      <c r="K130" s="47">
        <f t="shared" ref="K130:K133" si="44">I130/J130*100</f>
        <v>315.72972972972974</v>
      </c>
      <c r="L130" s="107">
        <v>0</v>
      </c>
      <c r="M130" s="107">
        <v>0</v>
      </c>
      <c r="N130" s="47">
        <v>0</v>
      </c>
      <c r="O130" s="107">
        <v>82</v>
      </c>
      <c r="P130" s="44">
        <v>80</v>
      </c>
      <c r="Q130" s="107">
        <v>82</v>
      </c>
      <c r="R130" s="45">
        <f t="shared" si="41"/>
        <v>6560</v>
      </c>
    </row>
    <row r="131" spans="1:18" x14ac:dyDescent="0.25">
      <c r="A131" s="50">
        <v>3</v>
      </c>
      <c r="B131" s="89" t="s">
        <v>166</v>
      </c>
      <c r="C131" s="130">
        <v>0</v>
      </c>
      <c r="D131" s="130">
        <v>0</v>
      </c>
      <c r="E131" s="130">
        <v>0</v>
      </c>
      <c r="F131" s="130">
        <v>0</v>
      </c>
      <c r="G131" s="130">
        <v>0</v>
      </c>
      <c r="H131" s="130">
        <v>0</v>
      </c>
      <c r="I131" s="130">
        <v>0</v>
      </c>
      <c r="J131" s="130">
        <v>0</v>
      </c>
      <c r="K131" s="130">
        <v>0</v>
      </c>
      <c r="L131" s="130">
        <v>0</v>
      </c>
      <c r="M131" s="130">
        <v>0</v>
      </c>
      <c r="N131" s="86">
        <v>0</v>
      </c>
      <c r="O131" s="130">
        <v>0</v>
      </c>
      <c r="P131" s="44">
        <v>0</v>
      </c>
      <c r="Q131" s="86">
        <v>0</v>
      </c>
      <c r="R131" s="45">
        <f t="shared" si="41"/>
        <v>0</v>
      </c>
    </row>
    <row r="132" spans="1:18" x14ac:dyDescent="0.25">
      <c r="A132" s="50">
        <v>4</v>
      </c>
      <c r="B132" s="89" t="s">
        <v>111</v>
      </c>
      <c r="C132" s="130">
        <v>0</v>
      </c>
      <c r="D132" s="130">
        <v>0</v>
      </c>
      <c r="E132" s="130">
        <v>0</v>
      </c>
      <c r="F132" s="130">
        <v>0</v>
      </c>
      <c r="G132" s="130">
        <v>0</v>
      </c>
      <c r="H132" s="130">
        <v>0</v>
      </c>
      <c r="I132" s="130">
        <v>0</v>
      </c>
      <c r="J132" s="130">
        <v>0</v>
      </c>
      <c r="K132" s="130">
        <v>0</v>
      </c>
      <c r="L132" s="130">
        <v>0</v>
      </c>
      <c r="M132" s="130">
        <v>0</v>
      </c>
      <c r="N132" s="86">
        <v>0</v>
      </c>
      <c r="O132" s="130">
        <v>0</v>
      </c>
      <c r="P132" s="44">
        <v>0</v>
      </c>
      <c r="Q132" s="86">
        <v>0</v>
      </c>
      <c r="R132" s="45">
        <f t="shared" si="41"/>
        <v>0</v>
      </c>
    </row>
    <row r="133" spans="1:18" x14ac:dyDescent="0.25">
      <c r="A133" s="50">
        <v>5</v>
      </c>
      <c r="B133" s="93" t="s">
        <v>112</v>
      </c>
      <c r="C133" s="86">
        <v>0</v>
      </c>
      <c r="D133" s="86">
        <v>0</v>
      </c>
      <c r="E133" s="94">
        <v>0</v>
      </c>
      <c r="F133" s="86">
        <v>0</v>
      </c>
      <c r="G133" s="86">
        <v>0</v>
      </c>
      <c r="H133" s="47">
        <v>0</v>
      </c>
      <c r="I133" s="86">
        <v>370</v>
      </c>
      <c r="J133" s="86">
        <v>825</v>
      </c>
      <c r="K133" s="94">
        <f t="shared" si="44"/>
        <v>44.848484848484851</v>
      </c>
      <c r="L133" s="86">
        <v>0</v>
      </c>
      <c r="M133" s="86">
        <v>0</v>
      </c>
      <c r="N133" s="86">
        <v>0</v>
      </c>
      <c r="O133" s="107">
        <v>8</v>
      </c>
      <c r="P133" s="92">
        <v>45</v>
      </c>
      <c r="Q133" s="86">
        <v>9</v>
      </c>
      <c r="R133" s="45">
        <f t="shared" si="41"/>
        <v>405</v>
      </c>
    </row>
    <row r="134" spans="1:18" s="66" customFormat="1" x14ac:dyDescent="0.25">
      <c r="A134" s="50">
        <v>6</v>
      </c>
      <c r="B134" s="93" t="s">
        <v>113</v>
      </c>
      <c r="C134" s="86">
        <v>0</v>
      </c>
      <c r="D134" s="86">
        <v>0</v>
      </c>
      <c r="E134" s="94">
        <v>0</v>
      </c>
      <c r="F134" s="86">
        <v>0</v>
      </c>
      <c r="G134" s="86">
        <v>0</v>
      </c>
      <c r="H134" s="47">
        <v>0</v>
      </c>
      <c r="I134" s="95">
        <v>0</v>
      </c>
      <c r="J134" s="86">
        <v>0</v>
      </c>
      <c r="K134" s="94">
        <v>0</v>
      </c>
      <c r="L134" s="86">
        <v>0</v>
      </c>
      <c r="M134" s="86">
        <v>0</v>
      </c>
      <c r="N134" s="86">
        <v>0</v>
      </c>
      <c r="O134" s="107">
        <v>4</v>
      </c>
      <c r="P134" s="88">
        <v>60</v>
      </c>
      <c r="Q134" s="86">
        <v>4</v>
      </c>
      <c r="R134" s="45">
        <f t="shared" si="41"/>
        <v>240</v>
      </c>
    </row>
    <row r="135" spans="1:18" x14ac:dyDescent="0.25">
      <c r="A135" s="50">
        <v>7</v>
      </c>
      <c r="B135" s="89" t="s">
        <v>114</v>
      </c>
      <c r="C135" s="51">
        <v>2713</v>
      </c>
      <c r="D135" s="51">
        <v>0</v>
      </c>
      <c r="E135" s="47">
        <v>0</v>
      </c>
      <c r="F135" s="51">
        <v>2713</v>
      </c>
      <c r="G135" s="51">
        <v>0</v>
      </c>
      <c r="H135" s="47">
        <v>0</v>
      </c>
      <c r="I135" s="51">
        <v>2713</v>
      </c>
      <c r="J135" s="51">
        <v>0</v>
      </c>
      <c r="K135" s="47">
        <v>0</v>
      </c>
      <c r="L135" s="51">
        <v>0</v>
      </c>
      <c r="M135" s="51">
        <v>0</v>
      </c>
      <c r="N135" s="47">
        <v>0</v>
      </c>
      <c r="O135" s="107">
        <v>14</v>
      </c>
      <c r="P135" s="87">
        <v>50</v>
      </c>
      <c r="Q135" s="86">
        <v>14</v>
      </c>
      <c r="R135" s="45">
        <f t="shared" si="41"/>
        <v>700</v>
      </c>
    </row>
    <row r="136" spans="1:18" s="60" customFormat="1" x14ac:dyDescent="0.25">
      <c r="A136" s="315" t="s">
        <v>115</v>
      </c>
      <c r="B136" s="315" t="s">
        <v>115</v>
      </c>
      <c r="C136" s="56">
        <f>SUM(C129:C135)</f>
        <v>16261</v>
      </c>
      <c r="D136" s="56">
        <f>SUM(D129:D135)</f>
        <v>3554</v>
      </c>
      <c r="E136" s="57">
        <f>C136/D136*100</f>
        <v>457.54079909960603</v>
      </c>
      <c r="F136" s="56">
        <f>SUM(F129:F135)</f>
        <v>16261</v>
      </c>
      <c r="G136" s="56">
        <f>SUM(G129:G135)</f>
        <v>3554</v>
      </c>
      <c r="H136" s="57">
        <f>F136/G136*100</f>
        <v>457.54079909960603</v>
      </c>
      <c r="I136" s="56">
        <f>SUM(I129:I135)</f>
        <v>15099</v>
      </c>
      <c r="J136" s="56">
        <f>SUM(J129:J135)</f>
        <v>4525</v>
      </c>
      <c r="K136" s="57">
        <f>I136/J136*100</f>
        <v>333.67955801104972</v>
      </c>
      <c r="L136" s="56">
        <f>SUM(L129:L135)</f>
        <v>0</v>
      </c>
      <c r="M136" s="56">
        <f>SUM(M129:M135)</f>
        <v>0</v>
      </c>
      <c r="N136" s="58">
        <v>0</v>
      </c>
      <c r="O136" s="56">
        <f>SUM(O129:O135)</f>
        <v>135</v>
      </c>
      <c r="P136" s="57">
        <f>R136/O136</f>
        <v>73.555555555555557</v>
      </c>
      <c r="Q136" s="58">
        <f>SUM(Q129:Q135)</f>
        <v>136</v>
      </c>
      <c r="R136" s="59">
        <f>SUM(R129:R135)</f>
        <v>9930</v>
      </c>
    </row>
    <row r="137" spans="1:18" ht="12" customHeight="1" x14ac:dyDescent="0.25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34"/>
      <c r="L137" s="46"/>
      <c r="M137" s="46"/>
      <c r="N137" s="46"/>
      <c r="O137" s="46"/>
      <c r="P137" s="62"/>
      <c r="Q137" s="46"/>
      <c r="R137" s="39"/>
    </row>
    <row r="138" spans="1:18" ht="12.75" customHeight="1" x14ac:dyDescent="0.25">
      <c r="A138" s="316" t="s">
        <v>116</v>
      </c>
      <c r="B138" s="317"/>
      <c r="C138" s="37">
        <v>3</v>
      </c>
      <c r="D138" s="37">
        <v>4</v>
      </c>
      <c r="E138" s="38">
        <v>5</v>
      </c>
      <c r="F138" s="37">
        <v>6</v>
      </c>
      <c r="G138" s="37">
        <v>7</v>
      </c>
      <c r="H138" s="37">
        <v>8</v>
      </c>
      <c r="I138" s="37">
        <v>9</v>
      </c>
      <c r="J138" s="37">
        <v>10</v>
      </c>
      <c r="K138" s="37">
        <v>11</v>
      </c>
      <c r="L138" s="37">
        <v>12</v>
      </c>
      <c r="M138" s="37">
        <v>13</v>
      </c>
      <c r="N138" s="37">
        <v>14</v>
      </c>
      <c r="O138" s="37">
        <v>15</v>
      </c>
      <c r="P138" s="38">
        <v>16</v>
      </c>
      <c r="Q138" s="37">
        <v>15</v>
      </c>
      <c r="R138" s="31"/>
    </row>
    <row r="139" spans="1:18" x14ac:dyDescent="0.25">
      <c r="A139" s="96">
        <v>1</v>
      </c>
      <c r="B139" s="78" t="s">
        <v>117</v>
      </c>
      <c r="C139" s="62">
        <v>8733321</v>
      </c>
      <c r="D139" s="62">
        <v>8118494</v>
      </c>
      <c r="E139" s="47">
        <f>C139/D139*100</f>
        <v>107.57316566348389</v>
      </c>
      <c r="F139" s="46">
        <v>8733321</v>
      </c>
      <c r="G139" s="46">
        <v>8118494</v>
      </c>
      <c r="H139" s="47">
        <f>F139/G139*100</f>
        <v>107.57316566348389</v>
      </c>
      <c r="I139" s="96">
        <v>8809425</v>
      </c>
      <c r="J139" s="96">
        <v>8807083</v>
      </c>
      <c r="K139" s="47">
        <f>I139/J139*100</f>
        <v>100.02659223263821</v>
      </c>
      <c r="L139" s="96">
        <v>3374059</v>
      </c>
      <c r="M139" s="96">
        <v>3920527</v>
      </c>
      <c r="N139" s="47">
        <f>L139/M139*100</f>
        <v>86.061363689116291</v>
      </c>
      <c r="O139" s="107">
        <v>2880</v>
      </c>
      <c r="P139" s="62">
        <v>145</v>
      </c>
      <c r="Q139" s="46">
        <v>2880</v>
      </c>
      <c r="R139" s="45">
        <f t="shared" ref="R139:R153" si="45">Q139*P139</f>
        <v>417600</v>
      </c>
    </row>
    <row r="140" spans="1:18" x14ac:dyDescent="0.25">
      <c r="A140" s="96">
        <v>2</v>
      </c>
      <c r="B140" s="78" t="s">
        <v>118</v>
      </c>
      <c r="C140" s="62">
        <v>2092720</v>
      </c>
      <c r="D140" s="62">
        <v>1737828</v>
      </c>
      <c r="E140" s="47">
        <f t="shared" ref="E140:E153" si="46">C140/D140*100</f>
        <v>120.42158372405095</v>
      </c>
      <c r="F140" s="46">
        <v>2092720</v>
      </c>
      <c r="G140" s="46">
        <v>1737828</v>
      </c>
      <c r="H140" s="47">
        <f t="shared" ref="H140:H153" si="47">F140/G140*100</f>
        <v>120.42158372405095</v>
      </c>
      <c r="I140" s="96">
        <v>1096749</v>
      </c>
      <c r="J140" s="96">
        <v>1593603</v>
      </c>
      <c r="K140" s="47">
        <f t="shared" ref="K140:K153" si="48">I140/J140*100</f>
        <v>68.821971344180454</v>
      </c>
      <c r="L140" s="46">
        <v>1076749</v>
      </c>
      <c r="M140" s="46">
        <v>1593603</v>
      </c>
      <c r="N140" s="47">
        <f t="shared" ref="N140:N153" si="49">L140/M140*100</f>
        <v>67.566953626467821</v>
      </c>
      <c r="O140" s="107">
        <v>896</v>
      </c>
      <c r="P140" s="62">
        <v>120</v>
      </c>
      <c r="Q140" s="46">
        <v>896</v>
      </c>
      <c r="R140" s="45">
        <f t="shared" si="45"/>
        <v>107520</v>
      </c>
    </row>
    <row r="141" spans="1:18" s="66" customFormat="1" x14ac:dyDescent="0.25">
      <c r="A141" s="96">
        <v>3</v>
      </c>
      <c r="B141" s="78" t="s">
        <v>119</v>
      </c>
      <c r="C141" s="76">
        <v>2131053</v>
      </c>
      <c r="D141" s="76">
        <v>2212232</v>
      </c>
      <c r="E141" s="47">
        <f t="shared" si="46"/>
        <v>96.330448162760504</v>
      </c>
      <c r="F141" s="96">
        <v>2131053</v>
      </c>
      <c r="G141" s="96">
        <v>2212232</v>
      </c>
      <c r="H141" s="47">
        <f t="shared" si="47"/>
        <v>96.330448162760504</v>
      </c>
      <c r="I141" s="96">
        <v>453390</v>
      </c>
      <c r="J141" s="96">
        <v>338093</v>
      </c>
      <c r="K141" s="47">
        <f t="shared" si="48"/>
        <v>134.10215532412678</v>
      </c>
      <c r="L141" s="96">
        <v>453390</v>
      </c>
      <c r="M141" s="96">
        <v>338093</v>
      </c>
      <c r="N141" s="47">
        <f t="shared" si="49"/>
        <v>134.10215532412678</v>
      </c>
      <c r="O141" s="107">
        <v>1205</v>
      </c>
      <c r="P141" s="76">
        <v>306</v>
      </c>
      <c r="Q141" s="96">
        <v>1205</v>
      </c>
      <c r="R141" s="45">
        <f t="shared" si="45"/>
        <v>368730</v>
      </c>
    </row>
    <row r="142" spans="1:18" x14ac:dyDescent="0.25">
      <c r="A142" s="96">
        <v>4</v>
      </c>
      <c r="B142" s="78" t="s">
        <v>120</v>
      </c>
      <c r="C142" s="62">
        <v>517527</v>
      </c>
      <c r="D142" s="62">
        <v>514974</v>
      </c>
      <c r="E142" s="47">
        <f t="shared" si="46"/>
        <v>100.49575318365586</v>
      </c>
      <c r="F142" s="46">
        <v>517527</v>
      </c>
      <c r="G142" s="46">
        <v>514974</v>
      </c>
      <c r="H142" s="47">
        <f t="shared" si="47"/>
        <v>100.49575318365586</v>
      </c>
      <c r="I142" s="46">
        <v>305440</v>
      </c>
      <c r="J142" s="46">
        <v>479046</v>
      </c>
      <c r="K142" s="47">
        <f t="shared" si="48"/>
        <v>63.760056445518799</v>
      </c>
      <c r="L142" s="46">
        <v>305440</v>
      </c>
      <c r="M142" s="46">
        <v>479046</v>
      </c>
      <c r="N142" s="47">
        <f t="shared" si="49"/>
        <v>63.760056445518799</v>
      </c>
      <c r="O142" s="107">
        <v>557</v>
      </c>
      <c r="P142" s="62">
        <v>150</v>
      </c>
      <c r="Q142" s="46">
        <v>566</v>
      </c>
      <c r="R142" s="45">
        <f t="shared" si="45"/>
        <v>84900</v>
      </c>
    </row>
    <row r="143" spans="1:18" x14ac:dyDescent="0.25">
      <c r="A143" s="96">
        <v>5</v>
      </c>
      <c r="B143" s="78" t="s">
        <v>121</v>
      </c>
      <c r="C143" s="130">
        <v>0</v>
      </c>
      <c r="D143" s="130">
        <v>0</v>
      </c>
      <c r="E143" s="130">
        <v>0</v>
      </c>
      <c r="F143" s="130">
        <v>0</v>
      </c>
      <c r="G143" s="130">
        <v>0</v>
      </c>
      <c r="H143" s="130">
        <v>0</v>
      </c>
      <c r="I143" s="130">
        <v>0</v>
      </c>
      <c r="J143" s="130">
        <v>0</v>
      </c>
      <c r="K143" s="130">
        <v>0</v>
      </c>
      <c r="L143" s="130">
        <v>0</v>
      </c>
      <c r="M143" s="130">
        <v>0</v>
      </c>
      <c r="N143" s="47">
        <v>0</v>
      </c>
      <c r="O143" s="130">
        <v>0</v>
      </c>
      <c r="P143" s="44">
        <v>0</v>
      </c>
      <c r="Q143" s="130">
        <v>0</v>
      </c>
      <c r="R143" s="45">
        <f t="shared" si="45"/>
        <v>0</v>
      </c>
    </row>
    <row r="144" spans="1:18" x14ac:dyDescent="0.25">
      <c r="A144" s="96">
        <v>6</v>
      </c>
      <c r="B144" s="78" t="s">
        <v>122</v>
      </c>
      <c r="C144" s="76">
        <v>1665870</v>
      </c>
      <c r="D144" s="76">
        <v>1779622</v>
      </c>
      <c r="E144" s="47">
        <f t="shared" si="46"/>
        <v>93.608080817162303</v>
      </c>
      <c r="F144" s="96">
        <v>1665870</v>
      </c>
      <c r="G144" s="96">
        <v>1779622</v>
      </c>
      <c r="H144" s="47">
        <f t="shared" si="47"/>
        <v>93.608080817162303</v>
      </c>
      <c r="I144" s="96">
        <v>1683977</v>
      </c>
      <c r="J144" s="96">
        <v>1848292</v>
      </c>
      <c r="K144" s="47">
        <f t="shared" si="48"/>
        <v>91.109900383705593</v>
      </c>
      <c r="L144" s="96">
        <v>1683977</v>
      </c>
      <c r="M144" s="96">
        <v>1848292</v>
      </c>
      <c r="N144" s="47">
        <f t="shared" si="49"/>
        <v>91.109900383705593</v>
      </c>
      <c r="O144" s="107">
        <v>477</v>
      </c>
      <c r="P144" s="76">
        <v>150</v>
      </c>
      <c r="Q144" s="96">
        <v>477</v>
      </c>
      <c r="R144" s="45">
        <f t="shared" si="45"/>
        <v>71550</v>
      </c>
    </row>
    <row r="145" spans="1:18" x14ac:dyDescent="0.25">
      <c r="A145" s="96">
        <v>7</v>
      </c>
      <c r="B145" s="78" t="s">
        <v>123</v>
      </c>
      <c r="C145" s="130">
        <v>0</v>
      </c>
      <c r="D145" s="130">
        <v>0</v>
      </c>
      <c r="E145" s="130">
        <v>0</v>
      </c>
      <c r="F145" s="130">
        <v>0</v>
      </c>
      <c r="G145" s="130">
        <v>0</v>
      </c>
      <c r="H145" s="130">
        <v>0</v>
      </c>
      <c r="I145" s="130">
        <v>0</v>
      </c>
      <c r="J145" s="130">
        <v>0</v>
      </c>
      <c r="K145" s="130">
        <v>0</v>
      </c>
      <c r="L145" s="130">
        <v>0</v>
      </c>
      <c r="M145" s="130">
        <v>0</v>
      </c>
      <c r="N145" s="47">
        <v>0</v>
      </c>
      <c r="O145" s="130">
        <v>0</v>
      </c>
      <c r="P145" s="44">
        <v>0</v>
      </c>
      <c r="Q145" s="130">
        <v>0</v>
      </c>
      <c r="R145" s="45">
        <f t="shared" si="45"/>
        <v>0</v>
      </c>
    </row>
    <row r="146" spans="1:18" x14ac:dyDescent="0.25">
      <c r="A146" s="96">
        <v>8</v>
      </c>
      <c r="B146" s="78" t="s">
        <v>124</v>
      </c>
      <c r="C146" s="130">
        <v>0</v>
      </c>
      <c r="D146" s="130">
        <v>0</v>
      </c>
      <c r="E146" s="130">
        <v>0</v>
      </c>
      <c r="F146" s="130">
        <v>0</v>
      </c>
      <c r="G146" s="130">
        <v>0</v>
      </c>
      <c r="H146" s="130">
        <v>0</v>
      </c>
      <c r="I146" s="130">
        <v>0</v>
      </c>
      <c r="J146" s="130">
        <v>0</v>
      </c>
      <c r="K146" s="130">
        <v>0</v>
      </c>
      <c r="L146" s="130">
        <v>0</v>
      </c>
      <c r="M146" s="130">
        <v>0</v>
      </c>
      <c r="N146" s="47">
        <v>0</v>
      </c>
      <c r="O146" s="130">
        <v>0</v>
      </c>
      <c r="P146" s="44">
        <v>0</v>
      </c>
      <c r="Q146" s="130">
        <v>0</v>
      </c>
      <c r="R146" s="45">
        <f t="shared" si="45"/>
        <v>0</v>
      </c>
    </row>
    <row r="147" spans="1:18" s="66" customFormat="1" x14ac:dyDescent="0.25">
      <c r="A147" s="96">
        <v>9</v>
      </c>
      <c r="B147" s="78" t="s">
        <v>125</v>
      </c>
      <c r="C147" s="76">
        <v>1716869</v>
      </c>
      <c r="D147" s="76">
        <v>1389234</v>
      </c>
      <c r="E147" s="47">
        <f t="shared" si="46"/>
        <v>123.5838598824964</v>
      </c>
      <c r="F147" s="46">
        <v>1716869</v>
      </c>
      <c r="G147" s="46">
        <v>1389234</v>
      </c>
      <c r="H147" s="47">
        <f t="shared" si="47"/>
        <v>123.5838598824964</v>
      </c>
      <c r="I147" s="46">
        <v>2420892</v>
      </c>
      <c r="J147" s="46">
        <v>621092</v>
      </c>
      <c r="K147" s="47">
        <f t="shared" si="48"/>
        <v>389.77993598371899</v>
      </c>
      <c r="L147" s="46">
        <v>2420892</v>
      </c>
      <c r="M147" s="46">
        <v>621092</v>
      </c>
      <c r="N147" s="47">
        <f t="shared" si="49"/>
        <v>389.77993598371899</v>
      </c>
      <c r="O147" s="107">
        <v>802</v>
      </c>
      <c r="P147" s="62">
        <v>100</v>
      </c>
      <c r="Q147" s="46">
        <v>802</v>
      </c>
      <c r="R147" s="45">
        <f t="shared" si="45"/>
        <v>80200</v>
      </c>
    </row>
    <row r="148" spans="1:18" x14ac:dyDescent="0.25">
      <c r="A148" s="96">
        <v>10</v>
      </c>
      <c r="B148" s="78" t="s">
        <v>126</v>
      </c>
      <c r="C148" s="76">
        <v>3338654</v>
      </c>
      <c r="D148" s="76">
        <v>2895329</v>
      </c>
      <c r="E148" s="47">
        <f t="shared" si="46"/>
        <v>115.31173141290678</v>
      </c>
      <c r="F148" s="76">
        <v>3338654</v>
      </c>
      <c r="G148" s="76">
        <v>2895329</v>
      </c>
      <c r="H148" s="47">
        <f t="shared" si="47"/>
        <v>115.31173141290678</v>
      </c>
      <c r="I148" s="46">
        <v>2749501</v>
      </c>
      <c r="J148" s="46">
        <v>3157775</v>
      </c>
      <c r="K148" s="47">
        <f t="shared" si="48"/>
        <v>87.070833102421801</v>
      </c>
      <c r="L148" s="46">
        <v>2749396</v>
      </c>
      <c r="M148" s="46">
        <v>3157674</v>
      </c>
      <c r="N148" s="47">
        <f t="shared" si="49"/>
        <v>87.070292880138993</v>
      </c>
      <c r="O148" s="107">
        <v>658</v>
      </c>
      <c r="P148" s="62">
        <v>125</v>
      </c>
      <c r="Q148" s="46">
        <v>663</v>
      </c>
      <c r="R148" s="45">
        <f t="shared" si="45"/>
        <v>82875</v>
      </c>
    </row>
    <row r="149" spans="1:18" x14ac:dyDescent="0.25">
      <c r="A149" s="96">
        <v>11</v>
      </c>
      <c r="B149" s="78" t="s">
        <v>127</v>
      </c>
      <c r="C149" s="62">
        <v>2294395</v>
      </c>
      <c r="D149" s="62">
        <v>2602339</v>
      </c>
      <c r="E149" s="47">
        <f t="shared" si="46"/>
        <v>88.166645467788783</v>
      </c>
      <c r="F149" s="46">
        <v>2294395</v>
      </c>
      <c r="G149" s="46">
        <v>2602339</v>
      </c>
      <c r="H149" s="47">
        <f t="shared" si="47"/>
        <v>88.166645467788783</v>
      </c>
      <c r="I149" s="46">
        <v>2302536</v>
      </c>
      <c r="J149" s="46">
        <v>2342706</v>
      </c>
      <c r="K149" s="47">
        <f t="shared" si="48"/>
        <v>98.285316211253132</v>
      </c>
      <c r="L149" s="46">
        <v>2302536</v>
      </c>
      <c r="M149" s="46">
        <v>2342706</v>
      </c>
      <c r="N149" s="47">
        <f t="shared" si="49"/>
        <v>98.285316211253132</v>
      </c>
      <c r="O149" s="107">
        <v>540</v>
      </c>
      <c r="P149" s="62">
        <v>168</v>
      </c>
      <c r="Q149" s="46">
        <v>540</v>
      </c>
      <c r="R149" s="45">
        <f t="shared" si="45"/>
        <v>90720</v>
      </c>
    </row>
    <row r="150" spans="1:18" x14ac:dyDescent="0.25">
      <c r="A150" s="96">
        <v>12</v>
      </c>
      <c r="B150" s="78" t="s">
        <v>128</v>
      </c>
      <c r="C150" s="51">
        <v>250</v>
      </c>
      <c r="D150" s="51">
        <v>0</v>
      </c>
      <c r="E150" s="47">
        <v>0</v>
      </c>
      <c r="F150" s="51">
        <v>250</v>
      </c>
      <c r="G150" s="51">
        <v>0</v>
      </c>
      <c r="H150" s="47">
        <v>0</v>
      </c>
      <c r="I150" s="51">
        <v>250</v>
      </c>
      <c r="J150" s="51">
        <v>0</v>
      </c>
      <c r="K150" s="47">
        <v>0</v>
      </c>
      <c r="L150" s="51">
        <v>0</v>
      </c>
      <c r="M150" s="51">
        <v>0</v>
      </c>
      <c r="N150" s="47">
        <v>0</v>
      </c>
      <c r="O150" s="107">
        <v>8</v>
      </c>
      <c r="P150" s="62">
        <v>40</v>
      </c>
      <c r="Q150" s="46">
        <v>9</v>
      </c>
      <c r="R150" s="45">
        <f t="shared" si="45"/>
        <v>360</v>
      </c>
    </row>
    <row r="151" spans="1:18" x14ac:dyDescent="0.25">
      <c r="A151" s="96">
        <v>13</v>
      </c>
      <c r="B151" s="78" t="s">
        <v>129</v>
      </c>
      <c r="C151" s="46">
        <v>0</v>
      </c>
      <c r="D151" s="46">
        <v>0</v>
      </c>
      <c r="E151" s="46">
        <v>0</v>
      </c>
      <c r="F151" s="46">
        <v>0</v>
      </c>
      <c r="G151" s="46">
        <v>0</v>
      </c>
      <c r="H151" s="46">
        <v>0</v>
      </c>
      <c r="I151" s="46">
        <v>0</v>
      </c>
      <c r="J151" s="46">
        <v>0</v>
      </c>
      <c r="K151" s="46">
        <v>0</v>
      </c>
      <c r="L151" s="46">
        <v>0</v>
      </c>
      <c r="M151" s="46">
        <v>0</v>
      </c>
      <c r="N151" s="47">
        <v>0</v>
      </c>
      <c r="O151" s="107">
        <v>0</v>
      </c>
      <c r="P151" s="44">
        <v>0</v>
      </c>
      <c r="Q151" s="46">
        <v>0</v>
      </c>
      <c r="R151" s="45">
        <f t="shared" si="45"/>
        <v>0</v>
      </c>
    </row>
    <row r="152" spans="1:18" x14ac:dyDescent="0.25">
      <c r="A152" s="96">
        <v>14</v>
      </c>
      <c r="B152" s="78" t="s">
        <v>130</v>
      </c>
      <c r="C152" s="76">
        <v>263878</v>
      </c>
      <c r="D152" s="76">
        <v>217635</v>
      </c>
      <c r="E152" s="47">
        <f t="shared" si="46"/>
        <v>121.24796103567901</v>
      </c>
      <c r="F152" s="96">
        <v>263878</v>
      </c>
      <c r="G152" s="96">
        <v>217635</v>
      </c>
      <c r="H152" s="47">
        <f t="shared" si="47"/>
        <v>121.24796103567901</v>
      </c>
      <c r="I152" s="96">
        <v>265126</v>
      </c>
      <c r="J152" s="96">
        <v>219025</v>
      </c>
      <c r="K152" s="47">
        <f t="shared" si="48"/>
        <v>121.04828215957082</v>
      </c>
      <c r="L152" s="96">
        <v>0</v>
      </c>
      <c r="M152" s="96">
        <v>0</v>
      </c>
      <c r="N152" s="47">
        <v>0</v>
      </c>
      <c r="O152" s="107">
        <v>300</v>
      </c>
      <c r="P152" s="76">
        <v>58</v>
      </c>
      <c r="Q152" s="96">
        <v>301</v>
      </c>
      <c r="R152" s="45">
        <f t="shared" si="45"/>
        <v>17458</v>
      </c>
    </row>
    <row r="153" spans="1:18" x14ac:dyDescent="0.25">
      <c r="A153" s="96">
        <v>15</v>
      </c>
      <c r="B153" s="78" t="s">
        <v>131</v>
      </c>
      <c r="C153" s="62">
        <v>2633172</v>
      </c>
      <c r="D153" s="62">
        <v>2743052</v>
      </c>
      <c r="E153" s="47">
        <f t="shared" si="46"/>
        <v>95.994242908993343</v>
      </c>
      <c r="F153" s="46">
        <v>2633172</v>
      </c>
      <c r="G153" s="46">
        <v>2743052</v>
      </c>
      <c r="H153" s="47">
        <f t="shared" si="47"/>
        <v>95.994242908993343</v>
      </c>
      <c r="I153" s="46">
        <v>1686835</v>
      </c>
      <c r="J153" s="46">
        <v>2529248</v>
      </c>
      <c r="K153" s="47">
        <f t="shared" si="48"/>
        <v>66.693143574690978</v>
      </c>
      <c r="L153" s="46">
        <v>1683527</v>
      </c>
      <c r="M153" s="46">
        <v>2513587</v>
      </c>
      <c r="N153" s="47">
        <f t="shared" si="49"/>
        <v>66.977073003639816</v>
      </c>
      <c r="O153" s="107">
        <v>650</v>
      </c>
      <c r="P153" s="62">
        <v>130</v>
      </c>
      <c r="Q153" s="46">
        <v>656</v>
      </c>
      <c r="R153" s="45">
        <f t="shared" si="45"/>
        <v>85280</v>
      </c>
    </row>
    <row r="154" spans="1:18" s="60" customFormat="1" x14ac:dyDescent="0.25">
      <c r="A154" s="315" t="s">
        <v>132</v>
      </c>
      <c r="B154" s="315" t="s">
        <v>133</v>
      </c>
      <c r="C154" s="56">
        <f>SUM(C139:C153)</f>
        <v>25387709</v>
      </c>
      <c r="D154" s="56">
        <f>SUM(D139:D153)</f>
        <v>24210739</v>
      </c>
      <c r="E154" s="57">
        <f>C154/D154*100</f>
        <v>104.86135512013904</v>
      </c>
      <c r="F154" s="56">
        <f>SUM(F139:F153)</f>
        <v>25387709</v>
      </c>
      <c r="G154" s="56">
        <f>SUM(G139:G153)</f>
        <v>24210739</v>
      </c>
      <c r="H154" s="57">
        <f>F154/G154*100</f>
        <v>104.86135512013904</v>
      </c>
      <c r="I154" s="56">
        <f>SUM(I139:I153)</f>
        <v>21774121</v>
      </c>
      <c r="J154" s="56">
        <f>SUM(J139:J153)</f>
        <v>21935963</v>
      </c>
      <c r="K154" s="57">
        <f>I154/J154*100</f>
        <v>99.262206997705093</v>
      </c>
      <c r="L154" s="56">
        <f>SUM(L139:L153)</f>
        <v>16049966</v>
      </c>
      <c r="M154" s="56">
        <f>SUM(M139:M153)</f>
        <v>16814620</v>
      </c>
      <c r="N154" s="57">
        <f>L154/M154*100</f>
        <v>95.452445550360338</v>
      </c>
      <c r="O154" s="56">
        <f>SUM(O139:O153)</f>
        <v>8973</v>
      </c>
      <c r="P154" s="57">
        <f>R154/O154</f>
        <v>156.82525353839296</v>
      </c>
      <c r="Q154" s="58">
        <f>SUM(Q139:Q153)</f>
        <v>8995</v>
      </c>
      <c r="R154" s="59">
        <f>SUM(R139:R153)</f>
        <v>1407193</v>
      </c>
    </row>
    <row r="155" spans="1:18" ht="12" customHeight="1" x14ac:dyDescent="0.25">
      <c r="A155" s="37"/>
      <c r="B155" s="37"/>
      <c r="C155" s="96"/>
      <c r="D155" s="96"/>
      <c r="E155" s="97"/>
      <c r="F155" s="96"/>
      <c r="G155" s="96"/>
      <c r="H155" s="97"/>
      <c r="I155" s="96"/>
      <c r="J155" s="96"/>
      <c r="K155" s="34"/>
      <c r="L155" s="96"/>
      <c r="M155" s="96"/>
      <c r="N155" s="97"/>
      <c r="O155" s="98"/>
      <c r="P155" s="76"/>
      <c r="Q155" s="98"/>
      <c r="R155" s="31"/>
    </row>
    <row r="156" spans="1:18" ht="13.5" customHeight="1" x14ac:dyDescent="0.25">
      <c r="A156" s="99"/>
      <c r="B156" s="99" t="s">
        <v>13</v>
      </c>
      <c r="C156" s="37">
        <v>3</v>
      </c>
      <c r="D156" s="37">
        <v>4</v>
      </c>
      <c r="E156" s="38">
        <v>5</v>
      </c>
      <c r="F156" s="37">
        <v>6</v>
      </c>
      <c r="G156" s="37">
        <v>7</v>
      </c>
      <c r="H156" s="37">
        <v>8</v>
      </c>
      <c r="I156" s="37">
        <v>9</v>
      </c>
      <c r="J156" s="37">
        <v>10</v>
      </c>
      <c r="K156" s="37">
        <v>11</v>
      </c>
      <c r="L156" s="37">
        <v>12</v>
      </c>
      <c r="M156" s="37">
        <v>13</v>
      </c>
      <c r="N156" s="37">
        <v>14</v>
      </c>
      <c r="O156" s="37">
        <v>15</v>
      </c>
      <c r="P156" s="38">
        <v>16</v>
      </c>
      <c r="Q156" s="37">
        <v>15</v>
      </c>
      <c r="R156" s="100"/>
    </row>
    <row r="157" spans="1:18" x14ac:dyDescent="0.25">
      <c r="A157" s="96">
        <v>1</v>
      </c>
      <c r="B157" s="84" t="s">
        <v>134</v>
      </c>
      <c r="C157" s="96">
        <v>1708</v>
      </c>
      <c r="D157" s="96">
        <v>12248</v>
      </c>
      <c r="E157" s="47">
        <f>C157/D157*100</f>
        <v>13.945133899412149</v>
      </c>
      <c r="F157" s="34">
        <v>1708</v>
      </c>
      <c r="G157" s="96">
        <v>12248</v>
      </c>
      <c r="H157" s="47">
        <f>F157/G157*100</f>
        <v>13.945133899412149</v>
      </c>
      <c r="I157" s="96">
        <v>1708</v>
      </c>
      <c r="J157" s="96">
        <v>12248</v>
      </c>
      <c r="K157" s="47">
        <f t="shared" ref="K157:K161" si="50">I157/J157*100</f>
        <v>13.945133899412149</v>
      </c>
      <c r="L157" s="96">
        <v>0</v>
      </c>
      <c r="M157" s="96">
        <v>0</v>
      </c>
      <c r="N157" s="47">
        <v>0</v>
      </c>
      <c r="O157" s="96">
        <v>49</v>
      </c>
      <c r="P157" s="76">
        <v>66</v>
      </c>
      <c r="Q157" s="96">
        <v>49</v>
      </c>
      <c r="R157" s="45">
        <f>Q157*P157</f>
        <v>3234</v>
      </c>
    </row>
    <row r="158" spans="1:18" s="66" customFormat="1" x14ac:dyDescent="0.25">
      <c r="A158" s="96">
        <v>2</v>
      </c>
      <c r="B158" s="84" t="s">
        <v>135</v>
      </c>
      <c r="C158" s="51">
        <v>616670</v>
      </c>
      <c r="D158" s="51">
        <v>423676</v>
      </c>
      <c r="E158" s="47">
        <f t="shared" ref="E158:E161" si="51">C158/D158*100</f>
        <v>145.55226163389005</v>
      </c>
      <c r="F158" s="51">
        <v>616670</v>
      </c>
      <c r="G158" s="51">
        <v>423676</v>
      </c>
      <c r="H158" s="47">
        <f t="shared" ref="H158:H161" si="52">F158/G158*100</f>
        <v>145.55226163389005</v>
      </c>
      <c r="I158" s="51">
        <v>439983</v>
      </c>
      <c r="J158" s="51">
        <v>336162</v>
      </c>
      <c r="K158" s="47">
        <f t="shared" si="50"/>
        <v>130.88421653845467</v>
      </c>
      <c r="L158" s="51">
        <v>179750</v>
      </c>
      <c r="M158" s="51">
        <v>211547</v>
      </c>
      <c r="N158" s="47">
        <f t="shared" ref="N158" si="53">L158/M158*100</f>
        <v>84.969297602896759</v>
      </c>
      <c r="O158" s="96">
        <v>475</v>
      </c>
      <c r="P158" s="76">
        <v>110</v>
      </c>
      <c r="Q158" s="96">
        <v>475</v>
      </c>
      <c r="R158" s="45">
        <f>Q158*P158</f>
        <v>52250</v>
      </c>
    </row>
    <row r="159" spans="1:18" x14ac:dyDescent="0.25">
      <c r="A159" s="96">
        <v>3</v>
      </c>
      <c r="B159" s="84" t="s">
        <v>136</v>
      </c>
      <c r="C159" s="46">
        <v>0</v>
      </c>
      <c r="D159" s="46">
        <v>0</v>
      </c>
      <c r="E159" s="46">
        <v>0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0</v>
      </c>
      <c r="L159" s="46">
        <v>0</v>
      </c>
      <c r="M159" s="46">
        <v>0</v>
      </c>
      <c r="N159" s="47">
        <v>0</v>
      </c>
      <c r="O159" s="96">
        <v>0</v>
      </c>
      <c r="P159" s="76">
        <v>55</v>
      </c>
      <c r="Q159" s="96">
        <v>16</v>
      </c>
      <c r="R159" s="45">
        <f>Q159*P159</f>
        <v>880</v>
      </c>
    </row>
    <row r="160" spans="1:18" x14ac:dyDescent="0.25">
      <c r="A160" s="96">
        <v>4</v>
      </c>
      <c r="B160" s="84" t="s">
        <v>137</v>
      </c>
      <c r="C160" s="96">
        <v>78006</v>
      </c>
      <c r="D160" s="96">
        <v>448167</v>
      </c>
      <c r="E160" s="47">
        <f t="shared" si="51"/>
        <v>17.405565336135862</v>
      </c>
      <c r="F160" s="96">
        <v>78006</v>
      </c>
      <c r="G160" s="101">
        <v>448167</v>
      </c>
      <c r="H160" s="47">
        <f t="shared" si="52"/>
        <v>17.405565336135862</v>
      </c>
      <c r="I160" s="101">
        <v>76412</v>
      </c>
      <c r="J160" s="101">
        <v>31360</v>
      </c>
      <c r="K160" s="47">
        <f t="shared" si="50"/>
        <v>243.66071428571431</v>
      </c>
      <c r="L160" s="101">
        <v>3915</v>
      </c>
      <c r="M160" s="101">
        <v>0</v>
      </c>
      <c r="N160" s="47">
        <v>0</v>
      </c>
      <c r="O160" s="96">
        <v>290</v>
      </c>
      <c r="P160" s="76">
        <v>33</v>
      </c>
      <c r="Q160" s="96">
        <v>306</v>
      </c>
      <c r="R160" s="45">
        <f>Q160*P160</f>
        <v>10098</v>
      </c>
    </row>
    <row r="161" spans="1:18" x14ac:dyDescent="0.25">
      <c r="A161" s="96">
        <v>5</v>
      </c>
      <c r="B161" s="84" t="s">
        <v>138</v>
      </c>
      <c r="C161" s="96">
        <v>0</v>
      </c>
      <c r="D161" s="96">
        <v>59265</v>
      </c>
      <c r="E161" s="47">
        <f t="shared" si="51"/>
        <v>0</v>
      </c>
      <c r="F161" s="96">
        <v>0</v>
      </c>
      <c r="G161" s="96">
        <v>59265</v>
      </c>
      <c r="H161" s="47">
        <f t="shared" si="52"/>
        <v>0</v>
      </c>
      <c r="I161" s="96">
        <v>39408</v>
      </c>
      <c r="J161" s="96">
        <v>166562</v>
      </c>
      <c r="K161" s="47">
        <f t="shared" si="50"/>
        <v>23.659658265390664</v>
      </c>
      <c r="L161" s="96">
        <v>0</v>
      </c>
      <c r="M161" s="96">
        <v>0</v>
      </c>
      <c r="N161" s="47">
        <v>0</v>
      </c>
      <c r="O161" s="96"/>
      <c r="P161" s="76">
        <v>51</v>
      </c>
      <c r="Q161" s="96">
        <v>478</v>
      </c>
      <c r="R161" s="45">
        <f>Q161*P161</f>
        <v>24378</v>
      </c>
    </row>
    <row r="162" spans="1:18" s="60" customFormat="1" x14ac:dyDescent="0.25">
      <c r="A162" s="315" t="s">
        <v>174</v>
      </c>
      <c r="B162" s="315" t="s">
        <v>139</v>
      </c>
      <c r="C162" s="56">
        <f>SUM(C157:C161)</f>
        <v>696384</v>
      </c>
      <c r="D162" s="56">
        <f>SUM(D157:D161)</f>
        <v>943356</v>
      </c>
      <c r="E162" s="57">
        <f>C162/D162*100</f>
        <v>73.819851678475572</v>
      </c>
      <c r="F162" s="56">
        <f>SUM(F157:F161)</f>
        <v>696384</v>
      </c>
      <c r="G162" s="56">
        <f>SUM(G157:G161)</f>
        <v>943356</v>
      </c>
      <c r="H162" s="57">
        <f>F162/G162*100</f>
        <v>73.819851678475572</v>
      </c>
      <c r="I162" s="56">
        <f>SUM(I157:I161)</f>
        <v>557511</v>
      </c>
      <c r="J162" s="56">
        <f>SUM(J157:J161)</f>
        <v>546332</v>
      </c>
      <c r="K162" s="57">
        <f>I162/J162*100</f>
        <v>102.04619169296325</v>
      </c>
      <c r="L162" s="56">
        <f>SUM(L157:L161)</f>
        <v>183665</v>
      </c>
      <c r="M162" s="56">
        <f>SUM(M157:M161)</f>
        <v>211547</v>
      </c>
      <c r="N162" s="57">
        <f>L162/M162*100</f>
        <v>86.819950176556517</v>
      </c>
      <c r="O162" s="56">
        <f>SUM(O157:O161)</f>
        <v>814</v>
      </c>
      <c r="P162" s="57">
        <f>R162/O162</f>
        <v>111.5970515970516</v>
      </c>
      <c r="Q162" s="58">
        <f>SUM(Q157:Q161)</f>
        <v>1324</v>
      </c>
      <c r="R162" s="59">
        <f>SUM(R157:R161)</f>
        <v>90840</v>
      </c>
    </row>
    <row r="163" spans="1:18" x14ac:dyDescent="0.25">
      <c r="A163" s="102"/>
      <c r="B163" s="103"/>
      <c r="C163" s="104"/>
      <c r="D163" s="104"/>
      <c r="E163" s="105"/>
      <c r="F163" s="104"/>
      <c r="G163" s="104"/>
      <c r="H163" s="105"/>
      <c r="I163" s="104"/>
      <c r="J163" s="104"/>
      <c r="K163" s="105"/>
      <c r="L163" s="104"/>
      <c r="M163" s="104"/>
      <c r="N163" s="105"/>
      <c r="O163" s="104"/>
      <c r="P163" s="104"/>
      <c r="Q163" s="104"/>
      <c r="R163" s="106"/>
    </row>
    <row r="164" spans="1:18" x14ac:dyDescent="0.25">
      <c r="A164" s="96"/>
      <c r="B164" s="37"/>
      <c r="C164" s="38"/>
      <c r="D164" s="318"/>
      <c r="E164" s="318"/>
      <c r="F164" s="318"/>
      <c r="G164" s="108"/>
      <c r="H164" s="108"/>
      <c r="I164" s="108"/>
      <c r="J164" s="335"/>
      <c r="K164" s="335"/>
      <c r="L164" s="335"/>
      <c r="M164" s="335"/>
      <c r="N164" s="335"/>
      <c r="O164" s="335"/>
      <c r="P164" s="109"/>
      <c r="Q164" s="110"/>
      <c r="R164" s="111"/>
    </row>
    <row r="165" spans="1:18" x14ac:dyDescent="0.25">
      <c r="A165" s="319" t="s">
        <v>140</v>
      </c>
      <c r="B165" s="320"/>
      <c r="C165" s="37">
        <v>3</v>
      </c>
      <c r="D165" s="37">
        <v>4</v>
      </c>
      <c r="E165" s="38">
        <v>5</v>
      </c>
      <c r="F165" s="37">
        <v>6</v>
      </c>
      <c r="G165" s="37">
        <v>7</v>
      </c>
      <c r="H165" s="37">
        <v>8</v>
      </c>
      <c r="I165" s="37">
        <v>9</v>
      </c>
      <c r="J165" s="37">
        <v>10</v>
      </c>
      <c r="K165" s="37">
        <v>11</v>
      </c>
      <c r="L165" s="37">
        <v>12</v>
      </c>
      <c r="M165" s="37">
        <v>13</v>
      </c>
      <c r="N165" s="37">
        <v>14</v>
      </c>
      <c r="O165" s="37">
        <v>15</v>
      </c>
      <c r="P165" s="38">
        <v>16</v>
      </c>
      <c r="Q165" s="37">
        <v>15</v>
      </c>
      <c r="R165" s="23"/>
    </row>
    <row r="166" spans="1:18" x14ac:dyDescent="0.25">
      <c r="A166" s="102">
        <v>1</v>
      </c>
      <c r="B166" s="113" t="s">
        <v>141</v>
      </c>
      <c r="C166" s="96">
        <v>0</v>
      </c>
      <c r="D166" s="96">
        <v>264</v>
      </c>
      <c r="E166" s="97">
        <f t="shared" ref="E166:E175" si="54">C166/D166*100</f>
        <v>0</v>
      </c>
      <c r="F166" s="96">
        <v>0</v>
      </c>
      <c r="G166" s="96">
        <v>264</v>
      </c>
      <c r="H166" s="96">
        <f t="shared" ref="H166:H175" si="55">F166/G166*100</f>
        <v>0</v>
      </c>
      <c r="I166" s="96">
        <v>4295</v>
      </c>
      <c r="J166" s="96">
        <v>2625</v>
      </c>
      <c r="K166" s="97">
        <f t="shared" ref="K166:K175" si="56">I166/J166*100</f>
        <v>163.61904761904762</v>
      </c>
      <c r="L166" s="96">
        <v>0</v>
      </c>
      <c r="M166" s="96">
        <v>0</v>
      </c>
      <c r="N166" s="96">
        <v>0</v>
      </c>
      <c r="O166" s="96">
        <v>69</v>
      </c>
      <c r="P166" s="96">
        <v>96</v>
      </c>
      <c r="Q166" s="96">
        <v>69</v>
      </c>
      <c r="R166" s="45">
        <f t="shared" ref="R166:R175" si="57">Q166*P166</f>
        <v>6624</v>
      </c>
    </row>
    <row r="167" spans="1:18" x14ac:dyDescent="0.25">
      <c r="A167" s="112">
        <v>2</v>
      </c>
      <c r="B167" s="113" t="s">
        <v>142</v>
      </c>
      <c r="C167" s="96">
        <v>133568</v>
      </c>
      <c r="D167" s="96">
        <v>8162</v>
      </c>
      <c r="E167" s="76">
        <f t="shared" si="54"/>
        <v>1636.4616515559912</v>
      </c>
      <c r="F167" s="96">
        <v>133568</v>
      </c>
      <c r="G167" s="96">
        <v>8162</v>
      </c>
      <c r="H167" s="97">
        <f t="shared" si="55"/>
        <v>1636.4616515559912</v>
      </c>
      <c r="I167" s="96">
        <v>133568</v>
      </c>
      <c r="J167" s="96">
        <v>8162</v>
      </c>
      <c r="K167" s="96">
        <f t="shared" si="56"/>
        <v>1636.4616515559912</v>
      </c>
      <c r="L167" s="96">
        <v>133568</v>
      </c>
      <c r="M167" s="96">
        <v>8162</v>
      </c>
      <c r="N167" s="97">
        <f t="shared" ref="N167:N175" si="58">L167/M167*100</f>
        <v>1636.4616515559912</v>
      </c>
      <c r="O167" s="96">
        <v>130</v>
      </c>
      <c r="P167" s="96">
        <v>94</v>
      </c>
      <c r="Q167" s="96">
        <v>130</v>
      </c>
      <c r="R167" s="45">
        <f t="shared" si="57"/>
        <v>12220</v>
      </c>
    </row>
    <row r="168" spans="1:18" s="80" customFormat="1" x14ac:dyDescent="0.25">
      <c r="A168" s="102">
        <v>3</v>
      </c>
      <c r="B168" s="113" t="s">
        <v>143</v>
      </c>
      <c r="C168" s="96">
        <v>0</v>
      </c>
      <c r="D168" s="96">
        <v>16198</v>
      </c>
      <c r="E168" s="96">
        <f t="shared" si="54"/>
        <v>0</v>
      </c>
      <c r="F168" s="96">
        <v>0</v>
      </c>
      <c r="G168" s="96">
        <v>16198</v>
      </c>
      <c r="H168" s="96">
        <f t="shared" si="55"/>
        <v>0</v>
      </c>
      <c r="I168" s="96">
        <v>0</v>
      </c>
      <c r="J168" s="96">
        <v>10669</v>
      </c>
      <c r="K168" s="96">
        <f t="shared" si="56"/>
        <v>0</v>
      </c>
      <c r="L168" s="96">
        <v>0</v>
      </c>
      <c r="M168" s="96">
        <v>10669</v>
      </c>
      <c r="N168" s="96">
        <f t="shared" si="58"/>
        <v>0</v>
      </c>
      <c r="O168" s="96">
        <v>74</v>
      </c>
      <c r="P168" s="96">
        <v>50</v>
      </c>
      <c r="Q168" s="96">
        <v>71</v>
      </c>
      <c r="R168" s="45">
        <f t="shared" si="57"/>
        <v>3550</v>
      </c>
    </row>
    <row r="169" spans="1:18" x14ac:dyDescent="0.25">
      <c r="A169" s="112">
        <v>4</v>
      </c>
      <c r="B169" s="113" t="s">
        <v>144</v>
      </c>
      <c r="C169" s="76">
        <v>244103</v>
      </c>
      <c r="D169" s="76">
        <v>0</v>
      </c>
      <c r="E169" s="114">
        <v>0</v>
      </c>
      <c r="F169" s="76">
        <v>244103</v>
      </c>
      <c r="G169" s="76">
        <v>0</v>
      </c>
      <c r="H169" s="114" t="e">
        <f t="shared" si="55"/>
        <v>#DIV/0!</v>
      </c>
      <c r="I169" s="76">
        <v>0</v>
      </c>
      <c r="J169" s="76">
        <v>0</v>
      </c>
      <c r="K169" s="114">
        <v>0</v>
      </c>
      <c r="L169" s="76">
        <v>0</v>
      </c>
      <c r="M169" s="76">
        <v>0</v>
      </c>
      <c r="N169" s="114">
        <v>0</v>
      </c>
      <c r="O169" s="96">
        <v>90</v>
      </c>
      <c r="P169" s="115">
        <v>82</v>
      </c>
      <c r="Q169" s="115">
        <v>85</v>
      </c>
      <c r="R169" s="45">
        <f t="shared" si="57"/>
        <v>6970</v>
      </c>
    </row>
    <row r="170" spans="1:18" x14ac:dyDescent="0.25">
      <c r="A170" s="102">
        <v>5</v>
      </c>
      <c r="B170" s="113" t="s">
        <v>145</v>
      </c>
      <c r="C170" s="96">
        <v>0</v>
      </c>
      <c r="D170" s="96">
        <v>72785</v>
      </c>
      <c r="E170" s="114">
        <f t="shared" si="54"/>
        <v>0</v>
      </c>
      <c r="F170" s="96">
        <v>0</v>
      </c>
      <c r="G170" s="96">
        <v>72785</v>
      </c>
      <c r="H170" s="114">
        <f t="shared" si="55"/>
        <v>0</v>
      </c>
      <c r="I170" s="96">
        <v>41874</v>
      </c>
      <c r="J170" s="96">
        <v>72785</v>
      </c>
      <c r="K170" s="114">
        <f t="shared" si="56"/>
        <v>57.531084701518168</v>
      </c>
      <c r="L170" s="96">
        <v>41820</v>
      </c>
      <c r="M170" s="96">
        <v>72785</v>
      </c>
      <c r="N170" s="114">
        <f t="shared" si="58"/>
        <v>57.456893590712376</v>
      </c>
      <c r="O170" s="96">
        <v>19</v>
      </c>
      <c r="P170" s="96">
        <v>35</v>
      </c>
      <c r="Q170" s="96">
        <v>20</v>
      </c>
      <c r="R170" s="45">
        <f t="shared" si="57"/>
        <v>700</v>
      </c>
    </row>
    <row r="171" spans="1:18" x14ac:dyDescent="0.25">
      <c r="A171" s="112">
        <v>6</v>
      </c>
      <c r="B171" s="113" t="s">
        <v>146</v>
      </c>
      <c r="C171" s="46">
        <v>0</v>
      </c>
      <c r="D171" s="46">
        <v>0</v>
      </c>
      <c r="E171" s="46">
        <v>0</v>
      </c>
      <c r="F171" s="46">
        <v>0</v>
      </c>
      <c r="G171" s="46">
        <v>0</v>
      </c>
      <c r="H171" s="46">
        <v>0</v>
      </c>
      <c r="I171" s="46">
        <v>0</v>
      </c>
      <c r="J171" s="46">
        <v>0</v>
      </c>
      <c r="K171" s="46">
        <v>0</v>
      </c>
      <c r="L171" s="46">
        <v>0</v>
      </c>
      <c r="M171" s="46">
        <v>0</v>
      </c>
      <c r="N171" s="47">
        <v>0</v>
      </c>
      <c r="O171" s="96">
        <v>0</v>
      </c>
      <c r="P171" s="44">
        <v>0</v>
      </c>
      <c r="Q171" s="46">
        <v>0</v>
      </c>
      <c r="R171" s="45">
        <f t="shared" si="57"/>
        <v>0</v>
      </c>
    </row>
    <row r="172" spans="1:18" x14ac:dyDescent="0.25">
      <c r="A172" s="102">
        <v>7</v>
      </c>
      <c r="B172" s="113" t="s">
        <v>147</v>
      </c>
      <c r="C172" s="96">
        <v>241102</v>
      </c>
      <c r="D172" s="96">
        <v>193488</v>
      </c>
      <c r="E172" s="47">
        <f t="shared" si="54"/>
        <v>124.60824443893162</v>
      </c>
      <c r="F172" s="96">
        <v>241102</v>
      </c>
      <c r="G172" s="96">
        <v>193488</v>
      </c>
      <c r="H172" s="47">
        <f t="shared" si="55"/>
        <v>124.60824443893162</v>
      </c>
      <c r="I172" s="96">
        <v>192574</v>
      </c>
      <c r="J172" s="96">
        <v>189782</v>
      </c>
      <c r="K172" s="47">
        <f t="shared" si="56"/>
        <v>101.47116164862841</v>
      </c>
      <c r="L172" s="96">
        <v>192574</v>
      </c>
      <c r="M172" s="96">
        <v>198782</v>
      </c>
      <c r="N172" s="47">
        <f t="shared" si="58"/>
        <v>96.876980813152088</v>
      </c>
      <c r="O172" s="96">
        <v>73</v>
      </c>
      <c r="P172" s="96">
        <v>59</v>
      </c>
      <c r="Q172" s="96">
        <v>75</v>
      </c>
      <c r="R172" s="45">
        <f t="shared" si="57"/>
        <v>4425</v>
      </c>
    </row>
    <row r="173" spans="1:18" x14ac:dyDescent="0.25">
      <c r="A173" s="112">
        <v>8</v>
      </c>
      <c r="B173" s="113" t="s">
        <v>148</v>
      </c>
      <c r="C173" s="76">
        <v>63107</v>
      </c>
      <c r="D173" s="76">
        <v>0</v>
      </c>
      <c r="E173" s="43">
        <v>0</v>
      </c>
      <c r="F173" s="76">
        <v>63107</v>
      </c>
      <c r="G173" s="76">
        <v>0</v>
      </c>
      <c r="H173" s="43">
        <v>0</v>
      </c>
      <c r="I173" s="76">
        <v>0</v>
      </c>
      <c r="J173" s="76">
        <v>0</v>
      </c>
      <c r="K173" s="43">
        <v>0</v>
      </c>
      <c r="L173" s="76">
        <v>0</v>
      </c>
      <c r="M173" s="76">
        <v>0</v>
      </c>
      <c r="N173" s="43">
        <v>0</v>
      </c>
      <c r="O173" s="96">
        <v>36</v>
      </c>
      <c r="P173" s="49">
        <v>51</v>
      </c>
      <c r="Q173" s="49">
        <v>5</v>
      </c>
      <c r="R173" s="45">
        <f t="shared" si="57"/>
        <v>255</v>
      </c>
    </row>
    <row r="174" spans="1:18" x14ac:dyDescent="0.25">
      <c r="A174" s="102">
        <v>9</v>
      </c>
      <c r="B174" s="113" t="s">
        <v>149</v>
      </c>
      <c r="C174" s="96">
        <v>0</v>
      </c>
      <c r="D174" s="96">
        <v>15785</v>
      </c>
      <c r="E174" s="47">
        <f t="shared" si="54"/>
        <v>0</v>
      </c>
      <c r="F174" s="96">
        <v>0</v>
      </c>
      <c r="G174" s="96">
        <v>15785</v>
      </c>
      <c r="H174" s="47">
        <f t="shared" si="55"/>
        <v>0</v>
      </c>
      <c r="I174" s="96">
        <v>0</v>
      </c>
      <c r="J174" s="96">
        <v>15785</v>
      </c>
      <c r="K174" s="47">
        <v>0</v>
      </c>
      <c r="L174" s="96">
        <v>0</v>
      </c>
      <c r="M174" s="96">
        <v>15785</v>
      </c>
      <c r="N174" s="47">
        <f t="shared" si="58"/>
        <v>0</v>
      </c>
      <c r="O174" s="96">
        <v>9</v>
      </c>
      <c r="P174" s="96">
        <v>50</v>
      </c>
      <c r="Q174" s="96">
        <v>8</v>
      </c>
      <c r="R174" s="45">
        <f t="shared" si="57"/>
        <v>400</v>
      </c>
    </row>
    <row r="175" spans="1:18" x14ac:dyDescent="0.25">
      <c r="A175" s="112">
        <v>10</v>
      </c>
      <c r="B175" s="113" t="s">
        <v>150</v>
      </c>
      <c r="C175" s="96">
        <v>0</v>
      </c>
      <c r="D175" s="96">
        <v>19539</v>
      </c>
      <c r="E175" s="47">
        <f t="shared" si="54"/>
        <v>0</v>
      </c>
      <c r="F175" s="96">
        <v>0</v>
      </c>
      <c r="G175" s="96">
        <v>19539</v>
      </c>
      <c r="H175" s="47">
        <f t="shared" si="55"/>
        <v>0</v>
      </c>
      <c r="I175" s="96">
        <v>0</v>
      </c>
      <c r="J175" s="96">
        <v>19539</v>
      </c>
      <c r="K175" s="47">
        <f t="shared" si="56"/>
        <v>0</v>
      </c>
      <c r="L175" s="96">
        <v>0</v>
      </c>
      <c r="M175" s="96">
        <v>19539</v>
      </c>
      <c r="N175" s="47">
        <f t="shared" si="58"/>
        <v>0</v>
      </c>
      <c r="O175" s="96">
        <v>24</v>
      </c>
      <c r="P175" s="96">
        <v>50</v>
      </c>
      <c r="Q175" s="96">
        <v>25</v>
      </c>
      <c r="R175" s="116">
        <f t="shared" si="57"/>
        <v>1250</v>
      </c>
    </row>
    <row r="176" spans="1:18" s="60" customFormat="1" x14ac:dyDescent="0.25">
      <c r="A176" s="315" t="s">
        <v>173</v>
      </c>
      <c r="B176" s="315" t="s">
        <v>139</v>
      </c>
      <c r="C176" s="58">
        <f>SUM(C166:C175)</f>
        <v>681880</v>
      </c>
      <c r="D176" s="58">
        <f>SUM(D166:D175)</f>
        <v>326221</v>
      </c>
      <c r="E176" s="57">
        <f>C176/D176*100</f>
        <v>209.02394389079797</v>
      </c>
      <c r="F176" s="58">
        <f>SUM(F166:F175)</f>
        <v>681880</v>
      </c>
      <c r="G176" s="58">
        <f>SUM(G166:G175)</f>
        <v>326221</v>
      </c>
      <c r="H176" s="57">
        <f>F176/G176*100</f>
        <v>209.02394389079797</v>
      </c>
      <c r="I176" s="58">
        <f>SUM(I166:I175)</f>
        <v>372311</v>
      </c>
      <c r="J176" s="58">
        <f>SUM(J166:J175)</f>
        <v>319347</v>
      </c>
      <c r="K176" s="57">
        <f>I176/J176*100</f>
        <v>116.58509395735672</v>
      </c>
      <c r="L176" s="58">
        <f>SUM(L166:L175)</f>
        <v>367962</v>
      </c>
      <c r="M176" s="56">
        <f>SUM(M166:M175)</f>
        <v>325722</v>
      </c>
      <c r="N176" s="57">
        <f>L176/M176*100</f>
        <v>112.96811391309154</v>
      </c>
      <c r="O176" s="58">
        <f>SUM(O166:O175)</f>
        <v>524</v>
      </c>
      <c r="P176" s="57">
        <f>R176/O176</f>
        <v>69.454198473282446</v>
      </c>
      <c r="Q176" s="58">
        <f>SUM(Q166:Q175)</f>
        <v>488</v>
      </c>
      <c r="R176" s="59">
        <f>SUM(R166:R175)</f>
        <v>36394</v>
      </c>
    </row>
    <row r="177" spans="1:18" x14ac:dyDescent="0.25">
      <c r="A177" s="117"/>
      <c r="B177" s="117"/>
      <c r="C177" s="98"/>
      <c r="D177" s="98"/>
      <c r="E177" s="97"/>
      <c r="F177" s="118"/>
      <c r="G177" s="118"/>
      <c r="H177" s="97"/>
      <c r="I177" s="46"/>
      <c r="J177" s="46"/>
      <c r="K177" s="119"/>
      <c r="L177" s="46"/>
      <c r="M177" s="46"/>
      <c r="N177" s="46"/>
      <c r="O177" s="46"/>
      <c r="P177" s="62"/>
      <c r="Q177" s="46"/>
      <c r="R177" s="31"/>
    </row>
    <row r="178" spans="1:18" x14ac:dyDescent="0.25">
      <c r="A178" s="321" t="s">
        <v>151</v>
      </c>
      <c r="B178" s="322"/>
      <c r="C178" s="37">
        <v>3</v>
      </c>
      <c r="D178" s="37">
        <v>4</v>
      </c>
      <c r="E178" s="38">
        <v>5</v>
      </c>
      <c r="F178" s="37">
        <v>6</v>
      </c>
      <c r="G178" s="37">
        <v>7</v>
      </c>
      <c r="H178" s="37">
        <v>8</v>
      </c>
      <c r="I178" s="37">
        <v>9</v>
      </c>
      <c r="J178" s="37">
        <v>10</v>
      </c>
      <c r="K178" s="37">
        <v>11</v>
      </c>
      <c r="L178" s="37">
        <v>12</v>
      </c>
      <c r="M178" s="37">
        <v>13</v>
      </c>
      <c r="N178" s="37">
        <v>14</v>
      </c>
      <c r="O178" s="37">
        <v>15</v>
      </c>
      <c r="P178" s="38">
        <v>16</v>
      </c>
      <c r="Q178" s="37">
        <v>15</v>
      </c>
      <c r="R178" s="31"/>
    </row>
    <row r="179" spans="1:18" x14ac:dyDescent="0.25">
      <c r="A179" s="118">
        <v>1</v>
      </c>
      <c r="B179" s="120" t="s">
        <v>152</v>
      </c>
      <c r="C179" s="65">
        <v>44085</v>
      </c>
      <c r="D179" s="65">
        <v>29422.2</v>
      </c>
      <c r="E179" s="43">
        <f t="shared" ref="E179" si="59">IF(OR(C179=0,D179=0),0,C179/D179*100)</f>
        <v>149.8358382445908</v>
      </c>
      <c r="F179" s="65">
        <v>44085</v>
      </c>
      <c r="G179" s="65">
        <v>29422.2</v>
      </c>
      <c r="H179" s="43">
        <f t="shared" ref="H179" si="60">IF(OR(F179=0,G179=0),0,F179/G179*100)</f>
        <v>149.8358382445908</v>
      </c>
      <c r="I179" s="65">
        <v>15211.7</v>
      </c>
      <c r="J179" s="65">
        <v>33138.6</v>
      </c>
      <c r="K179" s="43">
        <f t="shared" ref="K179" si="61">IF(OR(I179=0,J179=0),0,I179/J179*100)</f>
        <v>45.903266885143005</v>
      </c>
      <c r="L179" s="65">
        <v>0</v>
      </c>
      <c r="M179" s="65">
        <v>0</v>
      </c>
      <c r="N179" s="43">
        <f t="shared" ref="N179" si="62">IF(OR(L179=0,M179=0),0,L179/M179*100)</f>
        <v>0</v>
      </c>
      <c r="O179" s="49">
        <v>305</v>
      </c>
      <c r="P179" s="49">
        <v>154</v>
      </c>
      <c r="Q179" s="49">
        <v>306</v>
      </c>
      <c r="R179" s="45">
        <f t="shared" ref="R179:R187" si="63">Q179*P179</f>
        <v>47124</v>
      </c>
    </row>
    <row r="180" spans="1:18" x14ac:dyDescent="0.25">
      <c r="A180" s="118">
        <v>2</v>
      </c>
      <c r="B180" s="113" t="s">
        <v>153</v>
      </c>
      <c r="C180" s="65"/>
      <c r="D180" s="65"/>
      <c r="E180" s="43"/>
      <c r="F180" s="65"/>
      <c r="G180" s="65"/>
      <c r="H180" s="43"/>
      <c r="I180" s="65"/>
      <c r="J180" s="65"/>
      <c r="K180" s="43"/>
      <c r="L180" s="65"/>
      <c r="M180" s="65"/>
      <c r="N180" s="43"/>
      <c r="O180" s="49"/>
      <c r="P180" s="65"/>
      <c r="Q180" s="49"/>
      <c r="R180" s="45">
        <f t="shared" si="63"/>
        <v>0</v>
      </c>
    </row>
    <row r="181" spans="1:18" x14ac:dyDescent="0.25">
      <c r="A181" s="118">
        <v>3</v>
      </c>
      <c r="B181" s="120" t="s">
        <v>154</v>
      </c>
      <c r="C181" s="65">
        <v>0</v>
      </c>
      <c r="D181" s="65">
        <v>60105</v>
      </c>
      <c r="E181" s="43">
        <f t="shared" ref="E181:E190" si="64">IF(OR(C181=0,D181=0),0,C181/D181*100)</f>
        <v>0</v>
      </c>
      <c r="F181" s="65">
        <v>0</v>
      </c>
      <c r="G181" s="65">
        <v>60105</v>
      </c>
      <c r="H181" s="43">
        <f t="shared" ref="H181:H190" si="65">IF(OR(F181=0,G181=0),0,F181/G181*100)</f>
        <v>0</v>
      </c>
      <c r="I181" s="65">
        <v>0</v>
      </c>
      <c r="J181" s="65">
        <v>60324</v>
      </c>
      <c r="K181" s="43">
        <f t="shared" ref="K181:K190" si="66">IF(OR(I181=0,J181=0),0,I181/J181*100)</f>
        <v>0</v>
      </c>
      <c r="L181" s="65">
        <v>0</v>
      </c>
      <c r="M181" s="65">
        <v>60324</v>
      </c>
      <c r="N181" s="43">
        <f t="shared" ref="N181:N190" si="67">IF(OR(L181=0,M181=0),0,L181/M181*100)</f>
        <v>0</v>
      </c>
      <c r="O181" s="49">
        <v>50</v>
      </c>
      <c r="P181" s="49">
        <v>135</v>
      </c>
      <c r="Q181" s="49">
        <v>51</v>
      </c>
      <c r="R181" s="45">
        <f t="shared" si="63"/>
        <v>6885</v>
      </c>
    </row>
    <row r="182" spans="1:18" x14ac:dyDescent="0.25">
      <c r="A182" s="118">
        <v>4</v>
      </c>
      <c r="B182" s="120" t="s">
        <v>155</v>
      </c>
      <c r="C182" s="65">
        <v>0</v>
      </c>
      <c r="D182" s="65">
        <v>0</v>
      </c>
      <c r="E182" s="43">
        <f t="shared" si="64"/>
        <v>0</v>
      </c>
      <c r="F182" s="65">
        <v>0</v>
      </c>
      <c r="G182" s="65">
        <v>0</v>
      </c>
      <c r="H182" s="43">
        <f t="shared" si="65"/>
        <v>0</v>
      </c>
      <c r="I182" s="65">
        <v>0</v>
      </c>
      <c r="J182" s="65">
        <v>0</v>
      </c>
      <c r="K182" s="43">
        <f t="shared" si="66"/>
        <v>0</v>
      </c>
      <c r="L182" s="65">
        <v>0</v>
      </c>
      <c r="M182" s="65">
        <v>0</v>
      </c>
      <c r="N182" s="43">
        <f t="shared" si="67"/>
        <v>0</v>
      </c>
      <c r="O182" s="49">
        <v>28</v>
      </c>
      <c r="P182" s="49">
        <v>40</v>
      </c>
      <c r="Q182" s="49">
        <v>28</v>
      </c>
      <c r="R182" s="45">
        <f t="shared" si="63"/>
        <v>1120</v>
      </c>
    </row>
    <row r="183" spans="1:18" ht="36" x14ac:dyDescent="0.25">
      <c r="A183" s="118">
        <v>5</v>
      </c>
      <c r="B183" s="121" t="s">
        <v>156</v>
      </c>
      <c r="C183" s="65">
        <v>1046.5999999999999</v>
      </c>
      <c r="D183" s="65">
        <v>694</v>
      </c>
      <c r="E183" s="43">
        <f t="shared" si="64"/>
        <v>150.80691642651297</v>
      </c>
      <c r="F183" s="65">
        <v>1047</v>
      </c>
      <c r="G183" s="65">
        <v>694</v>
      </c>
      <c r="H183" s="43">
        <f t="shared" si="65"/>
        <v>150.86455331412103</v>
      </c>
      <c r="I183" s="65">
        <v>0</v>
      </c>
      <c r="J183" s="65">
        <v>0</v>
      </c>
      <c r="K183" s="43">
        <f t="shared" si="66"/>
        <v>0</v>
      </c>
      <c r="L183" s="65">
        <v>0</v>
      </c>
      <c r="M183" s="65">
        <v>0</v>
      </c>
      <c r="N183" s="43">
        <f t="shared" si="67"/>
        <v>0</v>
      </c>
      <c r="O183" s="49">
        <v>88</v>
      </c>
      <c r="P183" s="49">
        <v>78</v>
      </c>
      <c r="Q183" s="49">
        <v>85</v>
      </c>
      <c r="R183" s="45">
        <f t="shared" si="63"/>
        <v>6630</v>
      </c>
    </row>
    <row r="184" spans="1:18" x14ac:dyDescent="0.25">
      <c r="A184" s="118">
        <v>6</v>
      </c>
      <c r="B184" s="122" t="s">
        <v>157</v>
      </c>
      <c r="C184" s="65">
        <v>0</v>
      </c>
      <c r="D184" s="65">
        <v>0</v>
      </c>
      <c r="E184" s="43">
        <f>IF(OR(C184=0,D184=0),0,C184/D184*100)</f>
        <v>0</v>
      </c>
      <c r="F184" s="65">
        <v>0</v>
      </c>
      <c r="G184" s="65">
        <v>0</v>
      </c>
      <c r="H184" s="43">
        <f t="shared" si="65"/>
        <v>0</v>
      </c>
      <c r="I184" s="65">
        <v>0</v>
      </c>
      <c r="J184" s="65">
        <v>0</v>
      </c>
      <c r="K184" s="43">
        <f t="shared" si="66"/>
        <v>0</v>
      </c>
      <c r="L184" s="65">
        <v>0</v>
      </c>
      <c r="M184" s="65">
        <v>0</v>
      </c>
      <c r="N184" s="43">
        <f t="shared" si="67"/>
        <v>0</v>
      </c>
      <c r="O184" s="49">
        <v>31</v>
      </c>
      <c r="P184" s="49">
        <v>13</v>
      </c>
      <c r="Q184" s="49">
        <v>31</v>
      </c>
      <c r="R184" s="45">
        <f t="shared" si="63"/>
        <v>403</v>
      </c>
    </row>
    <row r="185" spans="1:18" x14ac:dyDescent="0.25">
      <c r="A185" s="118">
        <v>7</v>
      </c>
      <c r="B185" s="120" t="s">
        <v>158</v>
      </c>
      <c r="C185" s="65">
        <v>212</v>
      </c>
      <c r="D185" s="65">
        <v>748</v>
      </c>
      <c r="E185" s="43">
        <f t="shared" si="64"/>
        <v>28.342245989304814</v>
      </c>
      <c r="F185" s="65">
        <v>212</v>
      </c>
      <c r="G185" s="65">
        <v>748</v>
      </c>
      <c r="H185" s="43">
        <f t="shared" si="65"/>
        <v>28.342245989304814</v>
      </c>
      <c r="I185" s="65">
        <v>0</v>
      </c>
      <c r="J185" s="65">
        <v>0</v>
      </c>
      <c r="K185" s="43">
        <f t="shared" si="66"/>
        <v>0</v>
      </c>
      <c r="L185" s="65">
        <v>0</v>
      </c>
      <c r="M185" s="65">
        <v>0</v>
      </c>
      <c r="N185" s="43">
        <f t="shared" si="67"/>
        <v>0</v>
      </c>
      <c r="O185" s="49">
        <v>19</v>
      </c>
      <c r="P185" s="49">
        <v>34</v>
      </c>
      <c r="Q185" s="49">
        <v>20</v>
      </c>
      <c r="R185" s="45">
        <f t="shared" si="63"/>
        <v>680</v>
      </c>
    </row>
    <row r="186" spans="1:18" x14ac:dyDescent="0.25">
      <c r="A186" s="118">
        <v>8</v>
      </c>
      <c r="B186" s="120" t="s">
        <v>159</v>
      </c>
      <c r="C186" s="65">
        <v>0</v>
      </c>
      <c r="D186" s="65">
        <v>0</v>
      </c>
      <c r="E186" s="43">
        <f t="shared" si="64"/>
        <v>0</v>
      </c>
      <c r="F186" s="65">
        <v>0</v>
      </c>
      <c r="G186" s="65">
        <v>0</v>
      </c>
      <c r="H186" s="43">
        <f t="shared" si="65"/>
        <v>0</v>
      </c>
      <c r="I186" s="65">
        <v>0</v>
      </c>
      <c r="J186" s="65">
        <v>0</v>
      </c>
      <c r="K186" s="43">
        <f t="shared" si="66"/>
        <v>0</v>
      </c>
      <c r="L186" s="65">
        <v>0</v>
      </c>
      <c r="M186" s="65">
        <v>0</v>
      </c>
      <c r="N186" s="43">
        <f t="shared" si="67"/>
        <v>0</v>
      </c>
      <c r="O186" s="49">
        <v>83</v>
      </c>
      <c r="P186" s="65">
        <v>125.3</v>
      </c>
      <c r="Q186" s="49">
        <v>83</v>
      </c>
      <c r="R186" s="45">
        <f t="shared" si="63"/>
        <v>10399.9</v>
      </c>
    </row>
    <row r="187" spans="1:18" x14ac:dyDescent="0.25">
      <c r="A187" s="118">
        <v>9</v>
      </c>
      <c r="B187" s="120" t="s">
        <v>160</v>
      </c>
      <c r="C187" s="65">
        <v>1000</v>
      </c>
      <c r="D187" s="65">
        <v>0</v>
      </c>
      <c r="E187" s="43">
        <f t="shared" si="64"/>
        <v>0</v>
      </c>
      <c r="F187" s="65">
        <v>1000</v>
      </c>
      <c r="G187" s="65">
        <v>0</v>
      </c>
      <c r="H187" s="43">
        <f t="shared" si="65"/>
        <v>0</v>
      </c>
      <c r="I187" s="65">
        <v>0</v>
      </c>
      <c r="J187" s="65">
        <v>0</v>
      </c>
      <c r="K187" s="43">
        <f t="shared" si="66"/>
        <v>0</v>
      </c>
      <c r="L187" s="65">
        <v>0</v>
      </c>
      <c r="M187" s="65">
        <v>0</v>
      </c>
      <c r="N187" s="43">
        <f t="shared" si="67"/>
        <v>0</v>
      </c>
      <c r="O187" s="49">
        <v>12</v>
      </c>
      <c r="P187" s="49">
        <v>41</v>
      </c>
      <c r="Q187" s="49">
        <v>15</v>
      </c>
      <c r="R187" s="45">
        <f t="shared" si="63"/>
        <v>615</v>
      </c>
    </row>
    <row r="188" spans="1:18" x14ac:dyDescent="0.25">
      <c r="A188" s="118">
        <v>10</v>
      </c>
      <c r="B188" s="120" t="s">
        <v>161</v>
      </c>
      <c r="C188" s="65">
        <v>5600</v>
      </c>
      <c r="D188" s="65">
        <v>4300</v>
      </c>
      <c r="E188" s="43">
        <f t="shared" si="64"/>
        <v>130.23255813953489</v>
      </c>
      <c r="F188" s="65">
        <v>5600</v>
      </c>
      <c r="G188" s="65">
        <v>4300</v>
      </c>
      <c r="H188" s="43">
        <f t="shared" si="65"/>
        <v>130.23255813953489</v>
      </c>
      <c r="I188" s="65">
        <v>0</v>
      </c>
      <c r="J188" s="65">
        <v>0</v>
      </c>
      <c r="K188" s="43">
        <f t="shared" si="66"/>
        <v>0</v>
      </c>
      <c r="L188" s="65">
        <v>0</v>
      </c>
      <c r="M188" s="65">
        <v>0</v>
      </c>
      <c r="N188" s="43">
        <v>0</v>
      </c>
      <c r="O188" s="49">
        <v>24</v>
      </c>
      <c r="P188" s="65">
        <v>75.400000000000006</v>
      </c>
      <c r="Q188" s="49">
        <v>27</v>
      </c>
      <c r="R188" s="45"/>
    </row>
    <row r="189" spans="1:18" x14ac:dyDescent="0.25">
      <c r="A189" s="118">
        <v>11</v>
      </c>
      <c r="B189" s="120" t="s">
        <v>162</v>
      </c>
      <c r="C189" s="65">
        <v>1610</v>
      </c>
      <c r="D189" s="65">
        <v>771</v>
      </c>
      <c r="E189" s="43">
        <f t="shared" si="64"/>
        <v>208.81971465629056</v>
      </c>
      <c r="F189" s="65">
        <v>1610</v>
      </c>
      <c r="G189" s="65">
        <v>771</v>
      </c>
      <c r="H189" s="43">
        <f t="shared" si="65"/>
        <v>208.81971465629056</v>
      </c>
      <c r="I189" s="65">
        <v>1610</v>
      </c>
      <c r="J189" s="65">
        <v>771</v>
      </c>
      <c r="K189" s="43">
        <f t="shared" si="66"/>
        <v>208.81971465629056</v>
      </c>
      <c r="L189" s="65">
        <v>0</v>
      </c>
      <c r="M189" s="65">
        <v>0</v>
      </c>
      <c r="N189" s="43">
        <f t="shared" si="67"/>
        <v>0</v>
      </c>
      <c r="O189" s="49">
        <v>13</v>
      </c>
      <c r="P189" s="65">
        <v>60.4</v>
      </c>
      <c r="Q189" s="49">
        <v>29</v>
      </c>
      <c r="R189" s="45">
        <f>Q189*P189</f>
        <v>1751.6</v>
      </c>
    </row>
    <row r="190" spans="1:18" x14ac:dyDescent="0.25">
      <c r="A190" s="118">
        <v>12</v>
      </c>
      <c r="B190" s="123" t="s">
        <v>163</v>
      </c>
      <c r="C190" s="65">
        <v>0</v>
      </c>
      <c r="D190" s="65">
        <v>0</v>
      </c>
      <c r="E190" s="43">
        <f t="shared" si="64"/>
        <v>0</v>
      </c>
      <c r="F190" s="65">
        <v>0</v>
      </c>
      <c r="G190" s="65">
        <v>0</v>
      </c>
      <c r="H190" s="43">
        <f t="shared" si="65"/>
        <v>0</v>
      </c>
      <c r="I190" s="65">
        <v>432</v>
      </c>
      <c r="J190" s="65">
        <v>189</v>
      </c>
      <c r="K190" s="43">
        <f t="shared" si="66"/>
        <v>228.57142857142856</v>
      </c>
      <c r="L190" s="65">
        <v>0</v>
      </c>
      <c r="M190" s="65">
        <v>0</v>
      </c>
      <c r="N190" s="43">
        <f t="shared" si="67"/>
        <v>0</v>
      </c>
      <c r="O190" s="49">
        <v>26</v>
      </c>
      <c r="P190" s="49">
        <v>47</v>
      </c>
      <c r="Q190" s="49">
        <v>26</v>
      </c>
      <c r="R190" s="45">
        <f>Q190*P190</f>
        <v>1222</v>
      </c>
    </row>
    <row r="191" spans="1:18" s="60" customFormat="1" x14ac:dyDescent="0.25">
      <c r="A191" s="315" t="s">
        <v>173</v>
      </c>
      <c r="B191" s="315" t="s">
        <v>139</v>
      </c>
      <c r="C191" s="124">
        <f>SUM(C179:C190)</f>
        <v>53553.599999999999</v>
      </c>
      <c r="D191" s="124">
        <f>SUM(D179:D190)</f>
        <v>96040.2</v>
      </c>
      <c r="E191" s="57">
        <f t="shared" ref="E191" si="68">C191/D191*100</f>
        <v>55.761649809142419</v>
      </c>
      <c r="F191" s="124">
        <f>SUM(F179:F190)</f>
        <v>53554</v>
      </c>
      <c r="G191" s="124">
        <f>SUM(G179:G190)</f>
        <v>96040.2</v>
      </c>
      <c r="H191" s="57">
        <f t="shared" ref="H191" si="69">F191/G191*100</f>
        <v>55.76206630140296</v>
      </c>
      <c r="I191" s="124">
        <f>SUM(I179:I190)</f>
        <v>17253.7</v>
      </c>
      <c r="J191" s="124">
        <f>SUM(J179:J190)</f>
        <v>94422.6</v>
      </c>
      <c r="K191" s="57">
        <f>I191/J191*100</f>
        <v>18.272849932113711</v>
      </c>
      <c r="L191" s="124">
        <f>SUM(L179:L190)</f>
        <v>0</v>
      </c>
      <c r="M191" s="124">
        <f>SUM(M179:M190)</f>
        <v>60324</v>
      </c>
      <c r="N191" s="57">
        <f>L191/M191*100</f>
        <v>0</v>
      </c>
      <c r="O191" s="124">
        <f>SUM(O179:O190)</f>
        <v>679</v>
      </c>
      <c r="P191" s="57">
        <f>R191/O191</f>
        <v>113.15243004418262</v>
      </c>
      <c r="Q191" s="124">
        <f>SUM(Q179:Q190)</f>
        <v>701</v>
      </c>
      <c r="R191" s="59">
        <f>SUM(R179:R190)</f>
        <v>76830.5</v>
      </c>
    </row>
    <row r="192" spans="1:18" x14ac:dyDescent="0.25">
      <c r="A192" s="125"/>
      <c r="B192" s="37"/>
      <c r="C192" s="125"/>
      <c r="D192" s="125"/>
      <c r="E192" s="125"/>
      <c r="F192" s="125"/>
      <c r="G192" s="125"/>
      <c r="H192" s="125"/>
      <c r="I192" s="125"/>
      <c r="J192" s="125"/>
      <c r="K192" s="125"/>
      <c r="L192" s="125"/>
      <c r="M192" s="125"/>
      <c r="N192" s="125"/>
      <c r="O192" s="125"/>
      <c r="P192" s="125"/>
      <c r="Q192" s="125"/>
      <c r="R192" s="126"/>
    </row>
    <row r="193" spans="1:22" x14ac:dyDescent="0.25">
      <c r="A193" s="323" t="s">
        <v>22</v>
      </c>
      <c r="B193" s="324"/>
      <c r="C193" s="37">
        <v>3</v>
      </c>
      <c r="D193" s="37">
        <v>4</v>
      </c>
      <c r="E193" s="38">
        <v>5</v>
      </c>
      <c r="F193" s="37">
        <v>6</v>
      </c>
      <c r="G193" s="37">
        <v>7</v>
      </c>
      <c r="H193" s="37">
        <v>8</v>
      </c>
      <c r="I193" s="37">
        <v>9</v>
      </c>
      <c r="J193" s="37">
        <v>10</v>
      </c>
      <c r="K193" s="37">
        <v>11</v>
      </c>
      <c r="L193" s="37">
        <v>12</v>
      </c>
      <c r="M193" s="37">
        <v>13</v>
      </c>
      <c r="N193" s="37">
        <v>14</v>
      </c>
      <c r="O193" s="37">
        <v>15</v>
      </c>
      <c r="P193" s="38">
        <v>16</v>
      </c>
      <c r="Q193" s="37">
        <v>15</v>
      </c>
      <c r="R193" s="23"/>
    </row>
    <row r="194" spans="1:22" x14ac:dyDescent="0.25">
      <c r="A194" s="96">
        <v>1</v>
      </c>
      <c r="B194" s="127" t="s">
        <v>164</v>
      </c>
      <c r="C194" s="49">
        <v>1491</v>
      </c>
      <c r="D194" s="49">
        <v>4956</v>
      </c>
      <c r="E194" s="119">
        <f t="shared" ref="E194" si="70">C194/D194*100</f>
        <v>30.084745762711862</v>
      </c>
      <c r="F194" s="49">
        <v>1491</v>
      </c>
      <c r="G194" s="49">
        <v>4956</v>
      </c>
      <c r="H194" s="119">
        <f t="shared" ref="H194" si="71">F194/G194*100</f>
        <v>30.084745762711862</v>
      </c>
      <c r="I194" s="49">
        <v>1491</v>
      </c>
      <c r="J194" s="49">
        <v>4956</v>
      </c>
      <c r="K194" s="119">
        <f t="shared" ref="K194" si="72">I194/J194*100</f>
        <v>30.084745762711862</v>
      </c>
      <c r="L194" s="49">
        <v>1491</v>
      </c>
      <c r="M194" s="49">
        <v>4956</v>
      </c>
      <c r="N194" s="47">
        <f t="shared" ref="N194" si="73">L194/M194*100</f>
        <v>30.084745762711862</v>
      </c>
      <c r="O194" s="34">
        <v>53</v>
      </c>
      <c r="P194" s="96">
        <v>45</v>
      </c>
      <c r="Q194" s="34">
        <v>50</v>
      </c>
      <c r="R194" s="45">
        <f>Q194*P194</f>
        <v>2250</v>
      </c>
    </row>
    <row r="195" spans="1:22" x14ac:dyDescent="0.25">
      <c r="A195" s="96">
        <v>2</v>
      </c>
      <c r="B195" s="127" t="s">
        <v>165</v>
      </c>
      <c r="C195" s="49">
        <v>0</v>
      </c>
      <c r="D195" s="49">
        <v>0</v>
      </c>
      <c r="E195" s="119">
        <v>0</v>
      </c>
      <c r="F195" s="49">
        <v>0</v>
      </c>
      <c r="G195" s="49">
        <v>0</v>
      </c>
      <c r="H195" s="119">
        <v>0</v>
      </c>
      <c r="I195" s="49">
        <v>0</v>
      </c>
      <c r="J195" s="49">
        <v>0</v>
      </c>
      <c r="K195" s="119">
        <v>0</v>
      </c>
      <c r="L195" s="49">
        <v>0</v>
      </c>
      <c r="M195" s="49">
        <v>0</v>
      </c>
      <c r="N195" s="47">
        <v>0</v>
      </c>
      <c r="O195" s="34">
        <v>190</v>
      </c>
      <c r="P195" s="96">
        <v>65</v>
      </c>
      <c r="Q195" s="46">
        <v>190</v>
      </c>
      <c r="R195" s="45">
        <f>Q195*P195</f>
        <v>12350</v>
      </c>
    </row>
    <row r="196" spans="1:22" s="60" customFormat="1" x14ac:dyDescent="0.25">
      <c r="A196" s="315" t="s">
        <v>173</v>
      </c>
      <c r="B196" s="315" t="s">
        <v>139</v>
      </c>
      <c r="C196" s="56">
        <f>SUM(C194:C195)</f>
        <v>1491</v>
      </c>
      <c r="D196" s="56">
        <f>SUM(D194:D195)</f>
        <v>4956</v>
      </c>
      <c r="E196" s="57">
        <f>C196/D196*100</f>
        <v>30.084745762711862</v>
      </c>
      <c r="F196" s="56">
        <f>SUM(F194:F195)</f>
        <v>1491</v>
      </c>
      <c r="G196" s="56">
        <f>SUM(G194:G195)</f>
        <v>4956</v>
      </c>
      <c r="H196" s="57">
        <f>F196/G196*100</f>
        <v>30.084745762711862</v>
      </c>
      <c r="I196" s="57">
        <f>SUM(I194:I195)</f>
        <v>1491</v>
      </c>
      <c r="J196" s="56">
        <f>SUM(J194:J195)</f>
        <v>4956</v>
      </c>
      <c r="K196" s="57">
        <f>I196/J196*100</f>
        <v>30.084745762711862</v>
      </c>
      <c r="L196" s="58">
        <f>SUM(L194:L195)</f>
        <v>1491</v>
      </c>
      <c r="M196" s="56">
        <f>SUM(M194:M195)</f>
        <v>4956</v>
      </c>
      <c r="N196" s="57">
        <f>L196/M196*100</f>
        <v>30.084745762711862</v>
      </c>
      <c r="O196" s="58">
        <f>SUM(O194:O195)</f>
        <v>243</v>
      </c>
      <c r="P196" s="58">
        <f>R196/O196</f>
        <v>60.08230452674897</v>
      </c>
      <c r="Q196" s="56">
        <f>SUM(Q194:Q195)</f>
        <v>240</v>
      </c>
      <c r="R196" s="59">
        <f>SUM(R194:R195)</f>
        <v>14600</v>
      </c>
    </row>
    <row r="197" spans="1:22" x14ac:dyDescent="0.25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6"/>
    </row>
    <row r="198" spans="1:22" x14ac:dyDescent="0.25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6"/>
    </row>
    <row r="199" spans="1:22" x14ac:dyDescent="0.25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6"/>
    </row>
    <row r="200" spans="1:22" x14ac:dyDescent="0.25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6"/>
    </row>
    <row r="201" spans="1:22" x14ac:dyDescent="0.25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6"/>
    </row>
    <row r="202" spans="1:22" x14ac:dyDescent="0.25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6"/>
    </row>
    <row r="203" spans="1:22" x14ac:dyDescent="0.25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6"/>
    </row>
    <row r="204" spans="1:22" x14ac:dyDescent="0.25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</row>
    <row r="205" spans="1:22" x14ac:dyDescent="0.25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</row>
    <row r="206" spans="1:22" x14ac:dyDescent="0.25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</row>
    <row r="207" spans="1:22" x14ac:dyDescent="0.25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</row>
    <row r="208" spans="1:22" x14ac:dyDescent="0.25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</row>
    <row r="209" spans="1:22" ht="7.5" customHeight="1" x14ac:dyDescent="0.25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</row>
    <row r="210" spans="1:22" x14ac:dyDescent="0.25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</row>
    <row r="211" spans="1:22" x14ac:dyDescent="0.25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</row>
    <row r="212" spans="1:22" x14ac:dyDescent="0.25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</row>
    <row r="213" spans="1:22" x14ac:dyDescent="0.25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</row>
    <row r="214" spans="1:22" x14ac:dyDescent="0.25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</row>
    <row r="215" spans="1:22" x14ac:dyDescent="0.25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</row>
    <row r="216" spans="1:22" x14ac:dyDescent="0.25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</row>
    <row r="217" spans="1:22" x14ac:dyDescent="0.25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</row>
    <row r="218" spans="1:22" x14ac:dyDescent="0.25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</row>
    <row r="219" spans="1:22" x14ac:dyDescent="0.25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</row>
    <row r="220" spans="1:22" ht="6.75" customHeight="1" x14ac:dyDescent="0.25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</row>
    <row r="221" spans="1:22" ht="15" hidden="1" customHeight="1" x14ac:dyDescent="0.25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</row>
    <row r="222" spans="1:22" ht="15" hidden="1" customHeight="1" x14ac:dyDescent="0.25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</row>
    <row r="223" spans="1:22" ht="15" hidden="1" customHeight="1" x14ac:dyDescent="0.25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</row>
    <row r="224" spans="1:22" ht="15" hidden="1" customHeight="1" x14ac:dyDescent="0.25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</row>
    <row r="225" spans="1:22" ht="15" hidden="1" customHeight="1" x14ac:dyDescent="0.25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</row>
    <row r="226" spans="1:22" ht="15" hidden="1" customHeight="1" x14ac:dyDescent="0.25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</row>
    <row r="227" spans="1:22" ht="15" hidden="1" customHeight="1" x14ac:dyDescent="0.25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</row>
    <row r="228" spans="1:22" ht="15" hidden="1" customHeight="1" x14ac:dyDescent="0.25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</row>
    <row r="229" spans="1:22" ht="15" hidden="1" customHeight="1" x14ac:dyDescent="0.25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</row>
    <row r="230" spans="1:22" ht="15" hidden="1" customHeight="1" x14ac:dyDescent="0.25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</row>
    <row r="231" spans="1:22" ht="15" hidden="1" customHeight="1" x14ac:dyDescent="0.25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</row>
    <row r="232" spans="1:22" ht="15" hidden="1" customHeight="1" x14ac:dyDescent="0.25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</row>
    <row r="233" spans="1:22" ht="15" hidden="1" customHeight="1" x14ac:dyDescent="0.25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</row>
    <row r="234" spans="1:22" ht="15" hidden="1" customHeight="1" x14ac:dyDescent="0.25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</row>
    <row r="235" spans="1:22" ht="15" hidden="1" customHeight="1" x14ac:dyDescent="0.25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</row>
    <row r="236" spans="1:22" ht="15" hidden="1" customHeight="1" x14ac:dyDescent="0.25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</row>
    <row r="237" spans="1:22" ht="15" hidden="1" customHeight="1" x14ac:dyDescent="0.25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</row>
    <row r="238" spans="1:22" ht="9.75" hidden="1" customHeight="1" x14ac:dyDescent="0.25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</row>
    <row r="239" spans="1:22" ht="15" hidden="1" customHeight="1" x14ac:dyDescent="0.25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</row>
    <row r="240" spans="1:22" ht="15" hidden="1" customHeight="1" x14ac:dyDescent="0.25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</row>
    <row r="241" spans="1:22" ht="15" hidden="1" customHeight="1" x14ac:dyDescent="0.25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</row>
    <row r="242" spans="1:22" ht="15" hidden="1" customHeight="1" x14ac:dyDescent="0.25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</row>
    <row r="243" spans="1:22" ht="15" hidden="1" customHeight="1" x14ac:dyDescent="0.25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</row>
    <row r="244" spans="1:22" ht="15" hidden="1" customHeight="1" x14ac:dyDescent="0.25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</row>
    <row r="245" spans="1:22" ht="15" hidden="1" customHeight="1" x14ac:dyDescent="0.25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</row>
    <row r="246" spans="1:22" ht="8.25" customHeight="1" x14ac:dyDescent="0.25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</row>
    <row r="247" spans="1:22" ht="13.5" customHeight="1" x14ac:dyDescent="0.25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</row>
    <row r="248" spans="1:22" x14ac:dyDescent="0.25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</row>
    <row r="249" spans="1:22" x14ac:dyDescent="0.25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</row>
    <row r="250" spans="1:22" x14ac:dyDescent="0.25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</row>
    <row r="251" spans="1:22" s="18" customFormat="1" ht="23.25" customHeight="1" x14ac:dyDescent="0.25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</row>
    <row r="252" spans="1:22" s="18" customFormat="1" ht="23.25" customHeight="1" x14ac:dyDescent="0.25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</row>
    <row r="253" spans="1:22" s="18" customFormat="1" ht="23.25" customHeight="1" x14ac:dyDescent="0.25"/>
    <row r="254" spans="1:22" s="18" customFormat="1" ht="23.25" customHeight="1" x14ac:dyDescent="0.25"/>
    <row r="255" spans="1:22" s="18" customFormat="1" ht="23.25" customHeight="1" x14ac:dyDescent="0.25"/>
    <row r="256" spans="1:22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  <row r="262" s="18" customFormat="1" x14ac:dyDescent="0.25"/>
    <row r="263" s="18" customFormat="1" x14ac:dyDescent="0.25"/>
    <row r="264" s="18" customFormat="1" x14ac:dyDescent="0.25"/>
    <row r="265" s="18" customFormat="1" x14ac:dyDescent="0.25"/>
    <row r="266" s="18" customFormat="1" x14ac:dyDescent="0.25"/>
    <row r="267" s="18" customFormat="1" x14ac:dyDescent="0.25"/>
    <row r="268" s="18" customFormat="1" x14ac:dyDescent="0.25"/>
    <row r="269" s="18" customFormat="1" x14ac:dyDescent="0.25"/>
    <row r="270" s="18" customFormat="1" x14ac:dyDescent="0.25"/>
    <row r="271" s="18" customFormat="1" x14ac:dyDescent="0.25"/>
    <row r="272" s="18" customFormat="1" x14ac:dyDescent="0.25"/>
  </sheetData>
  <mergeCells count="54">
    <mergeCell ref="H6:H10"/>
    <mergeCell ref="N6:N10"/>
    <mergeCell ref="I6:I10"/>
    <mergeCell ref="E6:E10"/>
    <mergeCell ref="F6:F10"/>
    <mergeCell ref="G6:G10"/>
    <mergeCell ref="A23:B23"/>
    <mergeCell ref="A3:Q4"/>
    <mergeCell ref="A5:A10"/>
    <mergeCell ref="B5:B10"/>
    <mergeCell ref="C5:H5"/>
    <mergeCell ref="I5:K5"/>
    <mergeCell ref="L5:N5"/>
    <mergeCell ref="O5:O10"/>
    <mergeCell ref="P5:P10"/>
    <mergeCell ref="Q5:Q10"/>
    <mergeCell ref="C6:C10"/>
    <mergeCell ref="J6:J10"/>
    <mergeCell ref="K6:K10"/>
    <mergeCell ref="L6:L10"/>
    <mergeCell ref="M6:M10"/>
    <mergeCell ref="D6:D10"/>
    <mergeCell ref="J164:L164"/>
    <mergeCell ref="M164:O164"/>
    <mergeCell ref="A84:B84"/>
    <mergeCell ref="A86:B86"/>
    <mergeCell ref="A98:B98"/>
    <mergeCell ref="A100:B100"/>
    <mergeCell ref="A126:B126"/>
    <mergeCell ref="A136:B136"/>
    <mergeCell ref="A83:B83"/>
    <mergeCell ref="A36:Q38"/>
    <mergeCell ref="A39:A40"/>
    <mergeCell ref="B39:B40"/>
    <mergeCell ref="C39:G39"/>
    <mergeCell ref="H39:K39"/>
    <mergeCell ref="O39:O40"/>
    <mergeCell ref="P39:P40"/>
    <mergeCell ref="Q39:Q40"/>
    <mergeCell ref="A42:B42"/>
    <mergeCell ref="A60:B60"/>
    <mergeCell ref="A62:B62"/>
    <mergeCell ref="A72:B72"/>
    <mergeCell ref="A74:B74"/>
    <mergeCell ref="A196:B196"/>
    <mergeCell ref="A138:B138"/>
    <mergeCell ref="A154:B154"/>
    <mergeCell ref="A162:B162"/>
    <mergeCell ref="D164:F164"/>
    <mergeCell ref="A165:B165"/>
    <mergeCell ref="A176:B176"/>
    <mergeCell ref="A178:B178"/>
    <mergeCell ref="A191:B191"/>
    <mergeCell ref="A193:B193"/>
  </mergeCells>
  <pageMargins left="0.16" right="0.16" top="0.75" bottom="0.75" header="0.3" footer="0.3"/>
  <pageSetup scale="8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73"/>
  <sheetViews>
    <sheetView topLeftCell="A34" workbookViewId="0">
      <selection activeCell="F169" sqref="F169:G169"/>
    </sheetView>
  </sheetViews>
  <sheetFormatPr defaultRowHeight="15" x14ac:dyDescent="0.25"/>
  <cols>
    <col min="1" max="1" width="3.28515625" customWidth="1"/>
    <col min="2" max="2" width="26.85546875" customWidth="1"/>
    <col min="3" max="3" width="11.42578125" customWidth="1"/>
    <col min="4" max="4" width="11.5703125" customWidth="1"/>
    <col min="5" max="5" width="6.42578125" customWidth="1"/>
    <col min="6" max="6" width="10.28515625" customWidth="1"/>
    <col min="7" max="7" width="10.140625" customWidth="1"/>
    <col min="8" max="8" width="6.42578125" customWidth="1"/>
    <col min="9" max="9" width="11.28515625" customWidth="1"/>
    <col min="10" max="10" width="11.42578125" customWidth="1"/>
    <col min="11" max="11" width="6.42578125" customWidth="1"/>
    <col min="12" max="12" width="11.28515625" customWidth="1"/>
    <col min="13" max="13" width="11.42578125" customWidth="1"/>
    <col min="14" max="14" width="6.7109375" customWidth="1"/>
    <col min="15" max="15" width="7.28515625" customWidth="1"/>
    <col min="16" max="16" width="6.28515625" customWidth="1"/>
    <col min="17" max="17" width="6.7109375" customWidth="1"/>
    <col min="18" max="18" width="10.28515625" customWidth="1"/>
  </cols>
  <sheetData>
    <row r="1" spans="1:18" x14ac:dyDescent="0.25">
      <c r="A1" s="337" t="s">
        <v>219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</row>
    <row r="2" spans="1:18" x14ac:dyDescent="0.25">
      <c r="A2" s="338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1"/>
    </row>
    <row r="3" spans="1:18" x14ac:dyDescent="0.25">
      <c r="A3" s="339" t="s">
        <v>0</v>
      </c>
      <c r="B3" s="340" t="s">
        <v>1</v>
      </c>
      <c r="C3" s="341" t="s">
        <v>172</v>
      </c>
      <c r="D3" s="341"/>
      <c r="E3" s="341"/>
      <c r="F3" s="341"/>
      <c r="G3" s="341"/>
      <c r="H3" s="341"/>
      <c r="I3" s="342" t="s">
        <v>2</v>
      </c>
      <c r="J3" s="343"/>
      <c r="K3" s="344"/>
      <c r="L3" s="345" t="s">
        <v>3</v>
      </c>
      <c r="M3" s="346"/>
      <c r="N3" s="347"/>
      <c r="O3" s="340" t="s">
        <v>4</v>
      </c>
      <c r="P3" s="348" t="s">
        <v>5</v>
      </c>
      <c r="Q3" s="340" t="s">
        <v>6</v>
      </c>
      <c r="R3" s="2"/>
    </row>
    <row r="4" spans="1:18" x14ac:dyDescent="0.25">
      <c r="A4" s="339"/>
      <c r="B4" s="340"/>
      <c r="C4" s="340" t="s">
        <v>7</v>
      </c>
      <c r="D4" s="340" t="s">
        <v>8</v>
      </c>
      <c r="E4" s="349" t="s">
        <v>9</v>
      </c>
      <c r="F4" s="340" t="s">
        <v>10</v>
      </c>
      <c r="G4" s="340" t="s">
        <v>8</v>
      </c>
      <c r="H4" s="349" t="s">
        <v>9</v>
      </c>
      <c r="I4" s="340" t="s">
        <v>11</v>
      </c>
      <c r="J4" s="340" t="s">
        <v>8</v>
      </c>
      <c r="K4" s="349" t="s">
        <v>9</v>
      </c>
      <c r="L4" s="340" t="s">
        <v>11</v>
      </c>
      <c r="M4" s="340" t="s">
        <v>8</v>
      </c>
      <c r="N4" s="349" t="s">
        <v>9</v>
      </c>
      <c r="O4" s="340"/>
      <c r="P4" s="348"/>
      <c r="Q4" s="340"/>
      <c r="R4" s="2"/>
    </row>
    <row r="5" spans="1:18" x14ac:dyDescent="0.25">
      <c r="A5" s="339"/>
      <c r="B5" s="340"/>
      <c r="C5" s="340"/>
      <c r="D5" s="340"/>
      <c r="E5" s="349"/>
      <c r="F5" s="340"/>
      <c r="G5" s="340"/>
      <c r="H5" s="349"/>
      <c r="I5" s="340"/>
      <c r="J5" s="340"/>
      <c r="K5" s="349"/>
      <c r="L5" s="340"/>
      <c r="M5" s="340"/>
      <c r="N5" s="349"/>
      <c r="O5" s="340"/>
      <c r="P5" s="348"/>
      <c r="Q5" s="340"/>
      <c r="R5" s="2"/>
    </row>
    <row r="6" spans="1:18" x14ac:dyDescent="0.25">
      <c r="A6" s="339"/>
      <c r="B6" s="340"/>
      <c r="C6" s="340"/>
      <c r="D6" s="340"/>
      <c r="E6" s="349"/>
      <c r="F6" s="340"/>
      <c r="G6" s="340"/>
      <c r="H6" s="349"/>
      <c r="I6" s="340"/>
      <c r="J6" s="340"/>
      <c r="K6" s="349"/>
      <c r="L6" s="340"/>
      <c r="M6" s="340"/>
      <c r="N6" s="349"/>
      <c r="O6" s="340"/>
      <c r="P6" s="348"/>
      <c r="Q6" s="340"/>
      <c r="R6" s="2"/>
    </row>
    <row r="7" spans="1:18" x14ac:dyDescent="0.25">
      <c r="A7" s="339"/>
      <c r="B7" s="340"/>
      <c r="C7" s="340"/>
      <c r="D7" s="340"/>
      <c r="E7" s="349"/>
      <c r="F7" s="340"/>
      <c r="G7" s="340"/>
      <c r="H7" s="349"/>
      <c r="I7" s="340"/>
      <c r="J7" s="340"/>
      <c r="K7" s="349"/>
      <c r="L7" s="340"/>
      <c r="M7" s="340"/>
      <c r="N7" s="349"/>
      <c r="O7" s="340"/>
      <c r="P7" s="348"/>
      <c r="Q7" s="340"/>
      <c r="R7" s="2"/>
    </row>
    <row r="8" spans="1:18" x14ac:dyDescent="0.25">
      <c r="A8" s="339"/>
      <c r="B8" s="340"/>
      <c r="C8" s="340"/>
      <c r="D8" s="340"/>
      <c r="E8" s="349"/>
      <c r="F8" s="340"/>
      <c r="G8" s="340"/>
      <c r="H8" s="349"/>
      <c r="I8" s="340"/>
      <c r="J8" s="340"/>
      <c r="K8" s="349"/>
      <c r="L8" s="340"/>
      <c r="M8" s="340"/>
      <c r="N8" s="349"/>
      <c r="O8" s="340"/>
      <c r="P8" s="348"/>
      <c r="Q8" s="340"/>
      <c r="R8" s="2"/>
    </row>
    <row r="9" spans="1:18" x14ac:dyDescent="0.25">
      <c r="A9" s="257">
        <v>1</v>
      </c>
      <c r="B9" s="257">
        <v>2</v>
      </c>
      <c r="C9" s="258">
        <v>3</v>
      </c>
      <c r="D9" s="258">
        <v>4</v>
      </c>
      <c r="E9" s="5">
        <v>5</v>
      </c>
      <c r="F9" s="258">
        <v>6</v>
      </c>
      <c r="G9" s="258">
        <v>7</v>
      </c>
      <c r="H9" s="258">
        <v>8</v>
      </c>
      <c r="I9" s="258">
        <v>11</v>
      </c>
      <c r="J9" s="258">
        <v>12</v>
      </c>
      <c r="K9" s="258">
        <v>13</v>
      </c>
      <c r="L9" s="258">
        <v>17</v>
      </c>
      <c r="M9" s="258">
        <v>18</v>
      </c>
      <c r="N9" s="258">
        <v>19</v>
      </c>
      <c r="O9" s="258">
        <v>20</v>
      </c>
      <c r="P9" s="5">
        <v>21</v>
      </c>
      <c r="Q9" s="258">
        <v>22</v>
      </c>
      <c r="R9" s="6"/>
    </row>
    <row r="10" spans="1:18" ht="16.5" x14ac:dyDescent="0.25">
      <c r="A10" s="7">
        <v>1</v>
      </c>
      <c r="B10" s="219" t="s">
        <v>209</v>
      </c>
      <c r="C10" s="5">
        <f t="shared" ref="C10:P10" si="0">C139</f>
        <v>148012811</v>
      </c>
      <c r="D10" s="5">
        <f t="shared" si="0"/>
        <v>133493281</v>
      </c>
      <c r="E10" s="9">
        <f t="shared" si="0"/>
        <v>110.87659984924633</v>
      </c>
      <c r="F10" s="5">
        <f t="shared" si="0"/>
        <v>15411777</v>
      </c>
      <c r="G10" s="10">
        <f t="shared" si="0"/>
        <v>13100900</v>
      </c>
      <c r="H10" s="11">
        <f t="shared" si="0"/>
        <v>117.63907059820318</v>
      </c>
      <c r="I10" s="10">
        <f t="shared" si="0"/>
        <v>140920832</v>
      </c>
      <c r="J10" s="10">
        <f t="shared" si="0"/>
        <v>127575152</v>
      </c>
      <c r="K10" s="11">
        <f t="shared" si="0"/>
        <v>110.46103397940689</v>
      </c>
      <c r="L10" s="5">
        <f t="shared" si="0"/>
        <v>90348538</v>
      </c>
      <c r="M10" s="5">
        <f t="shared" si="0"/>
        <v>83540298</v>
      </c>
      <c r="N10" s="9">
        <f t="shared" si="0"/>
        <v>108.1496477304881</v>
      </c>
      <c r="O10" s="5">
        <f t="shared" si="0"/>
        <v>6054</v>
      </c>
      <c r="P10" s="9">
        <f t="shared" si="0"/>
        <v>164.44829864552361</v>
      </c>
      <c r="Q10" s="5">
        <f>Q139</f>
        <v>6033</v>
      </c>
      <c r="R10" s="12">
        <f t="shared" ref="R10:R22" si="1">O10*P10</f>
        <v>995569.99999999988</v>
      </c>
    </row>
    <row r="11" spans="1:18" ht="16.5" x14ac:dyDescent="0.25">
      <c r="A11" s="7"/>
      <c r="B11" s="219" t="s">
        <v>210</v>
      </c>
      <c r="C11" s="5">
        <f>C149</f>
        <v>132643515</v>
      </c>
      <c r="D11" s="5">
        <f>D149</f>
        <v>127190097</v>
      </c>
      <c r="E11" s="9">
        <f t="shared" ref="E11:Q11" si="2">E149</f>
        <v>104.28761210866912</v>
      </c>
      <c r="F11" s="5">
        <f t="shared" si="2"/>
        <v>12806656</v>
      </c>
      <c r="G11" s="5">
        <f t="shared" si="2"/>
        <v>13067803</v>
      </c>
      <c r="H11" s="9">
        <f t="shared" si="2"/>
        <v>98.001599809853275</v>
      </c>
      <c r="I11" s="5">
        <f t="shared" si="2"/>
        <v>131679338</v>
      </c>
      <c r="J11" s="5">
        <f t="shared" si="2"/>
        <v>125647650</v>
      </c>
      <c r="K11" s="9">
        <f t="shared" si="2"/>
        <v>104.80047816254424</v>
      </c>
      <c r="L11" s="5">
        <f t="shared" si="2"/>
        <v>111136528</v>
      </c>
      <c r="M11" s="5">
        <f t="shared" si="2"/>
        <v>106242938</v>
      </c>
      <c r="N11" s="9">
        <f t="shared" si="2"/>
        <v>104.60603790907965</v>
      </c>
      <c r="O11" s="5">
        <f t="shared" si="2"/>
        <v>3585</v>
      </c>
      <c r="P11" s="5">
        <f t="shared" si="2"/>
        <v>127.32384937238494</v>
      </c>
      <c r="Q11" s="5">
        <f t="shared" si="2"/>
        <v>3574</v>
      </c>
      <c r="R11" s="12">
        <f t="shared" si="1"/>
        <v>456456</v>
      </c>
    </row>
    <row r="12" spans="1:18" ht="16.5" x14ac:dyDescent="0.25">
      <c r="A12" s="7">
        <v>2</v>
      </c>
      <c r="B12" s="219" t="s">
        <v>212</v>
      </c>
      <c r="C12" s="5">
        <f t="shared" ref="C12:P12" si="3">C159</f>
        <v>9781031</v>
      </c>
      <c r="D12" s="5">
        <f t="shared" si="3"/>
        <v>11581976</v>
      </c>
      <c r="E12" s="9">
        <f t="shared" si="3"/>
        <v>84.450451287414168</v>
      </c>
      <c r="F12" s="5">
        <f t="shared" si="3"/>
        <v>1022236</v>
      </c>
      <c r="G12" s="10">
        <f t="shared" si="3"/>
        <v>1197505</v>
      </c>
      <c r="H12" s="11">
        <f t="shared" si="3"/>
        <v>85.363818940213193</v>
      </c>
      <c r="I12" s="10">
        <f t="shared" si="3"/>
        <v>10231741</v>
      </c>
      <c r="J12" s="10">
        <f t="shared" si="3"/>
        <v>11533070</v>
      </c>
      <c r="K12" s="11">
        <f t="shared" si="3"/>
        <v>88.716542949969096</v>
      </c>
      <c r="L12" s="5">
        <f t="shared" si="3"/>
        <v>3317761</v>
      </c>
      <c r="M12" s="5">
        <f t="shared" si="3"/>
        <v>2788340</v>
      </c>
      <c r="N12" s="9">
        <f t="shared" si="3"/>
        <v>118.98695998335927</v>
      </c>
      <c r="O12" s="5">
        <f t="shared" si="3"/>
        <v>1289</v>
      </c>
      <c r="P12" s="9">
        <f t="shared" si="3"/>
        <v>82.248254460822338</v>
      </c>
      <c r="Q12" s="5">
        <f>Q159</f>
        <v>1297</v>
      </c>
      <c r="R12" s="12">
        <f t="shared" si="1"/>
        <v>106018</v>
      </c>
    </row>
    <row r="13" spans="1:18" ht="33" x14ac:dyDescent="0.25">
      <c r="A13" s="7">
        <v>3</v>
      </c>
      <c r="B13" s="219" t="s">
        <v>180</v>
      </c>
      <c r="C13" s="5">
        <f t="shared" ref="C13:P13" si="4">C178</f>
        <v>9469653</v>
      </c>
      <c r="D13" s="5">
        <f t="shared" si="4"/>
        <v>12149233</v>
      </c>
      <c r="E13" s="9">
        <f t="shared" si="4"/>
        <v>77.944451308160765</v>
      </c>
      <c r="F13" s="5">
        <f t="shared" si="4"/>
        <v>1054520</v>
      </c>
      <c r="G13" s="10">
        <f t="shared" si="4"/>
        <v>1558481</v>
      </c>
      <c r="H13" s="11">
        <f t="shared" si="4"/>
        <v>67.663320887453864</v>
      </c>
      <c r="I13" s="10">
        <f t="shared" si="4"/>
        <v>9738808</v>
      </c>
      <c r="J13" s="10">
        <f t="shared" si="4"/>
        <v>12040690</v>
      </c>
      <c r="K13" s="11">
        <f t="shared" si="4"/>
        <v>80.882474343247765</v>
      </c>
      <c r="L13" s="5">
        <f t="shared" si="4"/>
        <v>29091946</v>
      </c>
      <c r="M13" s="5">
        <f t="shared" si="4"/>
        <v>44100135</v>
      </c>
      <c r="N13" s="9">
        <f t="shared" si="4"/>
        <v>65.967929576632812</v>
      </c>
      <c r="O13" s="5">
        <f t="shared" si="4"/>
        <v>527</v>
      </c>
      <c r="P13" s="9">
        <f t="shared" si="4"/>
        <v>104.8595825426945</v>
      </c>
      <c r="Q13" s="5">
        <f>Q178</f>
        <v>511</v>
      </c>
      <c r="R13" s="12">
        <f t="shared" si="1"/>
        <v>55261</v>
      </c>
    </row>
    <row r="14" spans="1:18" ht="16.5" x14ac:dyDescent="0.25">
      <c r="A14" s="7">
        <v>4</v>
      </c>
      <c r="B14" s="219" t="s">
        <v>181</v>
      </c>
      <c r="C14" s="5">
        <f t="shared" ref="C14:Q14" si="5">C54</f>
        <v>3335164</v>
      </c>
      <c r="D14" s="10">
        <f t="shared" si="5"/>
        <v>2316714</v>
      </c>
      <c r="E14" s="11">
        <f t="shared" si="5"/>
        <v>143.96097230819169</v>
      </c>
      <c r="F14" s="10">
        <f t="shared" si="5"/>
        <v>311455</v>
      </c>
      <c r="G14" s="10">
        <f t="shared" si="5"/>
        <v>256889</v>
      </c>
      <c r="H14" s="11">
        <f t="shared" si="5"/>
        <v>121.24108077807925</v>
      </c>
      <c r="I14" s="10">
        <f t="shared" si="5"/>
        <v>2716032</v>
      </c>
      <c r="J14" s="10">
        <f t="shared" si="5"/>
        <v>2386090</v>
      </c>
      <c r="K14" s="11">
        <f t="shared" si="5"/>
        <v>113.8277265316899</v>
      </c>
      <c r="L14" s="10">
        <f t="shared" si="5"/>
        <v>1534047</v>
      </c>
      <c r="M14" s="10">
        <f t="shared" si="5"/>
        <v>1271462</v>
      </c>
      <c r="N14" s="11">
        <f t="shared" si="5"/>
        <v>120.65220981830365</v>
      </c>
      <c r="O14" s="10">
        <f t="shared" si="5"/>
        <v>896</v>
      </c>
      <c r="P14" s="11">
        <f t="shared" si="5"/>
        <v>93.405133928571431</v>
      </c>
      <c r="Q14" s="10">
        <f t="shared" si="5"/>
        <v>912</v>
      </c>
      <c r="R14" s="12">
        <f t="shared" si="1"/>
        <v>83691</v>
      </c>
    </row>
    <row r="15" spans="1:18" ht="16.5" x14ac:dyDescent="0.25">
      <c r="A15" s="7">
        <v>5</v>
      </c>
      <c r="B15" s="219" t="s">
        <v>182</v>
      </c>
      <c r="C15" s="5">
        <f t="shared" ref="C15:Q15" si="6">C66</f>
        <v>1440580</v>
      </c>
      <c r="D15" s="10">
        <f t="shared" si="6"/>
        <v>1606720</v>
      </c>
      <c r="E15" s="11">
        <f t="shared" si="6"/>
        <v>89.659679346743687</v>
      </c>
      <c r="F15" s="10">
        <f t="shared" si="6"/>
        <v>146680</v>
      </c>
      <c r="G15" s="10">
        <f t="shared" si="6"/>
        <v>162272</v>
      </c>
      <c r="H15" s="11">
        <f t="shared" si="6"/>
        <v>90.391441530270171</v>
      </c>
      <c r="I15" s="10">
        <f t="shared" si="6"/>
        <v>1564758</v>
      </c>
      <c r="J15" s="10">
        <f t="shared" si="6"/>
        <v>1668053</v>
      </c>
      <c r="K15" s="11">
        <f t="shared" si="6"/>
        <v>93.807450962289565</v>
      </c>
      <c r="L15" s="10">
        <f t="shared" si="6"/>
        <v>1047550</v>
      </c>
      <c r="M15" s="10">
        <f t="shared" si="6"/>
        <v>1039871</v>
      </c>
      <c r="N15" s="11">
        <f t="shared" si="6"/>
        <v>100.73845698168331</v>
      </c>
      <c r="O15" s="10">
        <f t="shared" si="6"/>
        <v>584</v>
      </c>
      <c r="P15" s="11">
        <f t="shared" si="6"/>
        <v>74.50856164383562</v>
      </c>
      <c r="Q15" s="10">
        <f t="shared" si="6"/>
        <v>577</v>
      </c>
      <c r="R15" s="12">
        <f t="shared" si="1"/>
        <v>43513</v>
      </c>
    </row>
    <row r="16" spans="1:18" ht="16.5" x14ac:dyDescent="0.25">
      <c r="A16" s="7">
        <v>6</v>
      </c>
      <c r="B16" s="219" t="s">
        <v>183</v>
      </c>
      <c r="C16" s="5">
        <f t="shared" ref="C16:Q16" si="7">C77</f>
        <v>1580019</v>
      </c>
      <c r="D16" s="10">
        <f t="shared" si="7"/>
        <v>1235914</v>
      </c>
      <c r="E16" s="11">
        <f t="shared" si="7"/>
        <v>127.84214759279367</v>
      </c>
      <c r="F16" s="10">
        <f t="shared" si="7"/>
        <v>287818</v>
      </c>
      <c r="G16" s="10">
        <f t="shared" si="7"/>
        <v>272567</v>
      </c>
      <c r="H16" s="11">
        <f t="shared" si="7"/>
        <v>105.59532151727834</v>
      </c>
      <c r="I16" s="10">
        <f t="shared" si="7"/>
        <v>1603678</v>
      </c>
      <c r="J16" s="10">
        <f t="shared" si="7"/>
        <v>1301233</v>
      </c>
      <c r="K16" s="11">
        <f t="shared" si="7"/>
        <v>123.24295495118859</v>
      </c>
      <c r="L16" s="10">
        <f t="shared" si="7"/>
        <v>825304</v>
      </c>
      <c r="M16" s="10">
        <f t="shared" si="7"/>
        <v>525992</v>
      </c>
      <c r="N16" s="11">
        <f t="shared" si="7"/>
        <v>156.90428751768087</v>
      </c>
      <c r="O16" s="10">
        <f t="shared" si="7"/>
        <v>531</v>
      </c>
      <c r="P16" s="11">
        <f t="shared" si="7"/>
        <v>92.766478342749522</v>
      </c>
      <c r="Q16" s="10">
        <f t="shared" si="7"/>
        <v>537</v>
      </c>
      <c r="R16" s="12">
        <f t="shared" si="1"/>
        <v>49258.999999999993</v>
      </c>
    </row>
    <row r="17" spans="1:18" ht="16.5" x14ac:dyDescent="0.25">
      <c r="A17" s="7">
        <v>7</v>
      </c>
      <c r="B17" s="219" t="s">
        <v>184</v>
      </c>
      <c r="C17" s="5">
        <f t="shared" ref="C17:Q17" si="8">C92</f>
        <v>6294859</v>
      </c>
      <c r="D17" s="10">
        <f t="shared" si="8"/>
        <v>6102794</v>
      </c>
      <c r="E17" s="11">
        <f t="shared" si="8"/>
        <v>103.14716505259722</v>
      </c>
      <c r="F17" s="10">
        <f t="shared" si="8"/>
        <v>700602</v>
      </c>
      <c r="G17" s="10">
        <f t="shared" si="8"/>
        <v>731426</v>
      </c>
      <c r="H17" s="11">
        <f t="shared" si="8"/>
        <v>95.785766434335116</v>
      </c>
      <c r="I17" s="10">
        <f t="shared" si="8"/>
        <v>9960114</v>
      </c>
      <c r="J17" s="10">
        <f t="shared" si="8"/>
        <v>9215887</v>
      </c>
      <c r="K17" s="11">
        <f t="shared" si="8"/>
        <v>108.07547879005025</v>
      </c>
      <c r="L17" s="10">
        <f t="shared" si="8"/>
        <v>2371203</v>
      </c>
      <c r="M17" s="10">
        <f t="shared" si="8"/>
        <v>1842104</v>
      </c>
      <c r="N17" s="11">
        <f t="shared" si="8"/>
        <v>128.72253683831099</v>
      </c>
      <c r="O17" s="10">
        <f t="shared" si="8"/>
        <v>4076</v>
      </c>
      <c r="P17" s="11">
        <f t="shared" si="8"/>
        <v>109.04514229636899</v>
      </c>
      <c r="Q17" s="10">
        <f t="shared" si="8"/>
        <v>3980</v>
      </c>
      <c r="R17" s="12">
        <f t="shared" si="1"/>
        <v>444468</v>
      </c>
    </row>
    <row r="18" spans="1:18" ht="33" x14ac:dyDescent="0.25">
      <c r="A18" s="7">
        <v>8</v>
      </c>
      <c r="B18" s="219" t="s">
        <v>177</v>
      </c>
      <c r="C18" s="5">
        <f t="shared" ref="C18:Q18" si="9">C165</f>
        <v>4109789</v>
      </c>
      <c r="D18" s="10">
        <f t="shared" si="9"/>
        <v>2279942</v>
      </c>
      <c r="E18" s="11">
        <f t="shared" si="9"/>
        <v>180.25848903173852</v>
      </c>
      <c r="F18" s="10">
        <f t="shared" si="9"/>
        <v>547950</v>
      </c>
      <c r="G18" s="10">
        <f t="shared" si="9"/>
        <v>185255</v>
      </c>
      <c r="H18" s="11">
        <f t="shared" si="9"/>
        <v>295.78149037812744</v>
      </c>
      <c r="I18" s="10">
        <f t="shared" si="9"/>
        <v>3826228</v>
      </c>
      <c r="J18" s="10">
        <f t="shared" si="9"/>
        <v>1979124</v>
      </c>
      <c r="K18" s="11">
        <f t="shared" si="9"/>
        <v>193.32937198477711</v>
      </c>
      <c r="L18" s="10">
        <f t="shared" si="9"/>
        <v>309543</v>
      </c>
      <c r="M18" s="10">
        <f t="shared" si="9"/>
        <v>107736</v>
      </c>
      <c r="N18" s="11">
        <f t="shared" si="9"/>
        <v>0</v>
      </c>
      <c r="O18" s="10">
        <f t="shared" si="9"/>
        <v>564</v>
      </c>
      <c r="P18" s="11">
        <f t="shared" si="9"/>
        <v>96.476950354609926</v>
      </c>
      <c r="Q18" s="10">
        <f t="shared" si="9"/>
        <v>571</v>
      </c>
      <c r="R18" s="12">
        <f t="shared" si="1"/>
        <v>54413</v>
      </c>
    </row>
    <row r="19" spans="1:18" ht="33" x14ac:dyDescent="0.25">
      <c r="A19" s="7">
        <v>9</v>
      </c>
      <c r="B19" s="219" t="s">
        <v>185</v>
      </c>
      <c r="C19" s="5">
        <f t="shared" ref="C19:Q19" si="10">C120</f>
        <v>3106555</v>
      </c>
      <c r="D19" s="10">
        <f t="shared" si="10"/>
        <v>3185891</v>
      </c>
      <c r="E19" s="11">
        <f t="shared" si="10"/>
        <v>97.509770422151917</v>
      </c>
      <c r="F19" s="10">
        <f t="shared" si="10"/>
        <v>463002</v>
      </c>
      <c r="G19" s="10">
        <f t="shared" si="10"/>
        <v>383667</v>
      </c>
      <c r="H19" s="11">
        <f t="shared" si="10"/>
        <v>120.67808802946305</v>
      </c>
      <c r="I19" s="10">
        <f t="shared" si="10"/>
        <v>3083317</v>
      </c>
      <c r="J19" s="10">
        <f t="shared" si="10"/>
        <v>3212104</v>
      </c>
      <c r="K19" s="11">
        <f t="shared" si="10"/>
        <v>95.990571911743828</v>
      </c>
      <c r="L19" s="10">
        <f t="shared" si="10"/>
        <v>1377614</v>
      </c>
      <c r="M19" s="10">
        <f t="shared" si="10"/>
        <v>1470046</v>
      </c>
      <c r="N19" s="11">
        <f t="shared" si="10"/>
        <v>93.712305601321319</v>
      </c>
      <c r="O19" s="10">
        <f t="shared" si="10"/>
        <v>1753</v>
      </c>
      <c r="P19" s="11">
        <f t="shared" si="10"/>
        <v>61.711922418710785</v>
      </c>
      <c r="Q19" s="10">
        <f t="shared" si="10"/>
        <v>1599</v>
      </c>
      <c r="R19" s="12">
        <f t="shared" si="1"/>
        <v>108181</v>
      </c>
    </row>
    <row r="20" spans="1:18" ht="16.5" x14ac:dyDescent="0.25">
      <c r="A20" s="7">
        <v>10</v>
      </c>
      <c r="B20" s="219" t="s">
        <v>186</v>
      </c>
      <c r="C20" s="5">
        <f t="shared" ref="C20:Q20" si="11">C131</f>
        <v>220826</v>
      </c>
      <c r="D20" s="10">
        <f t="shared" si="11"/>
        <v>162667</v>
      </c>
      <c r="E20" s="11">
        <f t="shared" si="11"/>
        <v>135.75341034137224</v>
      </c>
      <c r="F20" s="10">
        <f t="shared" si="11"/>
        <v>7743</v>
      </c>
      <c r="G20" s="10">
        <f t="shared" si="11"/>
        <v>38703</v>
      </c>
      <c r="H20" s="11">
        <f t="shared" si="11"/>
        <v>20.006201069684522</v>
      </c>
      <c r="I20" s="10">
        <f t="shared" si="11"/>
        <v>254806</v>
      </c>
      <c r="J20" s="10">
        <f t="shared" si="11"/>
        <v>163149</v>
      </c>
      <c r="K20" s="11">
        <f t="shared" si="11"/>
        <v>156.17993368025546</v>
      </c>
      <c r="L20" s="10">
        <f>L131</f>
        <v>0</v>
      </c>
      <c r="M20" s="10">
        <f t="shared" si="11"/>
        <v>0</v>
      </c>
      <c r="N20" s="11">
        <f t="shared" si="11"/>
        <v>0</v>
      </c>
      <c r="O20" s="10">
        <f t="shared" si="11"/>
        <v>100</v>
      </c>
      <c r="P20" s="11">
        <f t="shared" si="11"/>
        <v>75.3</v>
      </c>
      <c r="Q20" s="10">
        <f t="shared" si="11"/>
        <v>102</v>
      </c>
      <c r="R20" s="12">
        <f t="shared" si="1"/>
        <v>7530</v>
      </c>
    </row>
    <row r="21" spans="1:18" ht="33" x14ac:dyDescent="0.25">
      <c r="A21" s="7">
        <v>11</v>
      </c>
      <c r="B21" s="219" t="s">
        <v>187</v>
      </c>
      <c r="C21" s="5">
        <f t="shared" ref="C21:P21" si="12">C192</f>
        <v>1052625</v>
      </c>
      <c r="D21" s="10">
        <f t="shared" si="12"/>
        <v>1351823.7</v>
      </c>
      <c r="E21" s="11">
        <f t="shared" si="12"/>
        <v>77.8670325131894</v>
      </c>
      <c r="F21" s="10">
        <f t="shared" si="12"/>
        <v>96639</v>
      </c>
      <c r="G21" s="10">
        <f t="shared" si="12"/>
        <v>96229</v>
      </c>
      <c r="H21" s="11">
        <f t="shared" si="12"/>
        <v>100.42606698604371</v>
      </c>
      <c r="I21" s="10">
        <f t="shared" si="12"/>
        <v>732419.1</v>
      </c>
      <c r="J21" s="10">
        <f t="shared" si="12"/>
        <v>1151562</v>
      </c>
      <c r="K21" s="11">
        <f t="shared" si="12"/>
        <v>63.60222897247391</v>
      </c>
      <c r="L21" s="10">
        <f t="shared" si="12"/>
        <v>105629</v>
      </c>
      <c r="M21" s="10">
        <f t="shared" si="12"/>
        <v>371225</v>
      </c>
      <c r="N21" s="11">
        <f t="shared" si="12"/>
        <v>28.454171998114354</v>
      </c>
      <c r="O21" s="10">
        <f t="shared" si="12"/>
        <v>693</v>
      </c>
      <c r="P21" s="11">
        <f t="shared" si="12"/>
        <v>149.16955266955264</v>
      </c>
      <c r="Q21" s="10">
        <f>Q192</f>
        <v>700</v>
      </c>
      <c r="R21" s="12">
        <f t="shared" si="1"/>
        <v>103374.49999999999</v>
      </c>
    </row>
    <row r="22" spans="1:18" ht="16.5" x14ac:dyDescent="0.25">
      <c r="A22" s="7">
        <v>12</v>
      </c>
      <c r="B22" s="219" t="s">
        <v>188</v>
      </c>
      <c r="C22" s="5">
        <f t="shared" ref="C22:P22" si="13">C197</f>
        <v>357419</v>
      </c>
      <c r="D22" s="10">
        <f t="shared" si="13"/>
        <v>451860</v>
      </c>
      <c r="E22" s="11">
        <f t="shared" si="13"/>
        <v>79.099499845084765</v>
      </c>
      <c r="F22" s="10">
        <f t="shared" si="13"/>
        <v>86194</v>
      </c>
      <c r="G22" s="10">
        <f t="shared" si="13"/>
        <v>78705</v>
      </c>
      <c r="H22" s="11">
        <f>H197</f>
        <v>109.51527857188235</v>
      </c>
      <c r="I22" s="10">
        <f t="shared" si="13"/>
        <v>310070</v>
      </c>
      <c r="J22" s="10">
        <f t="shared" si="13"/>
        <v>394415</v>
      </c>
      <c r="K22" s="11">
        <f t="shared" si="13"/>
        <v>78.61516423056932</v>
      </c>
      <c r="L22" s="10">
        <f t="shared" si="13"/>
        <v>89033</v>
      </c>
      <c r="M22" s="10">
        <f t="shared" si="13"/>
        <v>110713</v>
      </c>
      <c r="N22" s="11">
        <f t="shared" si="13"/>
        <v>80.417837110366435</v>
      </c>
      <c r="O22" s="10">
        <f>O197</f>
        <v>236</v>
      </c>
      <c r="P22" s="11">
        <f t="shared" si="13"/>
        <v>56.885593220338983</v>
      </c>
      <c r="Q22" s="10">
        <f>Q197</f>
        <v>233</v>
      </c>
      <c r="R22" s="12">
        <f t="shared" si="1"/>
        <v>13425</v>
      </c>
    </row>
    <row r="23" spans="1:18" s="218" customFormat="1" x14ac:dyDescent="0.25">
      <c r="A23" s="214"/>
      <c r="B23" s="214" t="s">
        <v>189</v>
      </c>
      <c r="C23" s="215">
        <f>SUM(C10:C22)</f>
        <v>321404846</v>
      </c>
      <c r="D23" s="215">
        <f>SUM(D10:D22)</f>
        <v>303108912.69999999</v>
      </c>
      <c r="E23" s="216">
        <f>C23/D23*100</f>
        <v>106.03609215480519</v>
      </c>
      <c r="F23" s="215">
        <f>SUM(F10:F22)</f>
        <v>32943272</v>
      </c>
      <c r="G23" s="215">
        <f>SUM(G10:G22)</f>
        <v>31130402</v>
      </c>
      <c r="H23" s="216">
        <f>F23/G23*100</f>
        <v>105.82347121633701</v>
      </c>
      <c r="I23" s="215">
        <f>SUM(I10:I22)</f>
        <v>316622141.10000002</v>
      </c>
      <c r="J23" s="215">
        <f>SUM(J10:J22)</f>
        <v>298268179</v>
      </c>
      <c r="K23" s="216">
        <f>I23/J23*100</f>
        <v>106.15350995923707</v>
      </c>
      <c r="L23" s="215">
        <f>SUM(L10:L22)</f>
        <v>241554696</v>
      </c>
      <c r="M23" s="215">
        <f>SUM(M10:M22)</f>
        <v>243410860</v>
      </c>
      <c r="N23" s="216">
        <f>L23/M23*100</f>
        <v>99.237435831745543</v>
      </c>
      <c r="O23" s="215">
        <f>SUM(O10:O22)</f>
        <v>20888</v>
      </c>
      <c r="P23" s="216">
        <f>R23/O23</f>
        <v>120.6989419762543</v>
      </c>
      <c r="Q23" s="215">
        <f>SUM(Q10:Q22)</f>
        <v>20626</v>
      </c>
      <c r="R23" s="217">
        <f>SUM(R10:R22)</f>
        <v>2521159.5</v>
      </c>
    </row>
    <row r="24" spans="1:18" x14ac:dyDescent="0.2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7"/>
      <c r="Q24" s="17"/>
      <c r="R24" s="18"/>
    </row>
    <row r="25" spans="1:18" s="22" customFormat="1" x14ac:dyDescent="0.25">
      <c r="A25" s="19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20"/>
      <c r="Q25" s="20"/>
      <c r="R25" s="21"/>
    </row>
    <row r="26" spans="1:18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18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ht="18" customHeight="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 ht="75.75" customHeight="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s="24" customFormat="1" ht="14.25" x14ac:dyDescent="0.2">
      <c r="A30" s="325" t="s">
        <v>220</v>
      </c>
      <c r="B30" s="325"/>
      <c r="C30" s="325"/>
      <c r="D30" s="325"/>
      <c r="E30" s="325"/>
      <c r="F30" s="325"/>
      <c r="G30" s="325"/>
      <c r="H30" s="325"/>
      <c r="I30" s="325"/>
      <c r="J30" s="325"/>
      <c r="K30" s="325"/>
      <c r="L30" s="325"/>
      <c r="M30" s="325"/>
      <c r="N30" s="325"/>
      <c r="O30" s="325"/>
      <c r="P30" s="325"/>
      <c r="Q30" s="325"/>
      <c r="R30" s="23"/>
    </row>
    <row r="31" spans="1:18" s="24" customFormat="1" ht="14.25" x14ac:dyDescent="0.2">
      <c r="A31" s="325"/>
      <c r="B31" s="325"/>
      <c r="C31" s="325"/>
      <c r="D31" s="325"/>
      <c r="E31" s="325"/>
      <c r="F31" s="325"/>
      <c r="G31" s="325"/>
      <c r="H31" s="325"/>
      <c r="I31" s="325"/>
      <c r="J31" s="325"/>
      <c r="K31" s="325"/>
      <c r="L31" s="325"/>
      <c r="M31" s="325"/>
      <c r="N31" s="325"/>
      <c r="O31" s="325"/>
      <c r="P31" s="325"/>
      <c r="Q31" s="325"/>
      <c r="R31" s="23"/>
    </row>
    <row r="32" spans="1:18" s="24" customFormat="1" ht="9" customHeight="1" x14ac:dyDescent="0.2">
      <c r="A32" s="326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6"/>
      <c r="M32" s="326"/>
      <c r="N32" s="326"/>
      <c r="O32" s="326"/>
      <c r="P32" s="326"/>
      <c r="Q32" s="326"/>
      <c r="R32" s="25"/>
    </row>
    <row r="33" spans="1:18" x14ac:dyDescent="0.25">
      <c r="A33" s="327" t="s">
        <v>0</v>
      </c>
      <c r="B33" s="329" t="s">
        <v>24</v>
      </c>
      <c r="C33" s="331" t="s">
        <v>172</v>
      </c>
      <c r="D33" s="331"/>
      <c r="E33" s="331"/>
      <c r="F33" s="331"/>
      <c r="G33" s="331"/>
      <c r="H33" s="331" t="s">
        <v>2</v>
      </c>
      <c r="I33" s="331"/>
      <c r="J33" s="331"/>
      <c r="K33" s="331"/>
      <c r="L33" s="255"/>
      <c r="M33" s="255" t="s">
        <v>3</v>
      </c>
      <c r="N33" s="27"/>
      <c r="O33" s="329" t="s">
        <v>25</v>
      </c>
      <c r="P33" s="332" t="s">
        <v>26</v>
      </c>
      <c r="Q33" s="329" t="s">
        <v>27</v>
      </c>
      <c r="R33" s="28"/>
    </row>
    <row r="34" spans="1:18" ht="60" x14ac:dyDescent="0.25">
      <c r="A34" s="328"/>
      <c r="B34" s="330"/>
      <c r="C34" s="254" t="s">
        <v>7</v>
      </c>
      <c r="D34" s="254" t="s">
        <v>28</v>
      </c>
      <c r="E34" s="30" t="s">
        <v>29</v>
      </c>
      <c r="F34" s="254" t="s">
        <v>10</v>
      </c>
      <c r="G34" s="254" t="s">
        <v>30</v>
      </c>
      <c r="H34" s="30" t="s">
        <v>29</v>
      </c>
      <c r="I34" s="254" t="s">
        <v>11</v>
      </c>
      <c r="J34" s="254" t="s">
        <v>28</v>
      </c>
      <c r="K34" s="30" t="s">
        <v>29</v>
      </c>
      <c r="L34" s="254" t="s">
        <v>11</v>
      </c>
      <c r="M34" s="254" t="s">
        <v>28</v>
      </c>
      <c r="N34" s="30" t="s">
        <v>29</v>
      </c>
      <c r="O34" s="330"/>
      <c r="P34" s="333"/>
      <c r="Q34" s="330"/>
      <c r="R34" s="31"/>
    </row>
    <row r="35" spans="1:18" x14ac:dyDescent="0.25">
      <c r="A35" s="32"/>
      <c r="B35" s="33" t="s">
        <v>31</v>
      </c>
      <c r="C35" s="32"/>
      <c r="D35" s="32"/>
      <c r="E35" s="32"/>
      <c r="F35" s="32"/>
      <c r="G35" s="32"/>
      <c r="H35" s="32"/>
      <c r="I35" s="32"/>
      <c r="J35" s="32"/>
      <c r="K35" s="34"/>
      <c r="L35" s="32"/>
      <c r="M35" s="32"/>
      <c r="N35" s="32"/>
      <c r="O35" s="32"/>
      <c r="P35" s="35"/>
      <c r="Q35" s="35"/>
      <c r="R35" s="36"/>
    </row>
    <row r="36" spans="1:18" x14ac:dyDescent="0.25">
      <c r="A36" s="319" t="s">
        <v>32</v>
      </c>
      <c r="B36" s="320"/>
      <c r="C36" s="37">
        <v>3</v>
      </c>
      <c r="D36" s="37">
        <v>4</v>
      </c>
      <c r="E36" s="256">
        <v>5</v>
      </c>
      <c r="F36" s="37">
        <v>6</v>
      </c>
      <c r="G36" s="37">
        <v>7</v>
      </c>
      <c r="H36" s="37">
        <v>8</v>
      </c>
      <c r="I36" s="37">
        <v>9</v>
      </c>
      <c r="J36" s="37">
        <v>10</v>
      </c>
      <c r="K36" s="37">
        <v>11</v>
      </c>
      <c r="L36" s="37">
        <v>12</v>
      </c>
      <c r="M36" s="37">
        <v>13</v>
      </c>
      <c r="N36" s="37">
        <v>14</v>
      </c>
      <c r="O36" s="37">
        <v>15</v>
      </c>
      <c r="P36" s="256">
        <v>16</v>
      </c>
      <c r="Q36" s="37">
        <v>17</v>
      </c>
      <c r="R36" s="39"/>
    </row>
    <row r="37" spans="1:18" x14ac:dyDescent="0.25">
      <c r="A37" s="40">
        <v>1</v>
      </c>
      <c r="B37" s="41" t="s">
        <v>33</v>
      </c>
      <c r="C37" s="42">
        <v>135238</v>
      </c>
      <c r="D37" s="42">
        <v>142941</v>
      </c>
      <c r="E37" s="42">
        <f t="shared" ref="E37:E54" si="14">C37/D37*100</f>
        <v>94.611063305839465</v>
      </c>
      <c r="F37" s="42">
        <v>14812</v>
      </c>
      <c r="G37" s="42">
        <v>17526</v>
      </c>
      <c r="H37" s="42">
        <f>F37/G37*100</f>
        <v>84.514435695538054</v>
      </c>
      <c r="I37" s="42">
        <v>135238</v>
      </c>
      <c r="J37" s="42">
        <v>142941</v>
      </c>
      <c r="K37" s="42">
        <f>I37/J37*100</f>
        <v>94.611063305839465</v>
      </c>
      <c r="L37" s="42">
        <v>7391</v>
      </c>
      <c r="M37" s="42">
        <v>548</v>
      </c>
      <c r="N37" s="42">
        <f t="shared" ref="N37:N42" si="15">L37/M37*100</f>
        <v>1348.7226277372263</v>
      </c>
      <c r="O37" s="42">
        <v>86</v>
      </c>
      <c r="P37" s="42">
        <v>79</v>
      </c>
      <c r="Q37" s="42">
        <v>91</v>
      </c>
      <c r="R37" s="45">
        <f>O37*P37</f>
        <v>6794</v>
      </c>
    </row>
    <row r="38" spans="1:18" x14ac:dyDescent="0.25">
      <c r="A38" s="40">
        <v>2</v>
      </c>
      <c r="B38" s="41" t="s">
        <v>221</v>
      </c>
      <c r="C38" s="42">
        <v>293004</v>
      </c>
      <c r="D38" s="42">
        <v>138810</v>
      </c>
      <c r="E38" s="43">
        <v>0</v>
      </c>
      <c r="F38" s="42">
        <v>54682</v>
      </c>
      <c r="G38" s="42">
        <v>0</v>
      </c>
      <c r="H38" s="43">
        <v>0</v>
      </c>
      <c r="I38" s="42">
        <v>293004</v>
      </c>
      <c r="J38" s="42">
        <v>138810</v>
      </c>
      <c r="K38" s="43">
        <v>0</v>
      </c>
      <c r="L38" s="42">
        <v>206429</v>
      </c>
      <c r="M38" s="42">
        <v>52454</v>
      </c>
      <c r="N38" s="43">
        <v>0</v>
      </c>
      <c r="O38" s="253">
        <v>95</v>
      </c>
      <c r="P38" s="44">
        <v>165</v>
      </c>
      <c r="Q38" s="259">
        <v>95</v>
      </c>
      <c r="R38" s="45">
        <f t="shared" ref="R38:R53" si="16">O38*P38</f>
        <v>15675</v>
      </c>
    </row>
    <row r="39" spans="1:18" x14ac:dyDescent="0.25">
      <c r="A39" s="40">
        <v>3</v>
      </c>
      <c r="B39" s="41" t="s">
        <v>35</v>
      </c>
      <c r="C39" s="42">
        <v>79110</v>
      </c>
      <c r="D39" s="42">
        <v>52743</v>
      </c>
      <c r="E39" s="43">
        <f t="shared" si="14"/>
        <v>149.99146806211249</v>
      </c>
      <c r="F39" s="42">
        <v>12652</v>
      </c>
      <c r="G39" s="42">
        <v>8771</v>
      </c>
      <c r="H39" s="43">
        <f t="shared" ref="H39:H54" si="17">F39/G39*100</f>
        <v>144.24809029757157</v>
      </c>
      <c r="I39" s="42">
        <v>114623</v>
      </c>
      <c r="J39" s="42">
        <v>81004</v>
      </c>
      <c r="K39" s="43">
        <f t="shared" ref="K39:K54" si="18">I39/J39*100</f>
        <v>141.50288874623476</v>
      </c>
      <c r="L39" s="42">
        <v>0</v>
      </c>
      <c r="M39" s="42">
        <v>17960</v>
      </c>
      <c r="N39" s="43">
        <f t="shared" si="15"/>
        <v>0</v>
      </c>
      <c r="O39" s="253">
        <v>27</v>
      </c>
      <c r="P39" s="44">
        <v>70</v>
      </c>
      <c r="Q39" s="259">
        <v>38</v>
      </c>
      <c r="R39" s="45">
        <f t="shared" si="16"/>
        <v>1890</v>
      </c>
    </row>
    <row r="40" spans="1:18" x14ac:dyDescent="0.25">
      <c r="A40" s="40">
        <v>4</v>
      </c>
      <c r="B40" s="41" t="s">
        <v>36</v>
      </c>
      <c r="C40" s="42">
        <v>17250</v>
      </c>
      <c r="D40" s="42">
        <v>17790</v>
      </c>
      <c r="E40" s="43">
        <f t="shared" si="14"/>
        <v>96.964586846543</v>
      </c>
      <c r="F40" s="42">
        <v>4550</v>
      </c>
      <c r="G40" s="42">
        <v>1060</v>
      </c>
      <c r="H40" s="43">
        <f t="shared" si="17"/>
        <v>429.24528301886795</v>
      </c>
      <c r="I40" s="42">
        <v>16541</v>
      </c>
      <c r="J40" s="42">
        <v>26632</v>
      </c>
      <c r="K40" s="43">
        <f t="shared" si="18"/>
        <v>62.109492340042053</v>
      </c>
      <c r="L40" s="42">
        <v>16541</v>
      </c>
      <c r="M40" s="42">
        <v>26632</v>
      </c>
      <c r="N40" s="43">
        <f t="shared" si="15"/>
        <v>62.109492340042053</v>
      </c>
      <c r="O40" s="253">
        <v>20</v>
      </c>
      <c r="P40" s="44">
        <v>60</v>
      </c>
      <c r="Q40" s="259">
        <v>20</v>
      </c>
      <c r="R40" s="45">
        <f t="shared" si="16"/>
        <v>1200</v>
      </c>
    </row>
    <row r="41" spans="1:18" x14ac:dyDescent="0.25">
      <c r="A41" s="40">
        <v>5</v>
      </c>
      <c r="B41" s="41" t="s">
        <v>37</v>
      </c>
      <c r="C41" s="48">
        <v>44595</v>
      </c>
      <c r="D41" s="48">
        <v>107113</v>
      </c>
      <c r="E41" s="43">
        <f t="shared" si="14"/>
        <v>41.633601897061986</v>
      </c>
      <c r="F41" s="48">
        <v>4653</v>
      </c>
      <c r="G41" s="48">
        <v>9362</v>
      </c>
      <c r="H41" s="43">
        <f t="shared" si="17"/>
        <v>49.700918607135222</v>
      </c>
      <c r="I41" s="48">
        <v>48765</v>
      </c>
      <c r="J41" s="48">
        <v>110160</v>
      </c>
      <c r="K41" s="43">
        <f t="shared" si="18"/>
        <v>44.26742919389978</v>
      </c>
      <c r="L41" s="48">
        <f>7464+2535</f>
        <v>9999</v>
      </c>
      <c r="M41" s="48">
        <f>3044+7788</f>
        <v>10832</v>
      </c>
      <c r="N41" s="43">
        <f t="shared" si="15"/>
        <v>92.309822747415069</v>
      </c>
      <c r="O41" s="253">
        <v>51</v>
      </c>
      <c r="P41" s="44">
        <v>55</v>
      </c>
      <c r="Q41" s="259">
        <v>52</v>
      </c>
      <c r="R41" s="45">
        <f t="shared" si="16"/>
        <v>2805</v>
      </c>
    </row>
    <row r="42" spans="1:18" x14ac:dyDescent="0.25">
      <c r="A42" s="40">
        <v>6</v>
      </c>
      <c r="B42" s="41" t="s">
        <v>38</v>
      </c>
      <c r="C42" s="49">
        <v>83832</v>
      </c>
      <c r="D42" s="42">
        <v>124258</v>
      </c>
      <c r="E42" s="43">
        <f t="shared" si="14"/>
        <v>67.466078642823803</v>
      </c>
      <c r="F42" s="42">
        <v>9394</v>
      </c>
      <c r="G42" s="42">
        <v>11249</v>
      </c>
      <c r="H42" s="43">
        <f t="shared" si="17"/>
        <v>83.509645301804596</v>
      </c>
      <c r="I42" s="42">
        <v>84554</v>
      </c>
      <c r="J42" s="42">
        <v>116376</v>
      </c>
      <c r="K42" s="43">
        <f t="shared" si="18"/>
        <v>72.655874063380764</v>
      </c>
      <c r="L42" s="42">
        <v>1888</v>
      </c>
      <c r="M42" s="42">
        <v>42730</v>
      </c>
      <c r="N42" s="43">
        <f t="shared" si="15"/>
        <v>4.4184413760823782</v>
      </c>
      <c r="O42" s="253">
        <v>64</v>
      </c>
      <c r="P42" s="44">
        <v>70</v>
      </c>
      <c r="Q42" s="259">
        <v>64</v>
      </c>
      <c r="R42" s="45">
        <f t="shared" si="16"/>
        <v>4480</v>
      </c>
    </row>
    <row r="43" spans="1:18" x14ac:dyDescent="0.25">
      <c r="A43" s="40">
        <v>7</v>
      </c>
      <c r="B43" s="41" t="s">
        <v>39</v>
      </c>
      <c r="C43" s="42">
        <v>4649</v>
      </c>
      <c r="D43" s="42">
        <v>300</v>
      </c>
      <c r="E43" s="55">
        <f t="shared" si="14"/>
        <v>1549.6666666666665</v>
      </c>
      <c r="F43" s="42">
        <v>0</v>
      </c>
      <c r="G43" s="42">
        <v>0</v>
      </c>
      <c r="H43" s="43">
        <v>0</v>
      </c>
      <c r="I43" s="42">
        <v>660</v>
      </c>
      <c r="J43" s="42">
        <v>300</v>
      </c>
      <c r="K43" s="43">
        <f t="shared" si="18"/>
        <v>220.00000000000003</v>
      </c>
      <c r="L43" s="42">
        <v>0</v>
      </c>
      <c r="M43" s="42">
        <v>0</v>
      </c>
      <c r="N43" s="43">
        <v>0</v>
      </c>
      <c r="O43" s="253">
        <v>23</v>
      </c>
      <c r="P43" s="44">
        <v>70</v>
      </c>
      <c r="Q43" s="259">
        <v>23</v>
      </c>
      <c r="R43" s="45">
        <f t="shared" si="16"/>
        <v>1610</v>
      </c>
    </row>
    <row r="44" spans="1:18" x14ac:dyDescent="0.25">
      <c r="A44" s="40">
        <v>8</v>
      </c>
      <c r="B44" s="41" t="s">
        <v>41</v>
      </c>
      <c r="C44" s="51">
        <v>86703</v>
      </c>
      <c r="D44" s="42">
        <v>85578</v>
      </c>
      <c r="E44" s="43">
        <f t="shared" si="14"/>
        <v>101.31459019841549</v>
      </c>
      <c r="F44" s="42">
        <v>11262</v>
      </c>
      <c r="G44" s="42">
        <v>7454</v>
      </c>
      <c r="H44" s="43">
        <f t="shared" si="17"/>
        <v>151.08666487791788</v>
      </c>
      <c r="I44" s="42">
        <v>89401</v>
      </c>
      <c r="J44" s="42">
        <v>86209</v>
      </c>
      <c r="K44" s="43">
        <f t="shared" si="18"/>
        <v>103.70262965583639</v>
      </c>
      <c r="L44" s="42">
        <v>0</v>
      </c>
      <c r="M44" s="42">
        <v>0</v>
      </c>
      <c r="N44" s="43">
        <v>0</v>
      </c>
      <c r="O44" s="253">
        <v>42</v>
      </c>
      <c r="P44" s="44">
        <v>68</v>
      </c>
      <c r="Q44" s="259">
        <v>44</v>
      </c>
      <c r="R44" s="45">
        <f t="shared" si="16"/>
        <v>2856</v>
      </c>
    </row>
    <row r="45" spans="1:18" x14ac:dyDescent="0.25">
      <c r="A45" s="40">
        <v>9</v>
      </c>
      <c r="B45" s="41" t="s">
        <v>42</v>
      </c>
      <c r="C45" s="51">
        <v>251761</v>
      </c>
      <c r="D45" s="42">
        <v>211219</v>
      </c>
      <c r="E45" s="52">
        <f t="shared" si="14"/>
        <v>119.19429596769231</v>
      </c>
      <c r="F45" s="42">
        <v>38002</v>
      </c>
      <c r="G45" s="42">
        <v>19274</v>
      </c>
      <c r="H45" s="43">
        <f t="shared" si="17"/>
        <v>197.1671682058732</v>
      </c>
      <c r="I45" s="42">
        <v>203116</v>
      </c>
      <c r="J45" s="53">
        <v>208104</v>
      </c>
      <c r="K45" s="43">
        <f t="shared" si="18"/>
        <v>97.60312151616499</v>
      </c>
      <c r="L45" s="42">
        <v>0</v>
      </c>
      <c r="M45" s="42">
        <v>0</v>
      </c>
      <c r="N45" s="43">
        <v>0</v>
      </c>
      <c r="O45" s="253">
        <v>77</v>
      </c>
      <c r="P45" s="44">
        <v>130</v>
      </c>
      <c r="Q45" s="259">
        <v>77</v>
      </c>
      <c r="R45" s="45">
        <f t="shared" si="16"/>
        <v>10010</v>
      </c>
    </row>
    <row r="46" spans="1:18" x14ac:dyDescent="0.25">
      <c r="A46" s="40">
        <v>10</v>
      </c>
      <c r="B46" s="41" t="s">
        <v>43</v>
      </c>
      <c r="C46" s="51">
        <v>905649</v>
      </c>
      <c r="D46" s="42">
        <v>968451</v>
      </c>
      <c r="E46" s="43">
        <f t="shared" si="14"/>
        <v>93.515211404603846</v>
      </c>
      <c r="F46" s="51">
        <v>98829</v>
      </c>
      <c r="G46" s="42">
        <v>128660</v>
      </c>
      <c r="H46" s="43">
        <f t="shared" si="17"/>
        <v>76.814083631276233</v>
      </c>
      <c r="I46" s="42">
        <v>821088</v>
      </c>
      <c r="J46" s="42">
        <v>960725</v>
      </c>
      <c r="K46" s="43">
        <f t="shared" si="18"/>
        <v>85.465455775586136</v>
      </c>
      <c r="L46" s="42">
        <v>821088</v>
      </c>
      <c r="M46" s="42">
        <v>960725</v>
      </c>
      <c r="N46" s="43">
        <f t="shared" ref="N46:N48" si="19">L46/M46*100</f>
        <v>85.465455775586136</v>
      </c>
      <c r="O46" s="264">
        <v>198</v>
      </c>
      <c r="P46" s="44">
        <v>84</v>
      </c>
      <c r="Q46" s="259">
        <v>198</v>
      </c>
      <c r="R46" s="45">
        <f t="shared" si="16"/>
        <v>16632</v>
      </c>
    </row>
    <row r="47" spans="1:18" x14ac:dyDescent="0.25">
      <c r="A47" s="40">
        <v>11</v>
      </c>
      <c r="B47" s="41" t="s">
        <v>44</v>
      </c>
      <c r="C47" s="51">
        <v>23882</v>
      </c>
      <c r="D47" s="42">
        <v>22350</v>
      </c>
      <c r="E47" s="43">
        <f t="shared" si="14"/>
        <v>106.85458612975391</v>
      </c>
      <c r="F47" s="42">
        <v>167</v>
      </c>
      <c r="G47" s="42">
        <v>1490</v>
      </c>
      <c r="H47" s="43">
        <f t="shared" si="17"/>
        <v>11.208053691275168</v>
      </c>
      <c r="I47" s="42">
        <v>3807</v>
      </c>
      <c r="J47" s="42">
        <v>53818</v>
      </c>
      <c r="K47" s="43">
        <f t="shared" si="18"/>
        <v>7.0738414656806272</v>
      </c>
      <c r="L47" s="42">
        <v>3807</v>
      </c>
      <c r="M47" s="42">
        <v>53818</v>
      </c>
      <c r="N47" s="43">
        <f t="shared" si="19"/>
        <v>7.0738414656806272</v>
      </c>
      <c r="O47" s="253">
        <v>24</v>
      </c>
      <c r="P47" s="44">
        <v>65</v>
      </c>
      <c r="Q47" s="259">
        <v>24</v>
      </c>
      <c r="R47" s="45">
        <f t="shared" si="16"/>
        <v>1560</v>
      </c>
    </row>
    <row r="48" spans="1:18" x14ac:dyDescent="0.25">
      <c r="A48" s="40">
        <v>12</v>
      </c>
      <c r="B48" s="41" t="s">
        <v>45</v>
      </c>
      <c r="C48" s="42">
        <v>85499</v>
      </c>
      <c r="D48" s="42">
        <v>66979</v>
      </c>
      <c r="E48" s="43">
        <f t="shared" si="14"/>
        <v>127.65045760611535</v>
      </c>
      <c r="F48" s="54">
        <v>9972</v>
      </c>
      <c r="G48" s="54">
        <v>8289</v>
      </c>
      <c r="H48" s="43">
        <f t="shared" si="17"/>
        <v>120.30401737242128</v>
      </c>
      <c r="I48" s="54">
        <v>85516</v>
      </c>
      <c r="J48" s="54">
        <v>69384</v>
      </c>
      <c r="K48" s="43">
        <f t="shared" si="18"/>
        <v>123.25031707598293</v>
      </c>
      <c r="L48" s="55">
        <v>79955</v>
      </c>
      <c r="M48" s="54">
        <v>63952</v>
      </c>
      <c r="N48" s="43">
        <f t="shared" si="19"/>
        <v>125.0234550913185</v>
      </c>
      <c r="O48" s="253">
        <v>27</v>
      </c>
      <c r="P48" s="44">
        <v>120</v>
      </c>
      <c r="Q48" s="259">
        <v>27</v>
      </c>
      <c r="R48" s="45">
        <f t="shared" si="16"/>
        <v>3240</v>
      </c>
    </row>
    <row r="49" spans="1:18" x14ac:dyDescent="0.25">
      <c r="A49" s="40">
        <v>13</v>
      </c>
      <c r="B49" s="41" t="s">
        <v>46</v>
      </c>
      <c r="C49" s="49">
        <v>299668</v>
      </c>
      <c r="D49" s="49">
        <v>298790</v>
      </c>
      <c r="E49" s="43">
        <f t="shared" si="14"/>
        <v>100.29385186920578</v>
      </c>
      <c r="F49" s="49">
        <v>14532</v>
      </c>
      <c r="G49" s="49">
        <v>29066</v>
      </c>
      <c r="H49" s="43">
        <f t="shared" si="17"/>
        <v>49.996559554118214</v>
      </c>
      <c r="I49" s="42">
        <v>290841</v>
      </c>
      <c r="J49" s="42">
        <v>293383</v>
      </c>
      <c r="K49" s="43">
        <f t="shared" si="18"/>
        <v>99.13355579566641</v>
      </c>
      <c r="L49" s="49">
        <v>3429</v>
      </c>
      <c r="M49" s="49">
        <v>0</v>
      </c>
      <c r="N49" s="43">
        <v>0</v>
      </c>
      <c r="O49" s="253">
        <v>78</v>
      </c>
      <c r="P49" s="44">
        <v>98</v>
      </c>
      <c r="Q49" s="259">
        <v>80</v>
      </c>
      <c r="R49" s="45">
        <f t="shared" si="16"/>
        <v>7644</v>
      </c>
    </row>
    <row r="50" spans="1:18" x14ac:dyDescent="0.25">
      <c r="A50" s="40">
        <v>14</v>
      </c>
      <c r="B50" s="41" t="s">
        <v>47</v>
      </c>
      <c r="C50" s="253">
        <v>14415</v>
      </c>
      <c r="D50" s="253">
        <v>29676</v>
      </c>
      <c r="E50" s="47">
        <f t="shared" si="14"/>
        <v>48.574605742013752</v>
      </c>
      <c r="F50" s="253">
        <v>988</v>
      </c>
      <c r="G50" s="253">
        <v>2432</v>
      </c>
      <c r="H50" s="47">
        <f t="shared" si="17"/>
        <v>40.625</v>
      </c>
      <c r="I50" s="253">
        <v>16367</v>
      </c>
      <c r="J50" s="253">
        <v>28784</v>
      </c>
      <c r="K50" s="47">
        <f t="shared" si="18"/>
        <v>56.861450806003333</v>
      </c>
      <c r="L50" s="253">
        <v>0</v>
      </c>
      <c r="M50" s="253">
        <v>8026</v>
      </c>
      <c r="N50" s="43">
        <v>0</v>
      </c>
      <c r="O50" s="253">
        <v>13</v>
      </c>
      <c r="P50" s="44">
        <v>80</v>
      </c>
      <c r="Q50" s="259">
        <v>13</v>
      </c>
      <c r="R50" s="45">
        <f t="shared" si="16"/>
        <v>1040</v>
      </c>
    </row>
    <row r="51" spans="1:18" x14ac:dyDescent="0.25">
      <c r="A51" s="40">
        <v>15</v>
      </c>
      <c r="B51" s="41" t="s">
        <v>48</v>
      </c>
      <c r="C51" s="42">
        <v>306053</v>
      </c>
      <c r="D51" s="53">
        <v>46729</v>
      </c>
      <c r="E51" s="47">
        <f t="shared" si="14"/>
        <v>654.95302702818378</v>
      </c>
      <c r="F51" s="42">
        <v>30110</v>
      </c>
      <c r="G51" s="42">
        <v>12256</v>
      </c>
      <c r="H51" s="47">
        <f t="shared" si="17"/>
        <v>245.67558746736293</v>
      </c>
      <c r="I51" s="42">
        <v>448305</v>
      </c>
      <c r="J51" s="42">
        <v>66473</v>
      </c>
      <c r="K51" s="47">
        <f t="shared" si="18"/>
        <v>674.41668045672679</v>
      </c>
      <c r="L51" s="42">
        <v>383520</v>
      </c>
      <c r="M51" s="42">
        <v>33785</v>
      </c>
      <c r="N51" s="47">
        <f t="shared" ref="N51" si="20">L51/M51*100</f>
        <v>1135.1783335799912</v>
      </c>
      <c r="O51" s="253">
        <v>55</v>
      </c>
      <c r="P51" s="44">
        <v>95</v>
      </c>
      <c r="Q51" s="259">
        <v>50</v>
      </c>
      <c r="R51" s="45">
        <f t="shared" si="16"/>
        <v>5225</v>
      </c>
    </row>
    <row r="52" spans="1:18" x14ac:dyDescent="0.25">
      <c r="A52" s="40">
        <v>16</v>
      </c>
      <c r="B52" s="41" t="s">
        <v>49</v>
      </c>
      <c r="C52" s="42">
        <v>3106</v>
      </c>
      <c r="D52" s="53">
        <v>2987</v>
      </c>
      <c r="E52" s="47">
        <f t="shared" si="14"/>
        <v>103.98393036491463</v>
      </c>
      <c r="F52" s="42">
        <v>0</v>
      </c>
      <c r="G52" s="42">
        <v>0</v>
      </c>
      <c r="H52" s="47">
        <v>0</v>
      </c>
      <c r="I52" s="42">
        <v>3106</v>
      </c>
      <c r="J52" s="42">
        <v>2987</v>
      </c>
      <c r="K52" s="47">
        <f t="shared" si="18"/>
        <v>103.98393036491463</v>
      </c>
      <c r="L52" s="42">
        <v>0</v>
      </c>
      <c r="M52" s="42">
        <v>0</v>
      </c>
      <c r="N52" s="43">
        <v>0</v>
      </c>
      <c r="O52" s="253">
        <v>3</v>
      </c>
      <c r="P52" s="44">
        <v>40</v>
      </c>
      <c r="Q52" s="259">
        <v>3</v>
      </c>
      <c r="R52" s="45">
        <f t="shared" si="16"/>
        <v>120</v>
      </c>
    </row>
    <row r="53" spans="1:18" x14ac:dyDescent="0.25">
      <c r="A53" s="40">
        <v>17</v>
      </c>
      <c r="B53" s="41" t="s">
        <v>169</v>
      </c>
      <c r="C53" s="253">
        <v>700750</v>
      </c>
      <c r="D53" s="253">
        <v>0</v>
      </c>
      <c r="E53" s="47">
        <v>0</v>
      </c>
      <c r="F53" s="253">
        <v>6850</v>
      </c>
      <c r="G53" s="253">
        <v>0</v>
      </c>
      <c r="H53" s="47">
        <v>0</v>
      </c>
      <c r="I53" s="253">
        <v>61100</v>
      </c>
      <c r="J53" s="253">
        <v>0</v>
      </c>
      <c r="K53" s="43">
        <v>0</v>
      </c>
      <c r="L53" s="253">
        <v>0</v>
      </c>
      <c r="M53" s="253">
        <v>0</v>
      </c>
      <c r="N53" s="47">
        <v>0</v>
      </c>
      <c r="O53" s="253">
        <v>13</v>
      </c>
      <c r="P53" s="44">
        <v>70</v>
      </c>
      <c r="Q53" s="259">
        <v>13</v>
      </c>
      <c r="R53" s="45">
        <f t="shared" si="16"/>
        <v>910</v>
      </c>
    </row>
    <row r="54" spans="1:18" s="60" customFormat="1" x14ac:dyDescent="0.25">
      <c r="A54" s="315" t="s">
        <v>50</v>
      </c>
      <c r="B54" s="315"/>
      <c r="C54" s="56">
        <f>SUM(C37:C53)</f>
        <v>3335164</v>
      </c>
      <c r="D54" s="56">
        <f>SUM(D37:D53)</f>
        <v>2316714</v>
      </c>
      <c r="E54" s="57">
        <f t="shared" si="14"/>
        <v>143.96097230819169</v>
      </c>
      <c r="F54" s="56">
        <f>SUM(F37:F53)</f>
        <v>311455</v>
      </c>
      <c r="G54" s="56">
        <f>SUM(G37:G52)</f>
        <v>256889</v>
      </c>
      <c r="H54" s="57">
        <f t="shared" si="17"/>
        <v>121.24108077807925</v>
      </c>
      <c r="I54" s="56">
        <f>SUM(I37:I53)</f>
        <v>2716032</v>
      </c>
      <c r="J54" s="56">
        <f>SUM(J37:J53)</f>
        <v>2386090</v>
      </c>
      <c r="K54" s="57">
        <f t="shared" si="18"/>
        <v>113.8277265316899</v>
      </c>
      <c r="L54" s="56">
        <f>SUM(L37:L53)</f>
        <v>1534047</v>
      </c>
      <c r="M54" s="56">
        <f>SUM(M37:M53)</f>
        <v>1271462</v>
      </c>
      <c r="N54" s="57">
        <f>L54/M54*100</f>
        <v>120.65220981830365</v>
      </c>
      <c r="O54" s="56">
        <f>SUM(O37:O53)</f>
        <v>896</v>
      </c>
      <c r="P54" s="57">
        <f>R54/O54</f>
        <v>93.405133928571431</v>
      </c>
      <c r="Q54" s="56">
        <f>SUM(Q37:Q53)</f>
        <v>912</v>
      </c>
      <c r="R54" s="56">
        <f>SUM(R37:R53)</f>
        <v>83691</v>
      </c>
    </row>
    <row r="55" spans="1:18" ht="6.75" customHeight="1" x14ac:dyDescent="0.25">
      <c r="A55" s="253"/>
      <c r="B55" s="61"/>
      <c r="C55" s="253"/>
      <c r="D55" s="253"/>
      <c r="E55" s="253"/>
      <c r="F55" s="253"/>
      <c r="G55" s="253"/>
      <c r="H55" s="253"/>
      <c r="I55" s="253"/>
      <c r="J55" s="253"/>
      <c r="K55" s="34"/>
      <c r="L55" s="253"/>
      <c r="M55" s="253"/>
      <c r="N55" s="253"/>
      <c r="O55" s="253"/>
      <c r="P55" s="62"/>
      <c r="Q55" s="253"/>
      <c r="R55" s="39"/>
    </row>
    <row r="56" spans="1:18" x14ac:dyDescent="0.25">
      <c r="A56" s="319" t="s">
        <v>51</v>
      </c>
      <c r="B56" s="320"/>
      <c r="C56" s="37">
        <v>3</v>
      </c>
      <c r="D56" s="37">
        <v>4</v>
      </c>
      <c r="E56" s="256">
        <v>5</v>
      </c>
      <c r="F56" s="37">
        <v>6</v>
      </c>
      <c r="G56" s="37">
        <v>7</v>
      </c>
      <c r="H56" s="37">
        <v>8</v>
      </c>
      <c r="I56" s="37">
        <v>9</v>
      </c>
      <c r="J56" s="37">
        <v>10</v>
      </c>
      <c r="K56" s="37">
        <v>11</v>
      </c>
      <c r="L56" s="37">
        <v>12</v>
      </c>
      <c r="M56" s="37">
        <v>13</v>
      </c>
      <c r="N56" s="37">
        <v>14</v>
      </c>
      <c r="O56" s="37">
        <v>15</v>
      </c>
      <c r="P56" s="256">
        <v>16</v>
      </c>
      <c r="Q56" s="37">
        <v>15</v>
      </c>
      <c r="R56" s="39"/>
    </row>
    <row r="57" spans="1:18" s="66" customFormat="1" x14ac:dyDescent="0.25">
      <c r="A57" s="44">
        <v>1</v>
      </c>
      <c r="B57" s="63" t="s">
        <v>52</v>
      </c>
      <c r="C57" s="64">
        <v>455322</v>
      </c>
      <c r="D57" s="65">
        <v>383487</v>
      </c>
      <c r="E57" s="43">
        <f t="shared" ref="E57:E64" si="21">C57/D57*100</f>
        <v>118.73205610620438</v>
      </c>
      <c r="F57" s="65">
        <v>31439</v>
      </c>
      <c r="G57" s="68">
        <v>38872</v>
      </c>
      <c r="H57" s="43">
        <f>F57/G57*100</f>
        <v>80.878267133154964</v>
      </c>
      <c r="I57" s="65">
        <v>430358</v>
      </c>
      <c r="J57" s="65">
        <v>397581</v>
      </c>
      <c r="K57" s="43">
        <f t="shared" ref="K57:K64" si="22">I57/J57*100</f>
        <v>108.2441062324407</v>
      </c>
      <c r="L57" s="65">
        <v>429113</v>
      </c>
      <c r="M57" s="65">
        <v>339178</v>
      </c>
      <c r="N57" s="43">
        <f>L57/M57*100</f>
        <v>126.51557589230433</v>
      </c>
      <c r="O57" s="68">
        <v>155</v>
      </c>
      <c r="P57" s="65">
        <v>86</v>
      </c>
      <c r="Q57" s="68">
        <v>150</v>
      </c>
      <c r="R57" s="45">
        <f>O57*P57</f>
        <v>13330</v>
      </c>
    </row>
    <row r="58" spans="1:18" x14ac:dyDescent="0.25">
      <c r="A58" s="67">
        <v>2</v>
      </c>
      <c r="B58" s="63" t="s">
        <v>53</v>
      </c>
      <c r="C58" s="42">
        <v>127769</v>
      </c>
      <c r="D58" s="42">
        <v>84532</v>
      </c>
      <c r="E58" s="43">
        <f t="shared" si="21"/>
        <v>151.14867742393415</v>
      </c>
      <c r="F58" s="68">
        <v>5868</v>
      </c>
      <c r="G58" s="68">
        <v>11785</v>
      </c>
      <c r="H58" s="43">
        <f t="shared" ref="H58:H64" si="23">F58/G58*100</f>
        <v>49.79210861264319</v>
      </c>
      <c r="I58" s="68">
        <v>137158</v>
      </c>
      <c r="J58" s="68">
        <v>82768</v>
      </c>
      <c r="K58" s="43">
        <f t="shared" si="22"/>
        <v>165.71380243572395</v>
      </c>
      <c r="L58" s="68">
        <v>0</v>
      </c>
      <c r="M58" s="68">
        <v>3908</v>
      </c>
      <c r="N58" s="43">
        <v>0</v>
      </c>
      <c r="O58" s="68">
        <v>129</v>
      </c>
      <c r="P58" s="68">
        <v>105</v>
      </c>
      <c r="Q58" s="68">
        <v>129</v>
      </c>
      <c r="R58" s="45">
        <f t="shared" ref="R58:R65" si="24">O58*P58</f>
        <v>13545</v>
      </c>
    </row>
    <row r="59" spans="1:18" x14ac:dyDescent="0.25">
      <c r="A59" s="67">
        <v>3</v>
      </c>
      <c r="B59" s="63" t="s">
        <v>54</v>
      </c>
      <c r="C59" s="68">
        <v>239967</v>
      </c>
      <c r="D59" s="68">
        <v>352329</v>
      </c>
      <c r="E59" s="43">
        <f t="shared" si="21"/>
        <v>68.108784687039673</v>
      </c>
      <c r="F59" s="68">
        <v>39821</v>
      </c>
      <c r="G59" s="68">
        <v>20891</v>
      </c>
      <c r="H59" s="43">
        <f t="shared" si="23"/>
        <v>190.613182710258</v>
      </c>
      <c r="I59" s="68">
        <v>239967</v>
      </c>
      <c r="J59" s="68">
        <v>352329</v>
      </c>
      <c r="K59" s="43">
        <f t="shared" si="22"/>
        <v>68.108784687039673</v>
      </c>
      <c r="L59" s="68">
        <v>0</v>
      </c>
      <c r="M59" s="68">
        <v>0</v>
      </c>
      <c r="N59" s="43">
        <v>0</v>
      </c>
      <c r="O59" s="68">
        <v>120</v>
      </c>
      <c r="P59" s="68">
        <v>50</v>
      </c>
      <c r="Q59" s="68">
        <v>118</v>
      </c>
      <c r="R59" s="45">
        <f t="shared" si="24"/>
        <v>6000</v>
      </c>
    </row>
    <row r="60" spans="1:18" x14ac:dyDescent="0.25">
      <c r="A60" s="44">
        <v>4</v>
      </c>
      <c r="B60" s="63" t="s">
        <v>55</v>
      </c>
      <c r="C60" s="68">
        <v>242716</v>
      </c>
      <c r="D60" s="68">
        <v>254172</v>
      </c>
      <c r="E60" s="43">
        <f t="shared" si="21"/>
        <v>95.492815888453492</v>
      </c>
      <c r="F60" s="68">
        <v>33161</v>
      </c>
      <c r="G60" s="68">
        <v>13005</v>
      </c>
      <c r="H60" s="43">
        <f t="shared" si="23"/>
        <v>254.98654363706268</v>
      </c>
      <c r="I60" s="48">
        <v>257078</v>
      </c>
      <c r="J60" s="48">
        <v>255084</v>
      </c>
      <c r="K60" s="43">
        <f>I60/J60*100</f>
        <v>100.78170328205611</v>
      </c>
      <c r="L60" s="68">
        <v>118529</v>
      </c>
      <c r="M60" s="68">
        <v>116530</v>
      </c>
      <c r="N60" s="43">
        <f t="shared" ref="N60:N62" si="25">L60/M60*100</f>
        <v>101.71543808461341</v>
      </c>
      <c r="O60" s="68">
        <v>67</v>
      </c>
      <c r="P60" s="68">
        <v>57</v>
      </c>
      <c r="Q60" s="68">
        <v>66</v>
      </c>
      <c r="R60" s="45">
        <f t="shared" si="24"/>
        <v>3819</v>
      </c>
    </row>
    <row r="61" spans="1:18" x14ac:dyDescent="0.25">
      <c r="A61" s="67">
        <v>5</v>
      </c>
      <c r="B61" s="63" t="s">
        <v>56</v>
      </c>
      <c r="C61" s="42">
        <v>0</v>
      </c>
      <c r="D61" s="42">
        <v>0</v>
      </c>
      <c r="E61" s="43">
        <v>0</v>
      </c>
      <c r="F61" s="42">
        <v>0</v>
      </c>
      <c r="G61" s="42">
        <v>0</v>
      </c>
      <c r="H61" s="43">
        <v>0</v>
      </c>
      <c r="I61" s="42">
        <v>0</v>
      </c>
      <c r="J61" s="42">
        <v>0</v>
      </c>
      <c r="K61" s="43">
        <v>0</v>
      </c>
      <c r="L61" s="42">
        <v>0</v>
      </c>
      <c r="M61" s="42">
        <v>0</v>
      </c>
      <c r="N61" s="43">
        <v>0</v>
      </c>
      <c r="O61" s="253">
        <v>0</v>
      </c>
      <c r="P61" s="44">
        <v>0</v>
      </c>
      <c r="Q61" s="253">
        <v>0</v>
      </c>
      <c r="R61" s="45">
        <f t="shared" si="24"/>
        <v>0</v>
      </c>
    </row>
    <row r="62" spans="1:18" x14ac:dyDescent="0.25">
      <c r="A62" s="67">
        <v>6</v>
      </c>
      <c r="B62" s="63" t="s">
        <v>57</v>
      </c>
      <c r="C62" s="68">
        <v>45693</v>
      </c>
      <c r="D62" s="68">
        <v>61038</v>
      </c>
      <c r="E62" s="43">
        <f t="shared" si="21"/>
        <v>74.859923326452375</v>
      </c>
      <c r="F62" s="68">
        <v>5524</v>
      </c>
      <c r="G62" s="68">
        <v>5817</v>
      </c>
      <c r="H62" s="43">
        <f t="shared" si="23"/>
        <v>94.963039367371493</v>
      </c>
      <c r="I62" s="68">
        <v>47493</v>
      </c>
      <c r="J62" s="68">
        <v>63827</v>
      </c>
      <c r="K62" s="43">
        <f t="shared" si="22"/>
        <v>74.408949190781328</v>
      </c>
      <c r="L62" s="68">
        <v>47358</v>
      </c>
      <c r="M62" s="68">
        <v>63827</v>
      </c>
      <c r="N62" s="43">
        <f t="shared" si="25"/>
        <v>74.197439954878035</v>
      </c>
      <c r="O62" s="68">
        <v>33</v>
      </c>
      <c r="P62" s="68">
        <v>43</v>
      </c>
      <c r="Q62" s="68">
        <v>34</v>
      </c>
      <c r="R62" s="45">
        <f t="shared" si="24"/>
        <v>1419</v>
      </c>
    </row>
    <row r="63" spans="1:18" x14ac:dyDescent="0.25">
      <c r="A63" s="44">
        <v>7</v>
      </c>
      <c r="B63" s="63" t="s">
        <v>58</v>
      </c>
      <c r="C63" s="42">
        <v>45713</v>
      </c>
      <c r="D63" s="42">
        <v>84262</v>
      </c>
      <c r="E63" s="43">
        <f t="shared" si="21"/>
        <v>54.251026560015191</v>
      </c>
      <c r="F63" s="42">
        <v>2867</v>
      </c>
      <c r="G63" s="42">
        <v>9002</v>
      </c>
      <c r="H63" s="43">
        <f t="shared" si="23"/>
        <v>31.848478115974228</v>
      </c>
      <c r="I63" s="42">
        <v>59980</v>
      </c>
      <c r="J63" s="42">
        <v>113137</v>
      </c>
      <c r="K63" s="43">
        <f t="shared" si="22"/>
        <v>53.015370745202716</v>
      </c>
      <c r="L63" s="69">
        <v>59826</v>
      </c>
      <c r="M63" s="42">
        <v>113101</v>
      </c>
      <c r="N63" s="43">
        <f>L63/M63*100</f>
        <v>52.896084031087256</v>
      </c>
      <c r="O63" s="68">
        <v>40</v>
      </c>
      <c r="P63" s="68">
        <v>50</v>
      </c>
      <c r="Q63" s="68">
        <v>40</v>
      </c>
      <c r="R63" s="45">
        <f t="shared" si="24"/>
        <v>2000</v>
      </c>
    </row>
    <row r="64" spans="1:18" s="66" customFormat="1" x14ac:dyDescent="0.25">
      <c r="A64" s="67">
        <v>8</v>
      </c>
      <c r="B64" s="63" t="s">
        <v>59</v>
      </c>
      <c r="C64" s="199">
        <v>283400</v>
      </c>
      <c r="D64" s="42">
        <v>386900</v>
      </c>
      <c r="E64" s="43">
        <f t="shared" si="21"/>
        <v>73.248901524941843</v>
      </c>
      <c r="F64" s="42">
        <v>28000</v>
      </c>
      <c r="G64" s="198">
        <v>62900</v>
      </c>
      <c r="H64" s="43">
        <f t="shared" si="23"/>
        <v>44.515103338632748</v>
      </c>
      <c r="I64" s="42">
        <v>392724</v>
      </c>
      <c r="J64" s="198">
        <v>403327</v>
      </c>
      <c r="K64" s="43">
        <f t="shared" si="22"/>
        <v>97.371115744792689</v>
      </c>
      <c r="L64" s="42">
        <v>392724</v>
      </c>
      <c r="M64" s="198">
        <v>403327</v>
      </c>
      <c r="N64" s="43">
        <f t="shared" ref="N64" si="26">L64/M64*100</f>
        <v>97.371115744792689</v>
      </c>
      <c r="O64" s="68">
        <v>40</v>
      </c>
      <c r="P64" s="65">
        <v>85</v>
      </c>
      <c r="Q64" s="68">
        <v>40</v>
      </c>
      <c r="R64" s="45">
        <f t="shared" si="24"/>
        <v>3400</v>
      </c>
    </row>
    <row r="65" spans="1:18" s="66" customFormat="1" x14ac:dyDescent="0.25">
      <c r="A65" s="67">
        <v>9</v>
      </c>
      <c r="B65" s="63" t="s">
        <v>60</v>
      </c>
      <c r="C65" s="42">
        <v>0</v>
      </c>
      <c r="D65" s="42">
        <v>0</v>
      </c>
      <c r="E65" s="43">
        <v>0</v>
      </c>
      <c r="F65" s="42">
        <v>0</v>
      </c>
      <c r="G65" s="42">
        <v>0</v>
      </c>
      <c r="H65" s="43">
        <v>0</v>
      </c>
      <c r="I65" s="42">
        <v>0</v>
      </c>
      <c r="J65" s="42">
        <v>0</v>
      </c>
      <c r="K65" s="43">
        <v>0</v>
      </c>
      <c r="L65" s="42">
        <v>0</v>
      </c>
      <c r="M65" s="42">
        <v>0</v>
      </c>
      <c r="N65" s="43">
        <v>0</v>
      </c>
      <c r="O65" s="253">
        <v>0</v>
      </c>
      <c r="P65" s="44">
        <v>0</v>
      </c>
      <c r="Q65" s="253">
        <v>0</v>
      </c>
      <c r="R65" s="45">
        <f t="shared" si="24"/>
        <v>0</v>
      </c>
    </row>
    <row r="66" spans="1:18" s="60" customFormat="1" x14ac:dyDescent="0.25">
      <c r="A66" s="334" t="s">
        <v>61</v>
      </c>
      <c r="B66" s="334"/>
      <c r="C66" s="70">
        <f>SUM(C57:C65)</f>
        <v>1440580</v>
      </c>
      <c r="D66" s="70">
        <f>SUM(D57:D65)</f>
        <v>1606720</v>
      </c>
      <c r="E66" s="71">
        <f>C66/D66*100</f>
        <v>89.659679346743687</v>
      </c>
      <c r="F66" s="70">
        <f>SUM(F57:F65)</f>
        <v>146680</v>
      </c>
      <c r="G66" s="70">
        <f>SUM(G57:G65)</f>
        <v>162272</v>
      </c>
      <c r="H66" s="71">
        <f>F66/G66*100</f>
        <v>90.391441530270171</v>
      </c>
      <c r="I66" s="72">
        <f>SUM(I57:I65)</f>
        <v>1564758</v>
      </c>
      <c r="J66" s="70">
        <f>SUM(J57:J65)</f>
        <v>1668053</v>
      </c>
      <c r="K66" s="71">
        <f>I66/J66*100</f>
        <v>93.807450962289565</v>
      </c>
      <c r="L66" s="70">
        <f>SUM(L57:L65)</f>
        <v>1047550</v>
      </c>
      <c r="M66" s="70">
        <f>SUM(M57:M65)</f>
        <v>1039871</v>
      </c>
      <c r="N66" s="71">
        <f>L66/M66*100</f>
        <v>100.73845698168331</v>
      </c>
      <c r="O66" s="72">
        <f>SUM(O57:O65)</f>
        <v>584</v>
      </c>
      <c r="P66" s="71">
        <f>R66/O66</f>
        <v>74.50856164383562</v>
      </c>
      <c r="Q66" s="72">
        <f>SUM(Q57:Q65)</f>
        <v>577</v>
      </c>
      <c r="R66" s="59">
        <f>SUM(R57:R65)</f>
        <v>43513</v>
      </c>
    </row>
    <row r="67" spans="1:18" x14ac:dyDescent="0.25">
      <c r="A67" s="39"/>
      <c r="B67" s="73"/>
      <c r="C67" s="39"/>
      <c r="D67" s="39"/>
      <c r="E67" s="39"/>
      <c r="F67" s="39"/>
      <c r="G67" s="39"/>
      <c r="H67" s="39"/>
      <c r="I67" s="39"/>
      <c r="J67" s="39"/>
      <c r="K67" s="74"/>
      <c r="L67" s="39"/>
      <c r="M67" s="39"/>
      <c r="N67" s="39"/>
      <c r="O67" s="39"/>
      <c r="P67" s="75"/>
      <c r="Q67" s="39"/>
      <c r="R67" s="39"/>
    </row>
    <row r="68" spans="1:18" x14ac:dyDescent="0.25">
      <c r="A68" s="319" t="s">
        <v>62</v>
      </c>
      <c r="B68" s="320"/>
      <c r="C68" s="37">
        <v>3</v>
      </c>
      <c r="D68" s="37">
        <v>4</v>
      </c>
      <c r="E68" s="256">
        <v>5</v>
      </c>
      <c r="F68" s="37">
        <v>6</v>
      </c>
      <c r="G68" s="37">
        <v>7</v>
      </c>
      <c r="H68" s="37">
        <v>8</v>
      </c>
      <c r="I68" s="37">
        <v>9</v>
      </c>
      <c r="J68" s="37">
        <v>10</v>
      </c>
      <c r="K68" s="37">
        <v>11</v>
      </c>
      <c r="L68" s="37">
        <v>12</v>
      </c>
      <c r="M68" s="37">
        <v>13</v>
      </c>
      <c r="N68" s="37">
        <v>14</v>
      </c>
      <c r="O68" s="37">
        <v>15</v>
      </c>
      <c r="P68" s="256">
        <v>16</v>
      </c>
      <c r="Q68" s="37">
        <v>15</v>
      </c>
      <c r="R68" s="39"/>
    </row>
    <row r="69" spans="1:18" x14ac:dyDescent="0.25">
      <c r="A69" s="40">
        <v>1</v>
      </c>
      <c r="B69" s="41" t="s">
        <v>63</v>
      </c>
      <c r="C69" s="253">
        <v>56243</v>
      </c>
      <c r="D69" s="253">
        <v>21143</v>
      </c>
      <c r="E69" s="47">
        <f t="shared" ref="E69:E76" si="27">C69/D69*100</f>
        <v>266.0123918081635</v>
      </c>
      <c r="F69" s="253">
        <v>407</v>
      </c>
      <c r="G69" s="253">
        <v>19185</v>
      </c>
      <c r="H69" s="47">
        <f t="shared" ref="H69:H75" si="28">F69/G69*100</f>
        <v>2.1214490487359914</v>
      </c>
      <c r="I69" s="253">
        <v>141694</v>
      </c>
      <c r="J69" s="253">
        <v>137714</v>
      </c>
      <c r="K69" s="47">
        <f>I69/J69*100</f>
        <v>102.89004748972508</v>
      </c>
      <c r="L69" s="253">
        <v>53172</v>
      </c>
      <c r="M69" s="253">
        <v>32820</v>
      </c>
      <c r="N69" s="47">
        <f t="shared" ref="N69:N70" si="29">L69/M69*100</f>
        <v>162.01096892138941</v>
      </c>
      <c r="O69" s="253">
        <v>166</v>
      </c>
      <c r="P69" s="62">
        <v>55</v>
      </c>
      <c r="Q69" s="253">
        <v>173</v>
      </c>
      <c r="R69" s="45">
        <f t="shared" ref="R69:R76" si="30">O69*P69</f>
        <v>9130</v>
      </c>
    </row>
    <row r="70" spans="1:18" x14ac:dyDescent="0.25">
      <c r="A70" s="40">
        <v>2</v>
      </c>
      <c r="B70" s="41" t="s">
        <v>40</v>
      </c>
      <c r="C70" s="51">
        <v>489675</v>
      </c>
      <c r="D70" s="51">
        <v>331656</v>
      </c>
      <c r="E70" s="47">
        <f t="shared" si="27"/>
        <v>147.64545191403141</v>
      </c>
      <c r="F70" s="51">
        <v>79888</v>
      </c>
      <c r="G70" s="51">
        <v>61507</v>
      </c>
      <c r="H70" s="47">
        <f t="shared" si="28"/>
        <v>129.88440340123887</v>
      </c>
      <c r="I70" s="51">
        <v>451002</v>
      </c>
      <c r="J70" s="51">
        <v>302151</v>
      </c>
      <c r="K70" s="47">
        <f t="shared" ref="K70:K76" si="31">I70/J70*100</f>
        <v>149.26377870667315</v>
      </c>
      <c r="L70" s="51">
        <v>451002</v>
      </c>
      <c r="M70" s="51">
        <f>804+301347</f>
        <v>302151</v>
      </c>
      <c r="N70" s="47">
        <f t="shared" si="29"/>
        <v>149.26377870667315</v>
      </c>
      <c r="O70" s="253">
        <v>24</v>
      </c>
      <c r="P70" s="44">
        <v>65</v>
      </c>
      <c r="Q70" s="253">
        <v>24</v>
      </c>
      <c r="R70" s="45">
        <f t="shared" si="30"/>
        <v>1560</v>
      </c>
    </row>
    <row r="71" spans="1:18" x14ac:dyDescent="0.25">
      <c r="A71" s="40">
        <v>3</v>
      </c>
      <c r="B71" s="41" t="s">
        <v>64</v>
      </c>
      <c r="C71" s="253">
        <v>32582</v>
      </c>
      <c r="D71" s="253">
        <v>11692</v>
      </c>
      <c r="E71" s="47">
        <f t="shared" si="27"/>
        <v>278.66917550461852</v>
      </c>
      <c r="F71" s="253">
        <v>1501</v>
      </c>
      <c r="G71" s="253">
        <v>1939</v>
      </c>
      <c r="H71" s="47">
        <f t="shared" si="28"/>
        <v>77.411036616812794</v>
      </c>
      <c r="I71" s="253">
        <v>32440</v>
      </c>
      <c r="J71" s="253">
        <v>12624</v>
      </c>
      <c r="K71" s="47">
        <f t="shared" si="31"/>
        <v>256.97084917617235</v>
      </c>
      <c r="L71" s="253">
        <v>4160</v>
      </c>
      <c r="M71" s="253">
        <v>0</v>
      </c>
      <c r="N71" s="47">
        <v>0</v>
      </c>
      <c r="O71" s="253">
        <v>41</v>
      </c>
      <c r="P71" s="62">
        <v>49</v>
      </c>
      <c r="Q71" s="253">
        <v>39</v>
      </c>
      <c r="R71" s="45">
        <f t="shared" si="30"/>
        <v>2009</v>
      </c>
    </row>
    <row r="72" spans="1:18" x14ac:dyDescent="0.25">
      <c r="A72" s="40">
        <v>4</v>
      </c>
      <c r="B72" s="41" t="s">
        <v>65</v>
      </c>
      <c r="C72" s="253">
        <v>32730</v>
      </c>
      <c r="D72" s="253">
        <v>20163</v>
      </c>
      <c r="E72" s="47">
        <f t="shared" si="27"/>
        <v>162.3270346674602</v>
      </c>
      <c r="F72" s="253">
        <v>2515</v>
      </c>
      <c r="G72" s="253">
        <v>1749</v>
      </c>
      <c r="H72" s="47">
        <f t="shared" si="28"/>
        <v>143.79645511720983</v>
      </c>
      <c r="I72" s="253">
        <v>42118</v>
      </c>
      <c r="J72" s="253">
        <v>18026</v>
      </c>
      <c r="K72" s="47">
        <f t="shared" si="31"/>
        <v>233.65139243315213</v>
      </c>
      <c r="L72" s="253">
        <v>23341</v>
      </c>
      <c r="M72" s="253">
        <v>0</v>
      </c>
      <c r="N72" s="47">
        <v>0</v>
      </c>
      <c r="O72" s="253">
        <v>72</v>
      </c>
      <c r="P72" s="76">
        <v>50</v>
      </c>
      <c r="Q72" s="253">
        <v>73</v>
      </c>
      <c r="R72" s="45">
        <f t="shared" si="30"/>
        <v>3600</v>
      </c>
    </row>
    <row r="73" spans="1:18" x14ac:dyDescent="0.25">
      <c r="A73" s="40">
        <v>5</v>
      </c>
      <c r="B73" s="41" t="s">
        <v>66</v>
      </c>
      <c r="C73" s="253">
        <v>111086</v>
      </c>
      <c r="D73" s="253">
        <v>81449</v>
      </c>
      <c r="E73" s="47">
        <f t="shared" si="27"/>
        <v>136.38718707412002</v>
      </c>
      <c r="F73" s="253">
        <v>55314</v>
      </c>
      <c r="G73" s="253">
        <v>445</v>
      </c>
      <c r="H73" s="34">
        <f t="shared" si="28"/>
        <v>12430.112359550561</v>
      </c>
      <c r="I73" s="253">
        <v>111868</v>
      </c>
      <c r="J73" s="253">
        <v>85703</v>
      </c>
      <c r="K73" s="47">
        <f t="shared" si="31"/>
        <v>130.52985309732449</v>
      </c>
      <c r="L73" s="253">
        <f>90749+2033</f>
        <v>92782</v>
      </c>
      <c r="M73" s="253">
        <f>50807+370</f>
        <v>51177</v>
      </c>
      <c r="N73" s="47">
        <f t="shared" ref="N73:N75" si="32">L73/M73*100</f>
        <v>181.29628544072534</v>
      </c>
      <c r="O73" s="253">
        <v>61</v>
      </c>
      <c r="P73" s="62">
        <v>60</v>
      </c>
      <c r="Q73" s="253">
        <v>62</v>
      </c>
      <c r="R73" s="45">
        <f t="shared" si="30"/>
        <v>3660</v>
      </c>
    </row>
    <row r="74" spans="1:18" x14ac:dyDescent="0.25">
      <c r="A74" s="40">
        <v>6</v>
      </c>
      <c r="B74" s="41" t="s">
        <v>67</v>
      </c>
      <c r="C74" s="253">
        <v>2696</v>
      </c>
      <c r="D74" s="253">
        <v>6660</v>
      </c>
      <c r="E74" s="47">
        <f t="shared" si="27"/>
        <v>40.48048048048048</v>
      </c>
      <c r="F74" s="253">
        <v>0</v>
      </c>
      <c r="G74" s="253">
        <v>516</v>
      </c>
      <c r="H74" s="47">
        <f t="shared" si="28"/>
        <v>0</v>
      </c>
      <c r="I74" s="253">
        <v>2884</v>
      </c>
      <c r="J74" s="253">
        <v>6263</v>
      </c>
      <c r="K74" s="47">
        <f t="shared" si="31"/>
        <v>46.048219703017722</v>
      </c>
      <c r="L74" s="253">
        <v>48</v>
      </c>
      <c r="M74" s="253">
        <v>146</v>
      </c>
      <c r="N74" s="47">
        <f t="shared" si="32"/>
        <v>32.87671232876712</v>
      </c>
      <c r="O74" s="253">
        <v>11</v>
      </c>
      <c r="P74" s="62">
        <v>60</v>
      </c>
      <c r="Q74" s="253">
        <v>10</v>
      </c>
      <c r="R74" s="45">
        <f t="shared" si="30"/>
        <v>660</v>
      </c>
    </row>
    <row r="75" spans="1:18" x14ac:dyDescent="0.25">
      <c r="A75" s="40">
        <v>7</v>
      </c>
      <c r="B75" s="41" t="s">
        <v>168</v>
      </c>
      <c r="C75" s="253">
        <v>851078</v>
      </c>
      <c r="D75" s="253">
        <v>759893</v>
      </c>
      <c r="E75" s="47">
        <f t="shared" si="27"/>
        <v>111.9997157494542</v>
      </c>
      <c r="F75" s="253">
        <v>147056</v>
      </c>
      <c r="G75" s="253">
        <v>187226</v>
      </c>
      <c r="H75" s="47">
        <f t="shared" si="28"/>
        <v>78.544646576864324</v>
      </c>
      <c r="I75" s="253">
        <v>811663</v>
      </c>
      <c r="J75" s="253">
        <v>735169</v>
      </c>
      <c r="K75" s="47">
        <f t="shared" si="31"/>
        <v>110.40495450705892</v>
      </c>
      <c r="L75" s="253">
        <v>200799</v>
      </c>
      <c r="M75" s="253">
        <v>139698</v>
      </c>
      <c r="N75" s="47">
        <f t="shared" si="32"/>
        <v>143.7379203710862</v>
      </c>
      <c r="O75" s="253">
        <v>140</v>
      </c>
      <c r="P75" s="44">
        <v>200</v>
      </c>
      <c r="Q75" s="253">
        <v>140</v>
      </c>
      <c r="R75" s="45">
        <f t="shared" si="30"/>
        <v>28000</v>
      </c>
    </row>
    <row r="76" spans="1:18" x14ac:dyDescent="0.25">
      <c r="A76" s="40">
        <v>8</v>
      </c>
      <c r="B76" s="41" t="s">
        <v>68</v>
      </c>
      <c r="C76" s="253">
        <v>3929</v>
      </c>
      <c r="D76" s="253">
        <v>3258</v>
      </c>
      <c r="E76" s="47">
        <f t="shared" si="27"/>
        <v>120.59545733578882</v>
      </c>
      <c r="F76" s="253">
        <v>1137</v>
      </c>
      <c r="G76" s="253">
        <v>0</v>
      </c>
      <c r="H76" s="47">
        <v>0</v>
      </c>
      <c r="I76" s="253">
        <v>10009</v>
      </c>
      <c r="J76" s="253">
        <v>3583</v>
      </c>
      <c r="K76" s="47">
        <f t="shared" si="31"/>
        <v>279.3469159921853</v>
      </c>
      <c r="L76" s="253">
        <v>0</v>
      </c>
      <c r="M76" s="253">
        <v>0</v>
      </c>
      <c r="N76" s="47">
        <v>0</v>
      </c>
      <c r="O76" s="253">
        <v>16</v>
      </c>
      <c r="P76" s="62">
        <v>40</v>
      </c>
      <c r="Q76" s="253">
        <v>16</v>
      </c>
      <c r="R76" s="45">
        <f t="shared" si="30"/>
        <v>640</v>
      </c>
    </row>
    <row r="77" spans="1:18" s="60" customFormat="1" x14ac:dyDescent="0.25">
      <c r="A77" s="315" t="s">
        <v>211</v>
      </c>
      <c r="B77" s="315" t="s">
        <v>69</v>
      </c>
      <c r="C77" s="56">
        <f>SUM(C69:C76)</f>
        <v>1580019</v>
      </c>
      <c r="D77" s="56">
        <f>SUM(D69:D76)</f>
        <v>1235914</v>
      </c>
      <c r="E77" s="57">
        <f>C77/D77*100</f>
        <v>127.84214759279367</v>
      </c>
      <c r="F77" s="56">
        <f>SUM(F69:F76)</f>
        <v>287818</v>
      </c>
      <c r="G77" s="56">
        <f>SUM(G69:G76)</f>
        <v>272567</v>
      </c>
      <c r="H77" s="57">
        <f>F77/G77*100</f>
        <v>105.59532151727834</v>
      </c>
      <c r="I77" s="56">
        <f>SUM(I69:I76)</f>
        <v>1603678</v>
      </c>
      <c r="J77" s="56">
        <f>SUM(J69:J76)</f>
        <v>1301233</v>
      </c>
      <c r="K77" s="57">
        <f>I77/J77*100</f>
        <v>123.24295495118859</v>
      </c>
      <c r="L77" s="56">
        <f>SUM(L69:L76)</f>
        <v>825304</v>
      </c>
      <c r="M77" s="56">
        <f>SUM(M69:M76)</f>
        <v>525992</v>
      </c>
      <c r="N77" s="58">
        <f>L77/M77*100</f>
        <v>156.90428751768087</v>
      </c>
      <c r="O77" s="56">
        <f>SUM(O69:O76)</f>
        <v>531</v>
      </c>
      <c r="P77" s="57">
        <f>R77/O77</f>
        <v>92.766478342749522</v>
      </c>
      <c r="Q77" s="56">
        <f>SUM(Q69:Q76)</f>
        <v>537</v>
      </c>
      <c r="R77" s="59">
        <f>SUM(R69:R76)</f>
        <v>49259</v>
      </c>
    </row>
    <row r="78" spans="1:18" s="211" customFormat="1" x14ac:dyDescent="0.25">
      <c r="A78" s="352" t="s">
        <v>70</v>
      </c>
      <c r="B78" s="352" t="s">
        <v>70</v>
      </c>
      <c r="C78" s="212">
        <f>C54+C66+C77</f>
        <v>6355763</v>
      </c>
      <c r="D78" s="212">
        <f>D54+D66+D77</f>
        <v>5159348</v>
      </c>
      <c r="E78" s="210">
        <f>C78/D78*100</f>
        <v>123.18926732602647</v>
      </c>
      <c r="F78" s="212">
        <f>F54+F66+F77</f>
        <v>745953</v>
      </c>
      <c r="G78" s="212">
        <f>G54+G66+G77</f>
        <v>691728</v>
      </c>
      <c r="H78" s="210">
        <f>F78/G78*100</f>
        <v>107.83906390951357</v>
      </c>
      <c r="I78" s="212">
        <f>I54+I66+I77</f>
        <v>5884468</v>
      </c>
      <c r="J78" s="212">
        <f>J54+J66+J77</f>
        <v>5355376</v>
      </c>
      <c r="K78" s="210">
        <f>I78/J78*100</f>
        <v>109.87964243780455</v>
      </c>
      <c r="L78" s="212">
        <f>L54+L66+L77</f>
        <v>3406901</v>
      </c>
      <c r="M78" s="212">
        <f>M54+M66+M77</f>
        <v>2837325</v>
      </c>
      <c r="N78" s="210">
        <f>L78/M78*100</f>
        <v>120.07440106438283</v>
      </c>
      <c r="O78" s="212">
        <f>O54+O66+O77</f>
        <v>2011</v>
      </c>
      <c r="P78" s="210">
        <f>R78/O78</f>
        <v>87.748881153654892</v>
      </c>
      <c r="Q78" s="212">
        <f>Q54+Q66+Q77</f>
        <v>2026</v>
      </c>
      <c r="R78" s="213">
        <f>R54+R66+R77</f>
        <v>176463</v>
      </c>
    </row>
    <row r="79" spans="1:18" x14ac:dyDescent="0.25">
      <c r="A79" s="253"/>
      <c r="B79" s="61"/>
      <c r="C79" s="253"/>
      <c r="D79" s="253"/>
      <c r="E79" s="253"/>
      <c r="F79" s="253"/>
      <c r="G79" s="253"/>
      <c r="H79" s="253"/>
      <c r="I79" s="253"/>
      <c r="J79" s="253"/>
      <c r="K79" s="34"/>
      <c r="L79" s="253"/>
      <c r="M79" s="253"/>
      <c r="N79" s="253"/>
      <c r="O79" s="253"/>
      <c r="P79" s="62"/>
      <c r="Q79" s="253"/>
      <c r="R79" s="39"/>
    </row>
    <row r="80" spans="1:18" x14ac:dyDescent="0.25">
      <c r="A80" s="316" t="s">
        <v>18</v>
      </c>
      <c r="B80" s="317"/>
      <c r="C80" s="37">
        <v>3</v>
      </c>
      <c r="D80" s="37">
        <v>4</v>
      </c>
      <c r="E80" s="256">
        <v>5</v>
      </c>
      <c r="F80" s="37">
        <v>6</v>
      </c>
      <c r="G80" s="37">
        <v>7</v>
      </c>
      <c r="H80" s="37">
        <v>8</v>
      </c>
      <c r="I80" s="37">
        <v>9</v>
      </c>
      <c r="J80" s="37">
        <v>10</v>
      </c>
      <c r="K80" s="37">
        <v>11</v>
      </c>
      <c r="L80" s="37">
        <v>12</v>
      </c>
      <c r="M80" s="37">
        <v>13</v>
      </c>
      <c r="N80" s="37">
        <v>14</v>
      </c>
      <c r="O80" s="37">
        <v>15</v>
      </c>
      <c r="P80" s="256">
        <v>16</v>
      </c>
      <c r="Q80" s="37">
        <v>15</v>
      </c>
      <c r="R80" s="39"/>
    </row>
    <row r="81" spans="1:18" x14ac:dyDescent="0.25">
      <c r="A81" s="77">
        <v>1</v>
      </c>
      <c r="B81" s="78" t="s">
        <v>71</v>
      </c>
      <c r="C81" s="51">
        <v>11708</v>
      </c>
      <c r="D81" s="51">
        <v>44584</v>
      </c>
      <c r="E81" s="47">
        <f>C81/D81*100</f>
        <v>26.260541898438898</v>
      </c>
      <c r="F81" s="51">
        <v>264</v>
      </c>
      <c r="G81" s="51">
        <v>107</v>
      </c>
      <c r="H81" s="47">
        <f>F81/G81*100</f>
        <v>246.72897196261681</v>
      </c>
      <c r="I81" s="51">
        <v>9135</v>
      </c>
      <c r="J81" s="51">
        <v>50485</v>
      </c>
      <c r="K81" s="47">
        <f>I81/J81*100</f>
        <v>18.094483509953452</v>
      </c>
      <c r="L81" s="253">
        <v>0</v>
      </c>
      <c r="M81" s="51">
        <v>5674</v>
      </c>
      <c r="N81" s="47">
        <v>0</v>
      </c>
      <c r="O81" s="253">
        <v>2643</v>
      </c>
      <c r="P81" s="51">
        <v>113</v>
      </c>
      <c r="Q81" s="253">
        <v>2645</v>
      </c>
      <c r="R81" s="45">
        <f t="shared" ref="R81:R91" si="33">O81*P81</f>
        <v>298659</v>
      </c>
    </row>
    <row r="82" spans="1:18" s="80" customFormat="1" x14ac:dyDescent="0.25">
      <c r="A82" s="79">
        <v>2</v>
      </c>
      <c r="B82" s="78" t="s">
        <v>72</v>
      </c>
      <c r="C82" s="51">
        <v>527740</v>
      </c>
      <c r="D82" s="51">
        <v>574973</v>
      </c>
      <c r="E82" s="47">
        <f>C82/D82*100</f>
        <v>91.785179477992884</v>
      </c>
      <c r="F82" s="51">
        <v>62057</v>
      </c>
      <c r="G82" s="51">
        <v>58079</v>
      </c>
      <c r="H82" s="47">
        <f t="shared" ref="H82:H91" si="34">F82/G82*100</f>
        <v>106.84929148229136</v>
      </c>
      <c r="I82" s="51">
        <v>568356</v>
      </c>
      <c r="J82" s="51">
        <v>567991</v>
      </c>
      <c r="K82" s="47">
        <f>I82/J82*100</f>
        <v>100.06426158160957</v>
      </c>
      <c r="L82" s="51">
        <v>560210</v>
      </c>
      <c r="M82" s="51">
        <v>560464</v>
      </c>
      <c r="N82" s="47">
        <f t="shared" ref="N82:N91" si="35">L82/M82*100</f>
        <v>99.954680407662224</v>
      </c>
      <c r="O82" s="253">
        <v>726</v>
      </c>
      <c r="P82" s="51">
        <v>90</v>
      </c>
      <c r="Q82" s="253">
        <v>639</v>
      </c>
      <c r="R82" s="45">
        <f t="shared" si="33"/>
        <v>65340</v>
      </c>
    </row>
    <row r="83" spans="1:18" x14ac:dyDescent="0.25">
      <c r="A83" s="77">
        <v>3</v>
      </c>
      <c r="B83" s="78" t="s">
        <v>73</v>
      </c>
      <c r="C83" s="51">
        <v>921685</v>
      </c>
      <c r="D83" s="51">
        <v>711344</v>
      </c>
      <c r="E83" s="47">
        <f>C83/D83*100</f>
        <v>129.56951910749231</v>
      </c>
      <c r="F83" s="51">
        <v>171488</v>
      </c>
      <c r="G83" s="51">
        <v>138056</v>
      </c>
      <c r="H83" s="47">
        <f t="shared" si="34"/>
        <v>124.21626006837805</v>
      </c>
      <c r="I83" s="51">
        <v>1830310</v>
      </c>
      <c r="J83" s="51">
        <v>1235991</v>
      </c>
      <c r="K83" s="47">
        <f>I83/J83*100</f>
        <v>148.08441161788394</v>
      </c>
      <c r="L83" s="51">
        <v>403229</v>
      </c>
      <c r="M83" s="51">
        <v>236895</v>
      </c>
      <c r="N83" s="47">
        <f t="shared" si="35"/>
        <v>170.21422993309272</v>
      </c>
      <c r="O83" s="253">
        <v>21</v>
      </c>
      <c r="P83" s="51">
        <v>306</v>
      </c>
      <c r="Q83" s="253">
        <v>21</v>
      </c>
      <c r="R83" s="45">
        <f t="shared" si="33"/>
        <v>6426</v>
      </c>
    </row>
    <row r="84" spans="1:18" x14ac:dyDescent="0.25">
      <c r="A84" s="79">
        <v>4</v>
      </c>
      <c r="B84" s="78" t="s">
        <v>74</v>
      </c>
      <c r="C84" s="51">
        <v>749730</v>
      </c>
      <c r="D84" s="51">
        <v>655189</v>
      </c>
      <c r="E84" s="47">
        <f t="shared" ref="E84:E91" si="36">C84/D84*100</f>
        <v>114.42957680913446</v>
      </c>
      <c r="F84" s="51">
        <v>96558</v>
      </c>
      <c r="G84" s="51">
        <v>69333</v>
      </c>
      <c r="H84" s="47">
        <f t="shared" si="34"/>
        <v>139.26701570680629</v>
      </c>
      <c r="I84" s="51">
        <v>733205</v>
      </c>
      <c r="J84" s="51">
        <v>661583</v>
      </c>
      <c r="K84" s="47">
        <f t="shared" ref="K84:K91" si="37">I84/J84*100</f>
        <v>110.82585253853259</v>
      </c>
      <c r="L84" s="253">
        <v>519825</v>
      </c>
      <c r="M84" s="51">
        <v>383520</v>
      </c>
      <c r="N84" s="47">
        <f t="shared" si="35"/>
        <v>135.54051939924906</v>
      </c>
      <c r="O84" s="253">
        <v>196</v>
      </c>
      <c r="P84" s="51">
        <v>40</v>
      </c>
      <c r="Q84" s="253">
        <v>196</v>
      </c>
      <c r="R84" s="45">
        <f t="shared" si="33"/>
        <v>7840</v>
      </c>
    </row>
    <row r="85" spans="1:18" x14ac:dyDescent="0.25">
      <c r="A85" s="77">
        <v>5</v>
      </c>
      <c r="B85" s="78" t="s">
        <v>75</v>
      </c>
      <c r="C85" s="62">
        <v>290521</v>
      </c>
      <c r="D85" s="62">
        <v>255610</v>
      </c>
      <c r="E85" s="47">
        <f t="shared" si="36"/>
        <v>113.65791635695004</v>
      </c>
      <c r="F85" s="62">
        <v>31752</v>
      </c>
      <c r="G85" s="62">
        <v>29568</v>
      </c>
      <c r="H85" s="47">
        <f t="shared" si="34"/>
        <v>107.38636363636364</v>
      </c>
      <c r="I85" s="62">
        <v>293150</v>
      </c>
      <c r="J85" s="62">
        <v>241041</v>
      </c>
      <c r="K85" s="47">
        <f t="shared" si="37"/>
        <v>121.61831389680593</v>
      </c>
      <c r="L85" s="253">
        <v>125744</v>
      </c>
      <c r="M85" s="62">
        <v>0</v>
      </c>
      <c r="N85" s="47">
        <v>0</v>
      </c>
      <c r="O85" s="253">
        <v>98</v>
      </c>
      <c r="P85" s="62">
        <v>46</v>
      </c>
      <c r="Q85" s="253">
        <v>90</v>
      </c>
      <c r="R85" s="45">
        <f t="shared" si="33"/>
        <v>4508</v>
      </c>
    </row>
    <row r="86" spans="1:18" x14ac:dyDescent="0.25">
      <c r="A86" s="79">
        <v>6</v>
      </c>
      <c r="B86" s="78" t="s">
        <v>76</v>
      </c>
      <c r="C86" s="253">
        <v>0</v>
      </c>
      <c r="D86" s="253">
        <v>0</v>
      </c>
      <c r="E86" s="47">
        <v>0</v>
      </c>
      <c r="F86" s="253">
        <v>0</v>
      </c>
      <c r="G86" s="253">
        <v>0</v>
      </c>
      <c r="H86" s="43">
        <v>0</v>
      </c>
      <c r="I86" s="253">
        <v>0</v>
      </c>
      <c r="J86" s="253">
        <v>0</v>
      </c>
      <c r="K86" s="43">
        <v>0</v>
      </c>
      <c r="L86" s="253">
        <v>0</v>
      </c>
      <c r="M86" s="253">
        <v>0</v>
      </c>
      <c r="N86" s="47">
        <v>0</v>
      </c>
      <c r="O86" s="253">
        <v>0</v>
      </c>
      <c r="P86" s="44">
        <v>0</v>
      </c>
      <c r="Q86" s="253">
        <v>0</v>
      </c>
      <c r="R86" s="45">
        <f t="shared" si="33"/>
        <v>0</v>
      </c>
    </row>
    <row r="87" spans="1:18" x14ac:dyDescent="0.25">
      <c r="A87" s="77">
        <v>7</v>
      </c>
      <c r="B87" s="78" t="s">
        <v>77</v>
      </c>
      <c r="C87" s="51">
        <v>406</v>
      </c>
      <c r="D87" s="62">
        <v>839</v>
      </c>
      <c r="E87" s="47">
        <f t="shared" si="36"/>
        <v>48.390941597139452</v>
      </c>
      <c r="F87" s="51">
        <v>0</v>
      </c>
      <c r="G87" s="62">
        <v>429</v>
      </c>
      <c r="H87" s="47">
        <f t="shared" ref="H87:H88" si="38">F87/G87*100</f>
        <v>0</v>
      </c>
      <c r="I87" s="51">
        <v>406</v>
      </c>
      <c r="J87" s="62">
        <v>839</v>
      </c>
      <c r="K87" s="47">
        <f t="shared" ref="K87:K88" si="39">I87/J87*100</f>
        <v>48.390941597139452</v>
      </c>
      <c r="L87" s="253">
        <v>0</v>
      </c>
      <c r="M87" s="62">
        <v>0</v>
      </c>
      <c r="N87" s="47">
        <v>0</v>
      </c>
      <c r="O87" s="253">
        <v>10</v>
      </c>
      <c r="P87" s="51">
        <v>73</v>
      </c>
      <c r="Q87" s="253">
        <v>10</v>
      </c>
      <c r="R87" s="45">
        <f t="shared" si="33"/>
        <v>730</v>
      </c>
    </row>
    <row r="88" spans="1:18" x14ac:dyDescent="0.25">
      <c r="A88" s="79">
        <v>8</v>
      </c>
      <c r="B88" s="81" t="s">
        <v>78</v>
      </c>
      <c r="C88" s="62">
        <v>837266</v>
      </c>
      <c r="D88" s="62">
        <v>923205</v>
      </c>
      <c r="E88" s="47">
        <f t="shared" si="36"/>
        <v>90.691233258052122</v>
      </c>
      <c r="F88" s="62">
        <v>100459</v>
      </c>
      <c r="G88" s="62">
        <v>101943</v>
      </c>
      <c r="H88" s="47">
        <f t="shared" si="38"/>
        <v>98.544284551170762</v>
      </c>
      <c r="I88" s="62">
        <v>975264</v>
      </c>
      <c r="J88" s="62">
        <v>993062</v>
      </c>
      <c r="K88" s="47">
        <f t="shared" si="39"/>
        <v>98.207765476878578</v>
      </c>
      <c r="L88" s="253">
        <v>176584</v>
      </c>
      <c r="M88" s="62">
        <v>235246</v>
      </c>
      <c r="N88" s="47">
        <f t="shared" si="35"/>
        <v>75.063550496076445</v>
      </c>
      <c r="O88" s="253">
        <v>79</v>
      </c>
      <c r="P88" s="51">
        <v>85</v>
      </c>
      <c r="Q88" s="253">
        <v>79</v>
      </c>
      <c r="R88" s="45">
        <f t="shared" si="33"/>
        <v>6715</v>
      </c>
    </row>
    <row r="89" spans="1:18" x14ac:dyDescent="0.25">
      <c r="A89" s="77">
        <v>9</v>
      </c>
      <c r="B89" s="81" t="s">
        <v>79</v>
      </c>
      <c r="C89" s="51">
        <v>1645605</v>
      </c>
      <c r="D89" s="51">
        <v>1858663</v>
      </c>
      <c r="E89" s="47">
        <f t="shared" si="36"/>
        <v>88.537029036463309</v>
      </c>
      <c r="F89" s="51">
        <v>80937</v>
      </c>
      <c r="G89" s="51">
        <v>204603</v>
      </c>
      <c r="H89" s="47">
        <f t="shared" si="34"/>
        <v>39.558070996026451</v>
      </c>
      <c r="I89" s="51">
        <v>1735142</v>
      </c>
      <c r="J89" s="51">
        <v>2027110</v>
      </c>
      <c r="K89" s="47">
        <f t="shared" si="37"/>
        <v>85.596834902891302</v>
      </c>
      <c r="L89" s="253">
        <v>0</v>
      </c>
      <c r="M89" s="51">
        <v>0</v>
      </c>
      <c r="N89" s="47">
        <v>0</v>
      </c>
      <c r="O89" s="253">
        <v>128</v>
      </c>
      <c r="P89" s="51">
        <v>145</v>
      </c>
      <c r="Q89" s="253">
        <v>128</v>
      </c>
      <c r="R89" s="45">
        <f t="shared" si="33"/>
        <v>18560</v>
      </c>
    </row>
    <row r="90" spans="1:18" x14ac:dyDescent="0.25">
      <c r="A90" s="79">
        <v>10</v>
      </c>
      <c r="B90" s="78" t="s">
        <v>80</v>
      </c>
      <c r="C90" s="51">
        <v>1050882</v>
      </c>
      <c r="D90" s="51">
        <v>884849</v>
      </c>
      <c r="E90" s="47">
        <f t="shared" si="36"/>
        <v>118.76399250041531</v>
      </c>
      <c r="F90" s="51">
        <v>113428</v>
      </c>
      <c r="G90" s="51">
        <v>113027</v>
      </c>
      <c r="H90" s="47">
        <f t="shared" si="34"/>
        <v>100.35478248560079</v>
      </c>
      <c r="I90" s="51">
        <v>1070475</v>
      </c>
      <c r="J90" s="51">
        <v>758079</v>
      </c>
      <c r="K90" s="47">
        <f t="shared" si="37"/>
        <v>141.20889775340038</v>
      </c>
      <c r="L90" s="253">
        <f>246190+314664</f>
        <v>560854</v>
      </c>
      <c r="M90" s="51">
        <f>289223+119922</f>
        <v>409145</v>
      </c>
      <c r="N90" s="47">
        <f t="shared" si="35"/>
        <v>137.07951948575686</v>
      </c>
      <c r="O90" s="253">
        <v>124</v>
      </c>
      <c r="P90" s="51">
        <v>185</v>
      </c>
      <c r="Q90" s="253">
        <v>121</v>
      </c>
      <c r="R90" s="45">
        <f t="shared" si="33"/>
        <v>22940</v>
      </c>
    </row>
    <row r="91" spans="1:18" x14ac:dyDescent="0.25">
      <c r="A91" s="77">
        <v>11</v>
      </c>
      <c r="B91" s="78" t="s">
        <v>81</v>
      </c>
      <c r="C91" s="77">
        <v>259316</v>
      </c>
      <c r="D91" s="181">
        <v>193538</v>
      </c>
      <c r="E91" s="47">
        <f t="shared" si="36"/>
        <v>133.98712397565336</v>
      </c>
      <c r="F91" s="51">
        <v>43659</v>
      </c>
      <c r="G91" s="51">
        <v>16281</v>
      </c>
      <c r="H91" s="47">
        <f t="shared" si="34"/>
        <v>268.15920398009951</v>
      </c>
      <c r="I91" s="82">
        <v>2744671</v>
      </c>
      <c r="J91" s="83">
        <v>2679706</v>
      </c>
      <c r="K91" s="47">
        <f t="shared" si="37"/>
        <v>102.42433311714045</v>
      </c>
      <c r="L91" s="82">
        <v>24757</v>
      </c>
      <c r="M91" s="83">
        <v>11160</v>
      </c>
      <c r="N91" s="47">
        <f t="shared" si="35"/>
        <v>221.83691756272404</v>
      </c>
      <c r="O91" s="253">
        <v>51</v>
      </c>
      <c r="P91" s="51">
        <v>250</v>
      </c>
      <c r="Q91" s="253">
        <v>51</v>
      </c>
      <c r="R91" s="45">
        <f t="shared" si="33"/>
        <v>12750</v>
      </c>
    </row>
    <row r="92" spans="1:18" s="60" customFormat="1" x14ac:dyDescent="0.25">
      <c r="A92" s="315" t="s">
        <v>82</v>
      </c>
      <c r="B92" s="315" t="s">
        <v>83</v>
      </c>
      <c r="C92" s="58">
        <f>SUM(C81:C91)</f>
        <v>6294859</v>
      </c>
      <c r="D92" s="58">
        <f>SUM(D81:D91)</f>
        <v>6102794</v>
      </c>
      <c r="E92" s="57">
        <f>C92/D92*100</f>
        <v>103.14716505259722</v>
      </c>
      <c r="F92" s="58">
        <f>SUM(F81:F91)</f>
        <v>700602</v>
      </c>
      <c r="G92" s="58">
        <f>SUM(G81:G91)</f>
        <v>731426</v>
      </c>
      <c r="H92" s="57">
        <f>F92/G92*100</f>
        <v>95.785766434335116</v>
      </c>
      <c r="I92" s="58">
        <f>SUM(I81:I91)</f>
        <v>9960114</v>
      </c>
      <c r="J92" s="58">
        <f>SUM(J81:J91)</f>
        <v>9215887</v>
      </c>
      <c r="K92" s="57">
        <f>I92/J92*100</f>
        <v>108.07547879005025</v>
      </c>
      <c r="L92" s="58">
        <f>SUM(L81:L91)</f>
        <v>2371203</v>
      </c>
      <c r="M92" s="58">
        <f>SUM(M81:M91)</f>
        <v>1842104</v>
      </c>
      <c r="N92" s="57">
        <f>L92/M92*100</f>
        <v>128.72253683831099</v>
      </c>
      <c r="O92" s="56">
        <f>SUM(O81:O91)</f>
        <v>4076</v>
      </c>
      <c r="P92" s="57">
        <f>R92/O92</f>
        <v>109.04514229636899</v>
      </c>
      <c r="Q92" s="56">
        <f>SUM(Q81:Q91)</f>
        <v>3980</v>
      </c>
      <c r="R92" s="59">
        <f>SUM(R81:R91)</f>
        <v>444468</v>
      </c>
    </row>
    <row r="93" spans="1:18" x14ac:dyDescent="0.25">
      <c r="A93" s="253"/>
      <c r="B93" s="253"/>
      <c r="C93" s="253"/>
      <c r="D93" s="253"/>
      <c r="E93" s="253"/>
      <c r="F93" s="253"/>
      <c r="G93" s="253"/>
      <c r="H93" s="253"/>
      <c r="I93" s="253"/>
      <c r="J93" s="253"/>
      <c r="K93" s="34"/>
      <c r="L93" s="253"/>
      <c r="M93" s="253"/>
      <c r="N93" s="253"/>
      <c r="O93" s="253"/>
      <c r="P93" s="62"/>
      <c r="Q93" s="253"/>
      <c r="R93" s="39"/>
    </row>
    <row r="94" spans="1:18" x14ac:dyDescent="0.25">
      <c r="A94" s="316" t="s">
        <v>19</v>
      </c>
      <c r="B94" s="317"/>
      <c r="C94" s="37">
        <v>3</v>
      </c>
      <c r="D94" s="37">
        <v>4</v>
      </c>
      <c r="E94" s="256">
        <v>5</v>
      </c>
      <c r="F94" s="37">
        <v>6</v>
      </c>
      <c r="G94" s="37">
        <v>7</v>
      </c>
      <c r="H94" s="37">
        <v>8</v>
      </c>
      <c r="I94" s="37">
        <v>9</v>
      </c>
      <c r="J94" s="37">
        <v>10</v>
      </c>
      <c r="K94" s="37">
        <v>11</v>
      </c>
      <c r="L94" s="37">
        <v>12</v>
      </c>
      <c r="M94" s="37">
        <v>13</v>
      </c>
      <c r="N94" s="37">
        <v>14</v>
      </c>
      <c r="O94" s="37">
        <v>15</v>
      </c>
      <c r="P94" s="256">
        <v>16</v>
      </c>
      <c r="Q94" s="37">
        <v>15</v>
      </c>
      <c r="R94" s="39"/>
    </row>
    <row r="95" spans="1:18" x14ac:dyDescent="0.25">
      <c r="A95" s="85">
        <v>1</v>
      </c>
      <c r="B95" s="81" t="s">
        <v>84</v>
      </c>
      <c r="C95" s="87">
        <v>249013</v>
      </c>
      <c r="D95" s="87">
        <v>270486</v>
      </c>
      <c r="E95" s="47">
        <f>C95/D95*100</f>
        <v>92.061326649068704</v>
      </c>
      <c r="F95" s="87">
        <v>40010</v>
      </c>
      <c r="G95" s="87">
        <v>0</v>
      </c>
      <c r="H95" s="47" t="e">
        <f>F95/G95*100</f>
        <v>#DIV/0!</v>
      </c>
      <c r="I95" s="87">
        <v>220428</v>
      </c>
      <c r="J95" s="86">
        <v>279088</v>
      </c>
      <c r="K95" s="47">
        <f>I95/J95*100</f>
        <v>78.98153987272832</v>
      </c>
      <c r="L95" s="87">
        <v>220383</v>
      </c>
      <c r="M95" s="87">
        <v>267898</v>
      </c>
      <c r="N95" s="47">
        <f t="shared" ref="N95" si="40">L95/M95*100</f>
        <v>82.263772032639295</v>
      </c>
      <c r="O95" s="129">
        <v>303</v>
      </c>
      <c r="P95" s="62">
        <v>76</v>
      </c>
      <c r="Q95" s="129">
        <v>300</v>
      </c>
      <c r="R95" s="45">
        <f t="shared" ref="R95:R119" si="41">O95*P95</f>
        <v>23028</v>
      </c>
    </row>
    <row r="96" spans="1:18" x14ac:dyDescent="0.25">
      <c r="A96" s="85">
        <v>2</v>
      </c>
      <c r="B96" s="81" t="s">
        <v>85</v>
      </c>
      <c r="C96" s="260">
        <v>0</v>
      </c>
      <c r="D96" s="260">
        <v>0</v>
      </c>
      <c r="E96" s="47">
        <v>0</v>
      </c>
      <c r="F96" s="260">
        <v>0</v>
      </c>
      <c r="G96" s="260">
        <v>0</v>
      </c>
      <c r="H96" s="43">
        <v>0</v>
      </c>
      <c r="I96" s="260">
        <v>0</v>
      </c>
      <c r="J96" s="260">
        <v>0</v>
      </c>
      <c r="K96" s="43">
        <v>0</v>
      </c>
      <c r="L96" s="260">
        <v>0</v>
      </c>
      <c r="M96" s="260">
        <v>0</v>
      </c>
      <c r="N96" s="47">
        <v>0</v>
      </c>
      <c r="O96" s="260">
        <v>0</v>
      </c>
      <c r="P96" s="44">
        <v>0</v>
      </c>
      <c r="Q96" s="260">
        <v>0</v>
      </c>
      <c r="R96" s="45">
        <f t="shared" si="41"/>
        <v>0</v>
      </c>
    </row>
    <row r="97" spans="1:18" x14ac:dyDescent="0.25">
      <c r="A97" s="85">
        <v>3</v>
      </c>
      <c r="B97" s="78" t="s">
        <v>86</v>
      </c>
      <c r="C97" s="260">
        <v>0</v>
      </c>
      <c r="D97" s="260">
        <v>0</v>
      </c>
      <c r="E97" s="47">
        <v>0</v>
      </c>
      <c r="F97" s="260">
        <v>0</v>
      </c>
      <c r="G97" s="260">
        <v>0</v>
      </c>
      <c r="H97" s="43">
        <v>0</v>
      </c>
      <c r="I97" s="260">
        <v>0</v>
      </c>
      <c r="J97" s="260">
        <v>0</v>
      </c>
      <c r="K97" s="43">
        <v>0</v>
      </c>
      <c r="L97" s="260">
        <v>0</v>
      </c>
      <c r="M97" s="260">
        <v>0</v>
      </c>
      <c r="N97" s="47">
        <v>0</v>
      </c>
      <c r="O97" s="260">
        <v>0</v>
      </c>
      <c r="P97" s="44">
        <v>0</v>
      </c>
      <c r="Q97" s="260">
        <v>0</v>
      </c>
      <c r="R97" s="45">
        <f t="shared" si="41"/>
        <v>0</v>
      </c>
    </row>
    <row r="98" spans="1:18" x14ac:dyDescent="0.25">
      <c r="A98" s="85">
        <v>4</v>
      </c>
      <c r="B98" s="81" t="s">
        <v>87</v>
      </c>
      <c r="C98" s="86">
        <v>0</v>
      </c>
      <c r="D98" s="87">
        <v>27688</v>
      </c>
      <c r="E98" s="47">
        <f t="shared" ref="E98:E119" si="42">C98/D98*100</f>
        <v>0</v>
      </c>
      <c r="F98" s="86">
        <v>0</v>
      </c>
      <c r="G98" s="87">
        <v>0</v>
      </c>
      <c r="H98" s="47">
        <v>0</v>
      </c>
      <c r="I98" s="86">
        <v>9664</v>
      </c>
      <c r="J98" s="86">
        <v>21247</v>
      </c>
      <c r="K98" s="47">
        <f t="shared" ref="K98:K119" si="43">I98/J98*100</f>
        <v>45.484068339059633</v>
      </c>
      <c r="L98" s="87">
        <v>0</v>
      </c>
      <c r="M98" s="87">
        <v>0</v>
      </c>
      <c r="N98" s="34">
        <v>0</v>
      </c>
      <c r="O98" s="129">
        <v>6</v>
      </c>
      <c r="P98" s="87">
        <v>68</v>
      </c>
      <c r="Q98" s="129">
        <v>6</v>
      </c>
      <c r="R98" s="45">
        <f t="shared" si="41"/>
        <v>408</v>
      </c>
    </row>
    <row r="99" spans="1:18" x14ac:dyDescent="0.25">
      <c r="A99" s="85">
        <v>5</v>
      </c>
      <c r="B99" s="81" t="s">
        <v>88</v>
      </c>
      <c r="C99" s="87">
        <v>605475</v>
      </c>
      <c r="D99" s="87">
        <v>566498</v>
      </c>
      <c r="E99" s="47">
        <f t="shared" si="42"/>
        <v>106.88034203121634</v>
      </c>
      <c r="F99" s="87">
        <v>169424</v>
      </c>
      <c r="G99" s="87">
        <v>58031</v>
      </c>
      <c r="H99" s="47">
        <f t="shared" ref="H99:H119" si="44">F99/G99*100</f>
        <v>291.95430028777724</v>
      </c>
      <c r="I99" s="87">
        <v>542340</v>
      </c>
      <c r="J99" s="87">
        <v>614167</v>
      </c>
      <c r="K99" s="47">
        <f t="shared" si="43"/>
        <v>88.304972426066527</v>
      </c>
      <c r="L99" s="87">
        <v>542340</v>
      </c>
      <c r="M99" s="87">
        <v>614167</v>
      </c>
      <c r="N99" s="47">
        <f t="shared" ref="N99:N112" si="45">L99/M99*100</f>
        <v>88.304972426066527</v>
      </c>
      <c r="O99" s="129">
        <v>435</v>
      </c>
      <c r="P99" s="87">
        <v>52</v>
      </c>
      <c r="Q99" s="129">
        <v>435</v>
      </c>
      <c r="R99" s="45">
        <f t="shared" si="41"/>
        <v>22620</v>
      </c>
    </row>
    <row r="100" spans="1:18" x14ac:dyDescent="0.25">
      <c r="A100" s="85">
        <v>6</v>
      </c>
      <c r="B100" s="81" t="s">
        <v>89</v>
      </c>
      <c r="C100" s="260">
        <v>0</v>
      </c>
      <c r="D100" s="260">
        <v>0</v>
      </c>
      <c r="E100" s="47">
        <v>0</v>
      </c>
      <c r="F100" s="260">
        <v>0</v>
      </c>
      <c r="G100" s="260">
        <v>0</v>
      </c>
      <c r="H100" s="43">
        <v>0</v>
      </c>
      <c r="I100" s="260">
        <v>0</v>
      </c>
      <c r="J100" s="260">
        <v>0</v>
      </c>
      <c r="K100" s="43">
        <v>0</v>
      </c>
      <c r="L100" s="260">
        <v>0</v>
      </c>
      <c r="M100" s="260">
        <v>0</v>
      </c>
      <c r="N100" s="47">
        <v>0</v>
      </c>
      <c r="O100" s="260">
        <v>0</v>
      </c>
      <c r="P100" s="44">
        <v>0</v>
      </c>
      <c r="Q100" s="260">
        <v>0</v>
      </c>
      <c r="R100" s="45">
        <f t="shared" si="41"/>
        <v>0</v>
      </c>
    </row>
    <row r="101" spans="1:18" x14ac:dyDescent="0.25">
      <c r="A101" s="85">
        <v>7</v>
      </c>
      <c r="B101" s="78" t="s">
        <v>90</v>
      </c>
      <c r="C101" s="260">
        <v>0</v>
      </c>
      <c r="D101" s="260">
        <v>0</v>
      </c>
      <c r="E101" s="47">
        <v>0</v>
      </c>
      <c r="F101" s="260">
        <v>0</v>
      </c>
      <c r="G101" s="260">
        <v>0</v>
      </c>
      <c r="H101" s="43">
        <v>0</v>
      </c>
      <c r="I101" s="260">
        <v>0</v>
      </c>
      <c r="J101" s="260">
        <v>0</v>
      </c>
      <c r="K101" s="43">
        <v>0</v>
      </c>
      <c r="L101" s="260">
        <v>0</v>
      </c>
      <c r="M101" s="260">
        <v>0</v>
      </c>
      <c r="N101" s="47">
        <v>0</v>
      </c>
      <c r="O101" s="260">
        <v>0</v>
      </c>
      <c r="P101" s="44">
        <v>0</v>
      </c>
      <c r="Q101" s="260">
        <v>0</v>
      </c>
      <c r="R101" s="45">
        <f t="shared" si="41"/>
        <v>0</v>
      </c>
    </row>
    <row r="102" spans="1:18" x14ac:dyDescent="0.25">
      <c r="A102" s="85">
        <v>8</v>
      </c>
      <c r="B102" s="81" t="s">
        <v>91</v>
      </c>
      <c r="C102" s="51">
        <v>299361</v>
      </c>
      <c r="D102" s="51">
        <v>281775</v>
      </c>
      <c r="E102" s="190">
        <f t="shared" si="42"/>
        <v>106.2411498536066</v>
      </c>
      <c r="F102" s="51">
        <v>48930</v>
      </c>
      <c r="G102" s="51">
        <v>23293</v>
      </c>
      <c r="H102" s="51">
        <f t="shared" ref="H102:H106" si="46">F102/G102*100</f>
        <v>210.06310908856739</v>
      </c>
      <c r="I102" s="51">
        <v>240401</v>
      </c>
      <c r="J102" s="51">
        <v>186060</v>
      </c>
      <c r="K102" s="51">
        <f t="shared" si="43"/>
        <v>129.20617005267118</v>
      </c>
      <c r="L102" s="51">
        <f>8691+64143</f>
        <v>72834</v>
      </c>
      <c r="M102" s="51">
        <v>35151</v>
      </c>
      <c r="N102" s="51">
        <f t="shared" si="45"/>
        <v>207.20320901254587</v>
      </c>
      <c r="O102" s="51">
        <v>155</v>
      </c>
      <c r="P102" s="51">
        <v>66</v>
      </c>
      <c r="Q102" s="51">
        <v>120</v>
      </c>
      <c r="R102" s="45">
        <f t="shared" si="41"/>
        <v>10230</v>
      </c>
    </row>
    <row r="103" spans="1:18" x14ac:dyDescent="0.25">
      <c r="A103" s="85">
        <v>9</v>
      </c>
      <c r="B103" s="81" t="s">
        <v>92</v>
      </c>
      <c r="C103" s="260">
        <v>0</v>
      </c>
      <c r="D103" s="260">
        <v>0</v>
      </c>
      <c r="E103" s="47">
        <v>0</v>
      </c>
      <c r="F103" s="260">
        <v>0</v>
      </c>
      <c r="G103" s="260">
        <v>0</v>
      </c>
      <c r="H103" s="43">
        <v>0</v>
      </c>
      <c r="I103" s="260">
        <v>0</v>
      </c>
      <c r="J103" s="260">
        <v>0</v>
      </c>
      <c r="K103" s="43">
        <v>0</v>
      </c>
      <c r="L103" s="260">
        <v>0</v>
      </c>
      <c r="M103" s="260">
        <v>0</v>
      </c>
      <c r="N103" s="47">
        <v>0</v>
      </c>
      <c r="O103" s="260">
        <v>0</v>
      </c>
      <c r="P103" s="44">
        <v>0</v>
      </c>
      <c r="Q103" s="260">
        <v>0</v>
      </c>
      <c r="R103" s="45">
        <f t="shared" si="41"/>
        <v>0</v>
      </c>
    </row>
    <row r="104" spans="1:18" x14ac:dyDescent="0.25">
      <c r="A104" s="85">
        <v>10</v>
      </c>
      <c r="B104" s="78" t="s">
        <v>93</v>
      </c>
      <c r="C104" s="253">
        <v>96827</v>
      </c>
      <c r="D104" s="253">
        <v>138738</v>
      </c>
      <c r="E104" s="47">
        <f t="shared" ref="E104" si="47">C104/D104*100</f>
        <v>69.791261226196141</v>
      </c>
      <c r="F104" s="253">
        <v>6237</v>
      </c>
      <c r="G104" s="253">
        <v>14070</v>
      </c>
      <c r="H104" s="51">
        <f t="shared" si="46"/>
        <v>44.32835820895523</v>
      </c>
      <c r="I104" s="261">
        <v>96827</v>
      </c>
      <c r="J104" s="261">
        <v>138738</v>
      </c>
      <c r="K104" s="47">
        <f t="shared" ref="K104" si="48">I104/J104*100</f>
        <v>69.791261226196141</v>
      </c>
      <c r="L104" s="261">
        <v>96827</v>
      </c>
      <c r="M104" s="261">
        <v>138738</v>
      </c>
      <c r="N104" s="34">
        <f t="shared" si="45"/>
        <v>69.791261226196141</v>
      </c>
      <c r="O104" s="129">
        <v>76</v>
      </c>
      <c r="P104" s="87">
        <v>36</v>
      </c>
      <c r="Q104" s="129">
        <v>76</v>
      </c>
      <c r="R104" s="45">
        <f t="shared" si="41"/>
        <v>2736</v>
      </c>
    </row>
    <row r="105" spans="1:18" x14ac:dyDescent="0.25">
      <c r="A105" s="85">
        <v>11</v>
      </c>
      <c r="B105" s="81" t="s">
        <v>94</v>
      </c>
      <c r="C105" s="260">
        <v>0</v>
      </c>
      <c r="D105" s="260">
        <v>0</v>
      </c>
      <c r="E105" s="47">
        <v>0</v>
      </c>
      <c r="F105" s="260">
        <v>0</v>
      </c>
      <c r="G105" s="260">
        <v>0</v>
      </c>
      <c r="H105" s="43">
        <v>0</v>
      </c>
      <c r="I105" s="260">
        <v>0</v>
      </c>
      <c r="J105" s="260">
        <v>0</v>
      </c>
      <c r="K105" s="43">
        <v>0</v>
      </c>
      <c r="L105" s="260">
        <v>0</v>
      </c>
      <c r="M105" s="260">
        <v>0</v>
      </c>
      <c r="N105" s="47">
        <v>0</v>
      </c>
      <c r="O105" s="260">
        <v>0</v>
      </c>
      <c r="P105" s="44">
        <v>0</v>
      </c>
      <c r="Q105" s="260">
        <v>0</v>
      </c>
      <c r="R105" s="45">
        <f t="shared" si="41"/>
        <v>0</v>
      </c>
    </row>
    <row r="106" spans="1:18" x14ac:dyDescent="0.25">
      <c r="A106" s="85">
        <v>12</v>
      </c>
      <c r="B106" s="81" t="s">
        <v>95</v>
      </c>
      <c r="C106" s="86">
        <v>79024</v>
      </c>
      <c r="D106" s="87">
        <v>92861</v>
      </c>
      <c r="E106" s="47">
        <f t="shared" si="42"/>
        <v>85.099234339496661</v>
      </c>
      <c r="F106" s="86">
        <v>7500</v>
      </c>
      <c r="G106" s="87">
        <v>10930</v>
      </c>
      <c r="H106" s="47">
        <f t="shared" si="46"/>
        <v>68.618481244281796</v>
      </c>
      <c r="I106" s="86">
        <v>77800</v>
      </c>
      <c r="J106" s="86">
        <v>87580</v>
      </c>
      <c r="K106" s="47">
        <f t="shared" ref="K106" si="49">I106/J106*100</f>
        <v>88.833066910253478</v>
      </c>
      <c r="L106" s="87">
        <v>0</v>
      </c>
      <c r="M106" s="87">
        <v>0</v>
      </c>
      <c r="N106" s="34">
        <v>0</v>
      </c>
      <c r="O106" s="129">
        <v>10</v>
      </c>
      <c r="P106" s="87">
        <v>52</v>
      </c>
      <c r="Q106" s="129">
        <v>12</v>
      </c>
      <c r="R106" s="45">
        <f t="shared" si="41"/>
        <v>520</v>
      </c>
    </row>
    <row r="107" spans="1:18" x14ac:dyDescent="0.25">
      <c r="A107" s="85">
        <v>13</v>
      </c>
      <c r="B107" s="81" t="s">
        <v>96</v>
      </c>
      <c r="C107" s="86">
        <v>44633</v>
      </c>
      <c r="D107" s="87">
        <v>128538</v>
      </c>
      <c r="E107" s="47">
        <f t="shared" si="42"/>
        <v>34.72358368731426</v>
      </c>
      <c r="F107" s="86">
        <v>3164</v>
      </c>
      <c r="G107" s="86">
        <v>21816</v>
      </c>
      <c r="H107" s="47">
        <f t="shared" si="44"/>
        <v>14.503116978364503</v>
      </c>
      <c r="I107" s="86">
        <v>86808</v>
      </c>
      <c r="J107" s="86">
        <v>125625</v>
      </c>
      <c r="K107" s="47">
        <f t="shared" si="43"/>
        <v>69.100895522388058</v>
      </c>
      <c r="L107" s="87">
        <f>28982+46546</f>
        <v>75528</v>
      </c>
      <c r="M107" s="87">
        <v>121996</v>
      </c>
      <c r="N107" s="47">
        <f t="shared" si="45"/>
        <v>61.910226564805406</v>
      </c>
      <c r="O107" s="129">
        <v>85</v>
      </c>
      <c r="P107" s="87">
        <v>45</v>
      </c>
      <c r="Q107" s="129">
        <v>121</v>
      </c>
      <c r="R107" s="45">
        <f t="shared" si="41"/>
        <v>3825</v>
      </c>
    </row>
    <row r="108" spans="1:18" x14ac:dyDescent="0.25">
      <c r="A108" s="85">
        <v>14</v>
      </c>
      <c r="B108" s="81" t="s">
        <v>97</v>
      </c>
      <c r="C108" s="260">
        <v>0</v>
      </c>
      <c r="D108" s="260">
        <v>0</v>
      </c>
      <c r="E108" s="47">
        <v>0</v>
      </c>
      <c r="F108" s="260">
        <v>0</v>
      </c>
      <c r="G108" s="260">
        <v>0</v>
      </c>
      <c r="H108" s="43">
        <v>0</v>
      </c>
      <c r="I108" s="260">
        <v>0</v>
      </c>
      <c r="J108" s="260">
        <v>0</v>
      </c>
      <c r="K108" s="43">
        <v>0</v>
      </c>
      <c r="L108" s="260">
        <v>0</v>
      </c>
      <c r="M108" s="260">
        <v>0</v>
      </c>
      <c r="N108" s="47">
        <v>0</v>
      </c>
      <c r="O108" s="260">
        <v>0</v>
      </c>
      <c r="P108" s="44">
        <v>0</v>
      </c>
      <c r="Q108" s="260">
        <v>0</v>
      </c>
      <c r="R108" s="45">
        <f t="shared" si="41"/>
        <v>0</v>
      </c>
    </row>
    <row r="109" spans="1:18" x14ac:dyDescent="0.25">
      <c r="A109" s="85">
        <v>15</v>
      </c>
      <c r="B109" s="81" t="s">
        <v>98</v>
      </c>
      <c r="C109" s="260">
        <v>0</v>
      </c>
      <c r="D109" s="260">
        <v>0</v>
      </c>
      <c r="E109" s="47">
        <v>0</v>
      </c>
      <c r="F109" s="260">
        <v>0</v>
      </c>
      <c r="G109" s="260">
        <v>0</v>
      </c>
      <c r="H109" s="43">
        <v>0</v>
      </c>
      <c r="I109" s="260">
        <v>0</v>
      </c>
      <c r="J109" s="260">
        <v>0</v>
      </c>
      <c r="K109" s="43">
        <v>0</v>
      </c>
      <c r="L109" s="260">
        <v>0</v>
      </c>
      <c r="M109" s="260">
        <v>0</v>
      </c>
      <c r="N109" s="47">
        <v>0</v>
      </c>
      <c r="O109" s="260">
        <v>0</v>
      </c>
      <c r="P109" s="44">
        <v>0</v>
      </c>
      <c r="Q109" s="260">
        <v>0</v>
      </c>
      <c r="R109" s="45">
        <f t="shared" si="41"/>
        <v>0</v>
      </c>
    </row>
    <row r="110" spans="1:18" x14ac:dyDescent="0.25">
      <c r="A110" s="85">
        <v>16</v>
      </c>
      <c r="B110" s="81" t="s">
        <v>99</v>
      </c>
      <c r="C110" s="51">
        <v>417227</v>
      </c>
      <c r="D110" s="51">
        <v>640542</v>
      </c>
      <c r="E110" s="47">
        <f t="shared" si="42"/>
        <v>65.136556228943604</v>
      </c>
      <c r="F110" s="51">
        <v>31768</v>
      </c>
      <c r="G110" s="51">
        <v>67647</v>
      </c>
      <c r="H110" s="47">
        <f t="shared" si="44"/>
        <v>46.961432140375777</v>
      </c>
      <c r="I110" s="51">
        <v>408170</v>
      </c>
      <c r="J110" s="51">
        <v>565981</v>
      </c>
      <c r="K110" s="47">
        <f t="shared" ref="K110" si="50">I110/J110*100</f>
        <v>72.117261886883128</v>
      </c>
      <c r="L110" s="51">
        <v>0</v>
      </c>
      <c r="M110" s="51">
        <v>0</v>
      </c>
      <c r="N110" s="47">
        <v>0</v>
      </c>
      <c r="O110" s="129">
        <v>67</v>
      </c>
      <c r="P110" s="44">
        <v>50</v>
      </c>
      <c r="Q110" s="129">
        <v>85</v>
      </c>
      <c r="R110" s="45">
        <f t="shared" si="41"/>
        <v>3350</v>
      </c>
    </row>
    <row r="111" spans="1:18" x14ac:dyDescent="0.25">
      <c r="A111" s="85">
        <v>17</v>
      </c>
      <c r="B111" s="81" t="s">
        <v>100</v>
      </c>
      <c r="C111" s="86">
        <v>760476</v>
      </c>
      <c r="D111" s="87">
        <v>559132</v>
      </c>
      <c r="E111" s="47">
        <f t="shared" si="42"/>
        <v>136.01010137141139</v>
      </c>
      <c r="F111" s="86">
        <v>89586</v>
      </c>
      <c r="G111" s="86">
        <v>77401</v>
      </c>
      <c r="H111" s="47">
        <f t="shared" si="44"/>
        <v>115.74269066291134</v>
      </c>
      <c r="I111" s="86">
        <v>711708</v>
      </c>
      <c r="J111" s="86">
        <v>558809</v>
      </c>
      <c r="K111" s="47">
        <f t="shared" si="43"/>
        <v>127.36158508542275</v>
      </c>
      <c r="L111" s="87">
        <v>0</v>
      </c>
      <c r="M111" s="87">
        <v>0</v>
      </c>
      <c r="N111" s="47">
        <v>0</v>
      </c>
      <c r="O111" s="129">
        <v>187</v>
      </c>
      <c r="P111" s="87">
        <v>80</v>
      </c>
      <c r="Q111" s="129">
        <v>187</v>
      </c>
      <c r="R111" s="45">
        <f t="shared" si="41"/>
        <v>14960</v>
      </c>
    </row>
    <row r="112" spans="1:18" x14ac:dyDescent="0.25">
      <c r="A112" s="85">
        <v>18</v>
      </c>
      <c r="B112" s="78" t="s">
        <v>101</v>
      </c>
      <c r="C112" s="51">
        <v>332097</v>
      </c>
      <c r="D112" s="51">
        <v>230692</v>
      </c>
      <c r="E112" s="47">
        <f t="shared" si="42"/>
        <v>143.95687756835954</v>
      </c>
      <c r="F112" s="51">
        <v>31381</v>
      </c>
      <c r="G112" s="51">
        <v>86175</v>
      </c>
      <c r="H112" s="47">
        <f t="shared" si="44"/>
        <v>36.415433710472875</v>
      </c>
      <c r="I112" s="51">
        <v>332097</v>
      </c>
      <c r="J112" s="51">
        <v>230692</v>
      </c>
      <c r="K112" s="47">
        <f t="shared" si="43"/>
        <v>143.95687756835954</v>
      </c>
      <c r="L112" s="51">
        <v>332097</v>
      </c>
      <c r="M112" s="51">
        <f>17978+212714</f>
        <v>230692</v>
      </c>
      <c r="N112" s="47">
        <f t="shared" si="45"/>
        <v>143.95687756835954</v>
      </c>
      <c r="O112" s="129">
        <v>287</v>
      </c>
      <c r="P112" s="87">
        <v>68</v>
      </c>
      <c r="Q112" s="129">
        <v>120</v>
      </c>
      <c r="R112" s="45">
        <f t="shared" si="41"/>
        <v>19516</v>
      </c>
    </row>
    <row r="113" spans="1:91" x14ac:dyDescent="0.25">
      <c r="A113" s="85">
        <v>19</v>
      </c>
      <c r="B113" s="81" t="s">
        <v>102</v>
      </c>
      <c r="C113" s="260">
        <v>0</v>
      </c>
      <c r="D113" s="260">
        <v>0</v>
      </c>
      <c r="E113" s="47">
        <v>0</v>
      </c>
      <c r="F113" s="260">
        <v>0</v>
      </c>
      <c r="G113" s="260">
        <v>0</v>
      </c>
      <c r="H113" s="43">
        <v>0</v>
      </c>
      <c r="I113" s="260">
        <v>0</v>
      </c>
      <c r="J113" s="260">
        <v>0</v>
      </c>
      <c r="K113" s="43">
        <v>0</v>
      </c>
      <c r="L113" s="260">
        <v>0</v>
      </c>
      <c r="M113" s="260">
        <v>0</v>
      </c>
      <c r="N113" s="47">
        <v>0</v>
      </c>
      <c r="O113" s="260">
        <v>0</v>
      </c>
      <c r="P113" s="44">
        <v>0</v>
      </c>
      <c r="Q113" s="260">
        <v>0</v>
      </c>
      <c r="R113" s="45">
        <f t="shared" si="41"/>
        <v>0</v>
      </c>
    </row>
    <row r="114" spans="1:91" x14ac:dyDescent="0.25">
      <c r="A114" s="85">
        <v>20</v>
      </c>
      <c r="B114" s="81" t="s">
        <v>103</v>
      </c>
      <c r="C114" s="260">
        <v>0</v>
      </c>
      <c r="D114" s="260">
        <v>0</v>
      </c>
      <c r="E114" s="47">
        <v>0</v>
      </c>
      <c r="F114" s="260">
        <v>0</v>
      </c>
      <c r="G114" s="260">
        <v>0</v>
      </c>
      <c r="H114" s="43">
        <v>0</v>
      </c>
      <c r="I114" s="260">
        <v>0</v>
      </c>
      <c r="J114" s="260">
        <v>0</v>
      </c>
      <c r="K114" s="43">
        <v>0</v>
      </c>
      <c r="L114" s="260">
        <v>0</v>
      </c>
      <c r="M114" s="260">
        <v>0</v>
      </c>
      <c r="N114" s="47">
        <v>0</v>
      </c>
      <c r="O114" s="260">
        <v>0</v>
      </c>
      <c r="P114" s="44">
        <v>0</v>
      </c>
      <c r="Q114" s="260">
        <v>0</v>
      </c>
      <c r="R114" s="45">
        <f t="shared" si="41"/>
        <v>0</v>
      </c>
    </row>
    <row r="115" spans="1:91" x14ac:dyDescent="0.25">
      <c r="A115" s="85">
        <v>21</v>
      </c>
      <c r="B115" s="81" t="s">
        <v>104</v>
      </c>
      <c r="C115" s="87">
        <v>39271</v>
      </c>
      <c r="D115" s="87">
        <v>65302</v>
      </c>
      <c r="E115" s="47">
        <f t="shared" si="42"/>
        <v>60.137514930629997</v>
      </c>
      <c r="F115" s="87">
        <v>9856</v>
      </c>
      <c r="G115" s="87">
        <v>8050</v>
      </c>
      <c r="H115" s="47">
        <f t="shared" ref="H115:H116" si="51">F115/G115*100</f>
        <v>122.43478260869564</v>
      </c>
      <c r="I115" s="87">
        <v>39271</v>
      </c>
      <c r="J115" s="87">
        <v>65302</v>
      </c>
      <c r="K115" s="47">
        <f t="shared" ref="K115" si="52">I115/J115*100</f>
        <v>60.137514930629997</v>
      </c>
      <c r="L115" s="87">
        <v>37605</v>
      </c>
      <c r="M115" s="87">
        <v>57862</v>
      </c>
      <c r="N115" s="47">
        <f t="shared" ref="N115" si="53">L115/M115*100</f>
        <v>64.990840275137401</v>
      </c>
      <c r="O115" s="129">
        <v>14</v>
      </c>
      <c r="P115" s="87">
        <v>48</v>
      </c>
      <c r="Q115" s="129">
        <v>14</v>
      </c>
      <c r="R115" s="45">
        <f t="shared" si="41"/>
        <v>672</v>
      </c>
    </row>
    <row r="116" spans="1:91" x14ac:dyDescent="0.25">
      <c r="A116" s="85">
        <v>22</v>
      </c>
      <c r="B116" s="78" t="s">
        <v>105</v>
      </c>
      <c r="C116" s="86">
        <v>18340</v>
      </c>
      <c r="D116" s="86">
        <v>17830</v>
      </c>
      <c r="E116" s="47">
        <f t="shared" si="42"/>
        <v>102.8603477285474</v>
      </c>
      <c r="F116" s="86">
        <v>1890</v>
      </c>
      <c r="G116" s="86">
        <v>2240</v>
      </c>
      <c r="H116" s="47">
        <f t="shared" si="51"/>
        <v>84.375</v>
      </c>
      <c r="I116" s="86">
        <v>32383</v>
      </c>
      <c r="J116" s="86">
        <v>28370</v>
      </c>
      <c r="K116" s="47">
        <f t="shared" si="43"/>
        <v>114.14522382798731</v>
      </c>
      <c r="L116" s="87">
        <v>0</v>
      </c>
      <c r="M116" s="86">
        <v>0</v>
      </c>
      <c r="N116" s="34">
        <v>0</v>
      </c>
      <c r="O116" s="129">
        <v>12</v>
      </c>
      <c r="P116" s="87">
        <v>63</v>
      </c>
      <c r="Q116" s="129">
        <v>12</v>
      </c>
      <c r="R116" s="45">
        <f t="shared" si="41"/>
        <v>756</v>
      </c>
    </row>
    <row r="117" spans="1:91" x14ac:dyDescent="0.25">
      <c r="A117" s="85">
        <v>23</v>
      </c>
      <c r="B117" s="78" t="s">
        <v>106</v>
      </c>
      <c r="C117" s="86">
        <v>110843</v>
      </c>
      <c r="D117" s="87">
        <v>112699</v>
      </c>
      <c r="E117" s="47">
        <f t="shared" si="42"/>
        <v>98.353135342815818</v>
      </c>
      <c r="F117" s="86">
        <v>18516</v>
      </c>
      <c r="G117" s="86">
        <v>10450</v>
      </c>
      <c r="H117" s="47">
        <f t="shared" si="44"/>
        <v>177.1866028708134</v>
      </c>
      <c r="I117" s="86">
        <v>111659</v>
      </c>
      <c r="J117" s="86">
        <v>115471</v>
      </c>
      <c r="K117" s="47">
        <f t="shared" si="43"/>
        <v>96.698738211325789</v>
      </c>
      <c r="L117" s="87">
        <v>0</v>
      </c>
      <c r="M117" s="87">
        <v>2114</v>
      </c>
      <c r="N117" s="34">
        <v>0</v>
      </c>
      <c r="O117" s="129">
        <v>42</v>
      </c>
      <c r="P117" s="87">
        <v>47</v>
      </c>
      <c r="Q117" s="129">
        <v>37</v>
      </c>
      <c r="R117" s="45">
        <f t="shared" si="41"/>
        <v>1974</v>
      </c>
    </row>
    <row r="118" spans="1:91" x14ac:dyDescent="0.25">
      <c r="A118" s="85">
        <v>24</v>
      </c>
      <c r="B118" s="81" t="s">
        <v>107</v>
      </c>
      <c r="C118" s="87">
        <v>26863</v>
      </c>
      <c r="D118" s="87">
        <v>12304</v>
      </c>
      <c r="E118" s="47">
        <f t="shared" si="42"/>
        <v>218.32737321196359</v>
      </c>
      <c r="F118" s="87">
        <v>3475</v>
      </c>
      <c r="G118" s="86">
        <v>0</v>
      </c>
      <c r="H118" s="47" t="e">
        <f t="shared" si="44"/>
        <v>#DIV/0!</v>
      </c>
      <c r="I118" s="87">
        <v>145414</v>
      </c>
      <c r="J118" s="87">
        <v>154110</v>
      </c>
      <c r="K118" s="47">
        <f t="shared" si="43"/>
        <v>94.357277269482836</v>
      </c>
      <c r="L118" s="88">
        <v>0</v>
      </c>
      <c r="M118" s="87">
        <v>1428</v>
      </c>
      <c r="N118" s="34">
        <v>0</v>
      </c>
      <c r="O118" s="129">
        <v>52</v>
      </c>
      <c r="P118" s="87">
        <v>55</v>
      </c>
      <c r="Q118" s="129">
        <v>54</v>
      </c>
      <c r="R118" s="45">
        <f t="shared" si="41"/>
        <v>2860</v>
      </c>
    </row>
    <row r="119" spans="1:91" x14ac:dyDescent="0.25">
      <c r="A119" s="85">
        <v>25</v>
      </c>
      <c r="B119" s="81" t="s">
        <v>108</v>
      </c>
      <c r="C119" s="87">
        <v>27105</v>
      </c>
      <c r="D119" s="87">
        <v>40806</v>
      </c>
      <c r="E119" s="47">
        <f t="shared" si="42"/>
        <v>66.424055285987365</v>
      </c>
      <c r="F119" s="87">
        <v>1265</v>
      </c>
      <c r="G119" s="87">
        <v>3564</v>
      </c>
      <c r="H119" s="47">
        <f t="shared" si="44"/>
        <v>35.493827160493829</v>
      </c>
      <c r="I119" s="87">
        <v>28347</v>
      </c>
      <c r="J119" s="87">
        <v>40864</v>
      </c>
      <c r="K119" s="47">
        <f t="shared" si="43"/>
        <v>69.36912685982773</v>
      </c>
      <c r="L119" s="87">
        <v>0</v>
      </c>
      <c r="M119" s="87">
        <v>0</v>
      </c>
      <c r="N119" s="34">
        <v>0</v>
      </c>
      <c r="O119" s="129">
        <v>22</v>
      </c>
      <c r="P119" s="87">
        <v>33</v>
      </c>
      <c r="Q119" s="129">
        <v>20</v>
      </c>
      <c r="R119" s="45">
        <f t="shared" si="41"/>
        <v>726</v>
      </c>
    </row>
    <row r="120" spans="1:91" s="60" customFormat="1" x14ac:dyDescent="0.25">
      <c r="A120" s="315" t="s">
        <v>109</v>
      </c>
      <c r="B120" s="315" t="s">
        <v>109</v>
      </c>
      <c r="C120" s="56">
        <f>SUM(C95:C119)</f>
        <v>3106555</v>
      </c>
      <c r="D120" s="56">
        <f>SUM(D95:D119)</f>
        <v>3185891</v>
      </c>
      <c r="E120" s="57">
        <f>C120/D120*100</f>
        <v>97.509770422151917</v>
      </c>
      <c r="F120" s="56">
        <f>SUM(F95:F119)</f>
        <v>463002</v>
      </c>
      <c r="G120" s="56">
        <f>SUM(G95:G119)</f>
        <v>383667</v>
      </c>
      <c r="H120" s="57">
        <f>F120/G120*100</f>
        <v>120.67808802946305</v>
      </c>
      <c r="I120" s="56">
        <f>SUM(I95:I119)</f>
        <v>3083317</v>
      </c>
      <c r="J120" s="56">
        <f>SUM(J95:J119)</f>
        <v>3212104</v>
      </c>
      <c r="K120" s="57">
        <f>I120/J120*100</f>
        <v>95.990571911743828</v>
      </c>
      <c r="L120" s="56">
        <f>SUM(L95:L119)</f>
        <v>1377614</v>
      </c>
      <c r="M120" s="56">
        <f>SUM(M95:M119)</f>
        <v>1470046</v>
      </c>
      <c r="N120" s="57">
        <f>L120/M120*100</f>
        <v>93.712305601321319</v>
      </c>
      <c r="O120" s="56">
        <f>SUM(O95:O119)</f>
        <v>1753</v>
      </c>
      <c r="P120" s="57">
        <f>R120/O120</f>
        <v>61.711922418710785</v>
      </c>
      <c r="Q120" s="56">
        <f>SUM(Q95:Q119)</f>
        <v>1599</v>
      </c>
      <c r="R120" s="59">
        <f>SUM(R95:R119)</f>
        <v>108181</v>
      </c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x14ac:dyDescent="0.25">
      <c r="A121" s="85"/>
      <c r="B121" s="81"/>
      <c r="C121" s="253"/>
      <c r="D121" s="253"/>
      <c r="E121" s="253"/>
      <c r="F121" s="253"/>
      <c r="G121" s="253"/>
      <c r="H121" s="253"/>
      <c r="I121" s="253"/>
      <c r="J121" s="253"/>
      <c r="K121" s="253"/>
      <c r="L121" s="253"/>
      <c r="M121" s="253"/>
      <c r="N121" s="86"/>
      <c r="O121" s="253"/>
      <c r="P121" s="44"/>
      <c r="Q121" s="253"/>
      <c r="R121" s="45"/>
    </row>
    <row r="122" spans="1:91" s="145" customFormat="1" x14ac:dyDescent="0.25">
      <c r="A122" s="117"/>
      <c r="B122" s="117"/>
      <c r="C122" s="103"/>
      <c r="D122" s="103"/>
      <c r="E122" s="142"/>
      <c r="F122" s="103"/>
      <c r="G122" s="103"/>
      <c r="H122" s="142"/>
      <c r="I122" s="103"/>
      <c r="J122" s="103"/>
      <c r="K122" s="142"/>
      <c r="L122" s="103"/>
      <c r="M122" s="103"/>
      <c r="N122" s="142"/>
      <c r="O122" s="103"/>
      <c r="P122" s="142"/>
      <c r="Q122" s="103"/>
      <c r="R122" s="45">
        <f t="shared" ref="R122:R130" si="54">O122*P122</f>
        <v>0</v>
      </c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x14ac:dyDescent="0.25">
      <c r="A123" s="37"/>
      <c r="B123" s="37" t="s">
        <v>20</v>
      </c>
      <c r="C123" s="37">
        <v>3</v>
      </c>
      <c r="D123" s="37">
        <v>4</v>
      </c>
      <c r="E123" s="256">
        <v>5</v>
      </c>
      <c r="F123" s="37">
        <v>6</v>
      </c>
      <c r="G123" s="37">
        <v>7</v>
      </c>
      <c r="H123" s="37">
        <v>8</v>
      </c>
      <c r="I123" s="37">
        <v>9</v>
      </c>
      <c r="J123" s="37">
        <v>10</v>
      </c>
      <c r="K123" s="37">
        <v>11</v>
      </c>
      <c r="L123" s="37">
        <v>12</v>
      </c>
      <c r="M123" s="37">
        <v>13</v>
      </c>
      <c r="N123" s="37">
        <v>14</v>
      </c>
      <c r="O123" s="37">
        <v>15</v>
      </c>
      <c r="P123" s="256">
        <v>16</v>
      </c>
      <c r="Q123" s="37">
        <v>15</v>
      </c>
      <c r="R123" s="45">
        <f t="shared" si="54"/>
        <v>240</v>
      </c>
    </row>
    <row r="124" spans="1:91" x14ac:dyDescent="0.25">
      <c r="A124" s="50">
        <v>1</v>
      </c>
      <c r="B124" s="89" t="s">
        <v>110</v>
      </c>
      <c r="C124" s="260">
        <v>0</v>
      </c>
      <c r="D124" s="260">
        <v>0</v>
      </c>
      <c r="E124" s="47">
        <v>0</v>
      </c>
      <c r="F124" s="260">
        <v>0</v>
      </c>
      <c r="G124" s="260">
        <v>0</v>
      </c>
      <c r="H124" s="43">
        <v>0</v>
      </c>
      <c r="I124" s="260">
        <v>0</v>
      </c>
      <c r="J124" s="260">
        <v>0</v>
      </c>
      <c r="K124" s="43">
        <v>0</v>
      </c>
      <c r="L124" s="260">
        <v>0</v>
      </c>
      <c r="M124" s="260">
        <v>0</v>
      </c>
      <c r="N124" s="47">
        <v>0</v>
      </c>
      <c r="O124" s="260">
        <v>0</v>
      </c>
      <c r="P124" s="44">
        <v>0</v>
      </c>
      <c r="Q124" s="260">
        <v>0</v>
      </c>
      <c r="R124" s="45">
        <f t="shared" si="54"/>
        <v>0</v>
      </c>
    </row>
    <row r="125" spans="1:91" x14ac:dyDescent="0.25">
      <c r="A125" s="50">
        <v>2</v>
      </c>
      <c r="B125" s="89" t="s">
        <v>167</v>
      </c>
      <c r="C125" s="253">
        <v>199100</v>
      </c>
      <c r="D125" s="253">
        <v>137833</v>
      </c>
      <c r="E125" s="47">
        <f t="shared" ref="E125" si="55">C125/D125*100</f>
        <v>144.45016795687536</v>
      </c>
      <c r="F125" s="253">
        <v>6273</v>
      </c>
      <c r="G125" s="253">
        <v>37737</v>
      </c>
      <c r="H125" s="34">
        <f t="shared" ref="H125" si="56">F125/G125*100</f>
        <v>16.622943000238493</v>
      </c>
      <c r="I125" s="253">
        <v>228954</v>
      </c>
      <c r="J125" s="253">
        <v>131205</v>
      </c>
      <c r="K125" s="47">
        <f t="shared" ref="K125:K130" si="57">I125/J125*100</f>
        <v>174.50097176174688</v>
      </c>
      <c r="L125" s="253">
        <v>0</v>
      </c>
      <c r="M125" s="253">
        <v>0</v>
      </c>
      <c r="N125" s="34">
        <v>0</v>
      </c>
      <c r="O125" s="62">
        <v>79</v>
      </c>
      <c r="P125" s="44">
        <v>80</v>
      </c>
      <c r="Q125" s="62">
        <v>81</v>
      </c>
      <c r="R125" s="45">
        <f t="shared" si="54"/>
        <v>6320</v>
      </c>
    </row>
    <row r="126" spans="1:91" x14ac:dyDescent="0.25">
      <c r="A126" s="50">
        <v>3</v>
      </c>
      <c r="B126" s="89" t="s">
        <v>166</v>
      </c>
      <c r="C126" s="260">
        <v>0</v>
      </c>
      <c r="D126" s="260">
        <v>0</v>
      </c>
      <c r="E126" s="47">
        <v>0</v>
      </c>
      <c r="F126" s="260">
        <v>0</v>
      </c>
      <c r="G126" s="260">
        <v>0</v>
      </c>
      <c r="H126" s="43">
        <v>0</v>
      </c>
      <c r="I126" s="260">
        <v>0</v>
      </c>
      <c r="J126" s="260">
        <v>0</v>
      </c>
      <c r="K126" s="43">
        <v>0</v>
      </c>
      <c r="L126" s="260">
        <v>0</v>
      </c>
      <c r="M126" s="260">
        <v>0</v>
      </c>
      <c r="N126" s="47">
        <v>0</v>
      </c>
      <c r="O126" s="260">
        <v>0</v>
      </c>
      <c r="P126" s="44">
        <v>0</v>
      </c>
      <c r="Q126" s="260">
        <v>0</v>
      </c>
      <c r="R126" s="45">
        <f t="shared" si="54"/>
        <v>0</v>
      </c>
    </row>
    <row r="127" spans="1:91" x14ac:dyDescent="0.25">
      <c r="A127" s="50">
        <v>4</v>
      </c>
      <c r="B127" s="89" t="s">
        <v>111</v>
      </c>
      <c r="C127" s="260">
        <v>0</v>
      </c>
      <c r="D127" s="260">
        <v>0</v>
      </c>
      <c r="E127" s="47">
        <v>0</v>
      </c>
      <c r="F127" s="260">
        <v>0</v>
      </c>
      <c r="G127" s="260">
        <v>0</v>
      </c>
      <c r="H127" s="43">
        <v>0</v>
      </c>
      <c r="I127" s="260">
        <v>0</v>
      </c>
      <c r="J127" s="260">
        <v>0</v>
      </c>
      <c r="K127" s="43">
        <v>0</v>
      </c>
      <c r="L127" s="260">
        <v>0</v>
      </c>
      <c r="M127" s="260">
        <v>0</v>
      </c>
      <c r="N127" s="47">
        <v>0</v>
      </c>
      <c r="O127" s="260">
        <v>0</v>
      </c>
      <c r="P127" s="44">
        <v>0</v>
      </c>
      <c r="Q127" s="260">
        <v>0</v>
      </c>
      <c r="R127" s="45">
        <f t="shared" si="54"/>
        <v>0</v>
      </c>
    </row>
    <row r="128" spans="1:91" x14ac:dyDescent="0.25">
      <c r="A128" s="50">
        <v>5</v>
      </c>
      <c r="B128" s="93" t="s">
        <v>112</v>
      </c>
      <c r="C128" s="86">
        <v>4620</v>
      </c>
      <c r="D128" s="86">
        <v>2255</v>
      </c>
      <c r="E128" s="47">
        <f t="shared" ref="E128" si="58">C128/D128*100</f>
        <v>204.8780487804878</v>
      </c>
      <c r="F128" s="86">
        <v>0</v>
      </c>
      <c r="G128" s="86">
        <v>0</v>
      </c>
      <c r="H128" s="34" t="e">
        <f t="shared" ref="H128" si="59">F128/G128*100</f>
        <v>#DIV/0!</v>
      </c>
      <c r="I128" s="86">
        <v>8746</v>
      </c>
      <c r="J128" s="86">
        <v>9365</v>
      </c>
      <c r="K128" s="94">
        <f t="shared" ref="K128" si="60">I128/J128*100</f>
        <v>93.390282968499733</v>
      </c>
      <c r="L128" s="86">
        <v>0</v>
      </c>
      <c r="M128" s="86">
        <v>0</v>
      </c>
      <c r="N128" s="86">
        <v>0</v>
      </c>
      <c r="O128" s="62">
        <v>8</v>
      </c>
      <c r="P128" s="92">
        <v>70</v>
      </c>
      <c r="Q128" s="62">
        <v>8</v>
      </c>
      <c r="R128" s="45">
        <f t="shared" si="54"/>
        <v>560</v>
      </c>
    </row>
    <row r="129" spans="1:18" s="66" customFormat="1" x14ac:dyDescent="0.25">
      <c r="A129" s="50">
        <v>6</v>
      </c>
      <c r="B129" s="93" t="s">
        <v>113</v>
      </c>
      <c r="C129" s="260">
        <v>0</v>
      </c>
      <c r="D129" s="260">
        <v>0</v>
      </c>
      <c r="E129" s="47">
        <v>0</v>
      </c>
      <c r="F129" s="260">
        <v>0</v>
      </c>
      <c r="G129" s="260">
        <v>0</v>
      </c>
      <c r="H129" s="43">
        <v>0</v>
      </c>
      <c r="I129" s="260">
        <v>0</v>
      </c>
      <c r="J129" s="260">
        <v>0</v>
      </c>
      <c r="K129" s="43">
        <v>0</v>
      </c>
      <c r="L129" s="260">
        <v>0</v>
      </c>
      <c r="M129" s="260">
        <v>0</v>
      </c>
      <c r="N129" s="47">
        <v>0</v>
      </c>
      <c r="O129" s="260">
        <v>0</v>
      </c>
      <c r="P129" s="44">
        <v>0</v>
      </c>
      <c r="Q129" s="260">
        <v>0</v>
      </c>
      <c r="R129" s="45">
        <f t="shared" si="54"/>
        <v>0</v>
      </c>
    </row>
    <row r="130" spans="1:18" x14ac:dyDescent="0.25">
      <c r="A130" s="50">
        <v>7</v>
      </c>
      <c r="B130" s="89" t="s">
        <v>114</v>
      </c>
      <c r="C130" s="51">
        <v>17106</v>
      </c>
      <c r="D130" s="51">
        <v>22579</v>
      </c>
      <c r="E130" s="47">
        <f t="shared" ref="E130" si="61">C130/D130*100</f>
        <v>75.760662562558139</v>
      </c>
      <c r="F130" s="51">
        <v>1470</v>
      </c>
      <c r="G130" s="51">
        <v>966</v>
      </c>
      <c r="H130" s="47">
        <f t="shared" ref="H130" si="62">F130/G130*100</f>
        <v>152.17391304347828</v>
      </c>
      <c r="I130" s="51">
        <v>17106</v>
      </c>
      <c r="J130" s="51">
        <v>22579</v>
      </c>
      <c r="K130" s="94">
        <f t="shared" si="57"/>
        <v>75.760662562558139</v>
      </c>
      <c r="L130" s="51">
        <v>0</v>
      </c>
      <c r="M130" s="51">
        <v>0</v>
      </c>
      <c r="N130" s="34">
        <v>0</v>
      </c>
      <c r="O130" s="62">
        <v>13</v>
      </c>
      <c r="P130" s="87">
        <v>50</v>
      </c>
      <c r="Q130" s="62">
        <v>13</v>
      </c>
      <c r="R130" s="45">
        <f t="shared" si="54"/>
        <v>650</v>
      </c>
    </row>
    <row r="131" spans="1:18" s="60" customFormat="1" x14ac:dyDescent="0.25">
      <c r="A131" s="315" t="s">
        <v>115</v>
      </c>
      <c r="B131" s="315" t="s">
        <v>115</v>
      </c>
      <c r="C131" s="56">
        <f>SUM(C124:C130)</f>
        <v>220826</v>
      </c>
      <c r="D131" s="56">
        <f>SUM(D124:D130)</f>
        <v>162667</v>
      </c>
      <c r="E131" s="57">
        <f>C131/D131*100</f>
        <v>135.75341034137224</v>
      </c>
      <c r="F131" s="56">
        <f>SUM(F124:F130)</f>
        <v>7743</v>
      </c>
      <c r="G131" s="56">
        <f>SUM(G124:G130)</f>
        <v>38703</v>
      </c>
      <c r="H131" s="57">
        <f>F131/G131*100</f>
        <v>20.006201069684522</v>
      </c>
      <c r="I131" s="56">
        <f>SUM(I124:I130)</f>
        <v>254806</v>
      </c>
      <c r="J131" s="56">
        <f>SUM(J124:J130)</f>
        <v>163149</v>
      </c>
      <c r="K131" s="57">
        <f>I131/J131*100</f>
        <v>156.17993368025546</v>
      </c>
      <c r="L131" s="56">
        <f>SUM(L124:L130)</f>
        <v>0</v>
      </c>
      <c r="M131" s="56">
        <f>SUM(M124:M130)</f>
        <v>0</v>
      </c>
      <c r="N131" s="58">
        <v>0</v>
      </c>
      <c r="O131" s="56">
        <f>SUM(O124:O130)</f>
        <v>100</v>
      </c>
      <c r="P131" s="58">
        <f>R131/O131</f>
        <v>75.3</v>
      </c>
      <c r="Q131" s="56">
        <f>SUM(Q124:Q130)</f>
        <v>102</v>
      </c>
      <c r="R131" s="59">
        <f>SUM(R124:R130)</f>
        <v>7530</v>
      </c>
    </row>
    <row r="132" spans="1:18" x14ac:dyDescent="0.25">
      <c r="A132" s="253"/>
      <c r="B132" s="253"/>
      <c r="C132" s="253"/>
      <c r="D132" s="253"/>
      <c r="E132" s="253"/>
      <c r="F132" s="253"/>
      <c r="G132" s="253"/>
      <c r="H132" s="253"/>
      <c r="I132" s="253"/>
      <c r="J132" s="253"/>
      <c r="K132" s="34"/>
      <c r="L132" s="253"/>
      <c r="M132" s="253"/>
      <c r="N132" s="253"/>
      <c r="O132" s="253"/>
      <c r="P132" s="62"/>
      <c r="Q132" s="253"/>
      <c r="R132" s="39"/>
    </row>
    <row r="133" spans="1:18" x14ac:dyDescent="0.25">
      <c r="A133" s="316" t="s">
        <v>208</v>
      </c>
      <c r="B133" s="317"/>
      <c r="C133" s="37">
        <v>3</v>
      </c>
      <c r="D133" s="37">
        <v>4</v>
      </c>
      <c r="E133" s="256">
        <v>5</v>
      </c>
      <c r="F133" s="37">
        <v>6</v>
      </c>
      <c r="G133" s="37">
        <v>7</v>
      </c>
      <c r="H133" s="37">
        <v>8</v>
      </c>
      <c r="I133" s="37">
        <v>9</v>
      </c>
      <c r="J133" s="37">
        <v>10</v>
      </c>
      <c r="K133" s="37">
        <v>11</v>
      </c>
      <c r="L133" s="37">
        <v>12</v>
      </c>
      <c r="M133" s="37">
        <v>13</v>
      </c>
      <c r="N133" s="37">
        <v>14</v>
      </c>
      <c r="O133" s="37">
        <v>15</v>
      </c>
      <c r="P133" s="256">
        <v>16</v>
      </c>
      <c r="Q133" s="37">
        <v>15</v>
      </c>
      <c r="R133" s="31"/>
    </row>
    <row r="134" spans="1:18" x14ac:dyDescent="0.25">
      <c r="A134" s="96">
        <v>1</v>
      </c>
      <c r="B134" s="78" t="s">
        <v>117</v>
      </c>
      <c r="C134" s="62">
        <v>98518475</v>
      </c>
      <c r="D134" s="62">
        <v>84713294</v>
      </c>
      <c r="E134" s="47">
        <f t="shared" ref="E134:E138" si="63">C134/D134*100</f>
        <v>116.29635721637739</v>
      </c>
      <c r="F134" s="62">
        <v>10471753</v>
      </c>
      <c r="G134" s="62">
        <v>8191458</v>
      </c>
      <c r="H134" s="47">
        <f>F134/G134*100</f>
        <v>127.83747411022554</v>
      </c>
      <c r="I134" s="96">
        <v>96078972</v>
      </c>
      <c r="J134" s="96">
        <v>79659077</v>
      </c>
      <c r="K134" s="47">
        <f>I134/J134*100</f>
        <v>120.61271058915233</v>
      </c>
      <c r="L134" s="96">
        <v>45506677</v>
      </c>
      <c r="M134" s="96">
        <v>35904728</v>
      </c>
      <c r="N134" s="47">
        <f>L134/M134*100</f>
        <v>126.74285403303989</v>
      </c>
      <c r="O134" s="253">
        <v>2948</v>
      </c>
      <c r="P134" s="62">
        <v>145</v>
      </c>
      <c r="Q134" s="253">
        <v>2945</v>
      </c>
      <c r="R134" s="45">
        <f t="shared" ref="R134:R138" si="64">O134*P134</f>
        <v>427460</v>
      </c>
    </row>
    <row r="135" spans="1:18" x14ac:dyDescent="0.25">
      <c r="A135" s="96">
        <v>2</v>
      </c>
      <c r="B135" s="78" t="s">
        <v>118</v>
      </c>
      <c r="C135" s="62">
        <v>22034840</v>
      </c>
      <c r="D135" s="62">
        <v>20198923</v>
      </c>
      <c r="E135" s="47">
        <f t="shared" si="63"/>
        <v>109.0891826262222</v>
      </c>
      <c r="F135" s="62">
        <v>2280453</v>
      </c>
      <c r="G135" s="62">
        <v>1894318</v>
      </c>
      <c r="H135" s="47">
        <f t="shared" ref="H135:H138" si="65">F135/G135*100</f>
        <v>120.38385318621265</v>
      </c>
      <c r="I135" s="96">
        <v>19532167</v>
      </c>
      <c r="J135" s="96">
        <v>17728569</v>
      </c>
      <c r="K135" s="47">
        <f t="shared" ref="K135:K138" si="66">I135/J135*100</f>
        <v>110.17339865389022</v>
      </c>
      <c r="L135" s="253">
        <v>19532167</v>
      </c>
      <c r="M135" s="253">
        <v>17728569</v>
      </c>
      <c r="N135" s="47">
        <f t="shared" ref="N135:N138" si="67">L135/M135*100</f>
        <v>110.17339865389022</v>
      </c>
      <c r="O135" s="253">
        <v>955</v>
      </c>
      <c r="P135" s="62">
        <v>120</v>
      </c>
      <c r="Q135" s="253">
        <v>940</v>
      </c>
      <c r="R135" s="45">
        <f t="shared" si="64"/>
        <v>114600</v>
      </c>
    </row>
    <row r="136" spans="1:18" s="66" customFormat="1" x14ac:dyDescent="0.25">
      <c r="A136" s="96">
        <v>3</v>
      </c>
      <c r="B136" s="78" t="s">
        <v>119</v>
      </c>
      <c r="C136" s="62">
        <v>19293971</v>
      </c>
      <c r="D136" s="62">
        <v>22221878</v>
      </c>
      <c r="E136" s="47">
        <f t="shared" si="63"/>
        <v>86.824214407081172</v>
      </c>
      <c r="F136" s="62">
        <v>1638906</v>
      </c>
      <c r="G136" s="62">
        <v>2163251</v>
      </c>
      <c r="H136" s="47">
        <f t="shared" si="65"/>
        <v>75.7612500814746</v>
      </c>
      <c r="I136" s="96">
        <v>17752506</v>
      </c>
      <c r="J136" s="96">
        <v>21525792</v>
      </c>
      <c r="K136" s="47">
        <f t="shared" si="66"/>
        <v>82.470861002466251</v>
      </c>
      <c r="L136" s="96">
        <f>1958616+15793891</f>
        <v>17752507</v>
      </c>
      <c r="M136" s="96">
        <v>21245287</v>
      </c>
      <c r="N136" s="47">
        <f t="shared" si="67"/>
        <v>83.559741979479966</v>
      </c>
      <c r="O136" s="253">
        <v>1210</v>
      </c>
      <c r="P136" s="76">
        <v>306</v>
      </c>
      <c r="Q136" s="253">
        <v>1205</v>
      </c>
      <c r="R136" s="45">
        <f t="shared" si="64"/>
        <v>370260</v>
      </c>
    </row>
    <row r="137" spans="1:18" x14ac:dyDescent="0.25">
      <c r="A137" s="96">
        <v>4</v>
      </c>
      <c r="B137" s="78" t="s">
        <v>120</v>
      </c>
      <c r="C137" s="76">
        <v>4288988</v>
      </c>
      <c r="D137" s="76">
        <v>5989452</v>
      </c>
      <c r="E137" s="47">
        <f t="shared" si="63"/>
        <v>71.60902199399878</v>
      </c>
      <c r="F137" s="253">
        <v>513862</v>
      </c>
      <c r="G137" s="253">
        <v>346886</v>
      </c>
      <c r="H137" s="47">
        <f t="shared" si="65"/>
        <v>148.1356987598231</v>
      </c>
      <c r="I137" s="253">
        <v>3991171</v>
      </c>
      <c r="J137" s="253">
        <v>5665642</v>
      </c>
      <c r="K137" s="47">
        <f t="shared" si="66"/>
        <v>70.445167555592121</v>
      </c>
      <c r="L137" s="253">
        <v>3991171</v>
      </c>
      <c r="M137" s="253">
        <v>5665642</v>
      </c>
      <c r="N137" s="47">
        <f t="shared" si="67"/>
        <v>70.445167555592121</v>
      </c>
      <c r="O137" s="253">
        <v>555</v>
      </c>
      <c r="P137" s="62">
        <v>150</v>
      </c>
      <c r="Q137" s="253">
        <v>557</v>
      </c>
      <c r="R137" s="45">
        <f t="shared" si="64"/>
        <v>83250</v>
      </c>
    </row>
    <row r="138" spans="1:18" x14ac:dyDescent="0.25">
      <c r="A138" s="96">
        <v>5</v>
      </c>
      <c r="B138" s="78" t="s">
        <v>203</v>
      </c>
      <c r="C138" s="253">
        <v>3876537</v>
      </c>
      <c r="D138" s="253">
        <v>369734</v>
      </c>
      <c r="E138" s="47">
        <f t="shared" si="63"/>
        <v>1048.4664650803011</v>
      </c>
      <c r="F138" s="253">
        <v>506803</v>
      </c>
      <c r="G138" s="253">
        <v>504987</v>
      </c>
      <c r="H138" s="47">
        <f t="shared" si="65"/>
        <v>100.35961321776601</v>
      </c>
      <c r="I138" s="253">
        <v>3566016</v>
      </c>
      <c r="J138" s="253">
        <v>2996072</v>
      </c>
      <c r="K138" s="47">
        <f t="shared" si="66"/>
        <v>119.02304083479969</v>
      </c>
      <c r="L138" s="263">
        <v>3566016</v>
      </c>
      <c r="M138" s="263">
        <v>2996072</v>
      </c>
      <c r="N138" s="47">
        <f t="shared" si="67"/>
        <v>119.02304083479969</v>
      </c>
      <c r="O138" s="253">
        <v>386</v>
      </c>
      <c r="P138" s="44"/>
      <c r="Q138" s="253">
        <v>386</v>
      </c>
      <c r="R138" s="45">
        <f t="shared" si="64"/>
        <v>0</v>
      </c>
    </row>
    <row r="139" spans="1:18" s="60" customFormat="1" x14ac:dyDescent="0.25">
      <c r="A139" s="315" t="s">
        <v>207</v>
      </c>
      <c r="B139" s="315" t="s">
        <v>133</v>
      </c>
      <c r="C139" s="58">
        <f>SUM(C134:C138)</f>
        <v>148012811</v>
      </c>
      <c r="D139" s="58">
        <f>SUM(D134:D138)</f>
        <v>133493281</v>
      </c>
      <c r="E139" s="57">
        <f>C139/D139*100</f>
        <v>110.87659984924633</v>
      </c>
      <c r="F139" s="58">
        <f t="shared" ref="F139:G139" si="68">SUM(F134:F138)</f>
        <v>15411777</v>
      </c>
      <c r="G139" s="58">
        <f t="shared" si="68"/>
        <v>13100900</v>
      </c>
      <c r="H139" s="57">
        <f>F139/G139*100</f>
        <v>117.63907059820318</v>
      </c>
      <c r="I139" s="58">
        <f t="shared" ref="I139" si="69">SUM(I134:I138)</f>
        <v>140920832</v>
      </c>
      <c r="J139" s="58">
        <f t="shared" ref="J139" si="70">SUM(J134:J138)</f>
        <v>127575152</v>
      </c>
      <c r="K139" s="57">
        <f>I139/J139*100</f>
        <v>110.46103397940689</v>
      </c>
      <c r="L139" s="58">
        <f t="shared" ref="L139:M139" si="71">SUM(L134:L138)</f>
        <v>90348538</v>
      </c>
      <c r="M139" s="58">
        <f t="shared" si="71"/>
        <v>83540298</v>
      </c>
      <c r="N139" s="57">
        <f>L139/M139*100</f>
        <v>108.1496477304881</v>
      </c>
      <c r="O139" s="58">
        <f t="shared" ref="O139" si="72">SUM(O134:O138)</f>
        <v>6054</v>
      </c>
      <c r="P139" s="58">
        <f>R139/O139</f>
        <v>164.44829864552361</v>
      </c>
      <c r="Q139" s="58">
        <f t="shared" ref="Q139:R139" si="73">SUM(Q134:Q138)</f>
        <v>6033</v>
      </c>
      <c r="R139" s="58">
        <f t="shared" si="73"/>
        <v>995570</v>
      </c>
    </row>
    <row r="140" spans="1:18" s="208" customFormat="1" x14ac:dyDescent="0.25">
      <c r="A140" s="203"/>
      <c r="B140" s="203"/>
      <c r="C140" s="204"/>
      <c r="D140" s="204"/>
      <c r="E140" s="205"/>
      <c r="F140" s="206"/>
      <c r="G140" s="206"/>
      <c r="H140" s="205"/>
      <c r="I140" s="206"/>
      <c r="J140" s="206"/>
      <c r="K140" s="205"/>
      <c r="L140" s="206"/>
      <c r="M140" s="206"/>
      <c r="N140" s="205"/>
      <c r="O140" s="206"/>
      <c r="P140" s="204"/>
      <c r="Q140" s="206"/>
      <c r="R140" s="207"/>
    </row>
    <row r="141" spans="1:18" s="208" customFormat="1" x14ac:dyDescent="0.25">
      <c r="A141" s="203"/>
      <c r="B141" s="203" t="s">
        <v>204</v>
      </c>
      <c r="C141" s="37">
        <v>3</v>
      </c>
      <c r="D141" s="37">
        <v>4</v>
      </c>
      <c r="E141" s="256">
        <v>5</v>
      </c>
      <c r="F141" s="37">
        <v>6</v>
      </c>
      <c r="G141" s="37">
        <v>7</v>
      </c>
      <c r="H141" s="37">
        <v>8</v>
      </c>
      <c r="I141" s="37">
        <v>9</v>
      </c>
      <c r="J141" s="37">
        <v>10</v>
      </c>
      <c r="K141" s="37">
        <v>11</v>
      </c>
      <c r="L141" s="37">
        <v>12</v>
      </c>
      <c r="M141" s="37">
        <v>13</v>
      </c>
      <c r="N141" s="37">
        <v>14</v>
      </c>
      <c r="O141" s="37">
        <v>15</v>
      </c>
      <c r="P141" s="256">
        <v>16</v>
      </c>
      <c r="Q141" s="37">
        <v>15</v>
      </c>
      <c r="R141" s="207"/>
    </row>
    <row r="142" spans="1:18" x14ac:dyDescent="0.25">
      <c r="A142" s="96">
        <v>6</v>
      </c>
      <c r="B142" s="78" t="s">
        <v>122</v>
      </c>
      <c r="C142" s="62">
        <v>17270374</v>
      </c>
      <c r="D142" s="62">
        <v>17316174</v>
      </c>
      <c r="E142" s="47">
        <f t="shared" ref="E142:E147" si="74">C142/D142*100</f>
        <v>99.735507393261344</v>
      </c>
      <c r="F142" s="62">
        <v>1723349</v>
      </c>
      <c r="G142" s="62">
        <v>1698240</v>
      </c>
      <c r="H142" s="47">
        <f t="shared" ref="H142:H147" si="75">F142/G142*100</f>
        <v>101.47853071415112</v>
      </c>
      <c r="I142" s="96">
        <v>16875816</v>
      </c>
      <c r="J142" s="96">
        <v>16921605</v>
      </c>
      <c r="K142" s="47">
        <f t="shared" ref="K142:K147" si="76">I142/J142*100</f>
        <v>99.72940510075729</v>
      </c>
      <c r="L142" s="96">
        <v>0</v>
      </c>
      <c r="M142" s="96">
        <v>0</v>
      </c>
      <c r="N142" s="47" t="e">
        <f>L142/M142*100</f>
        <v>#DIV/0!</v>
      </c>
      <c r="O142" s="253">
        <v>478</v>
      </c>
      <c r="P142" s="76">
        <v>150</v>
      </c>
      <c r="Q142" s="253">
        <v>472</v>
      </c>
      <c r="R142" s="45">
        <f t="shared" ref="R142:R148" si="77">O142*P142</f>
        <v>71700</v>
      </c>
    </row>
    <row r="143" spans="1:18" x14ac:dyDescent="0.25">
      <c r="A143" s="96">
        <v>10</v>
      </c>
      <c r="B143" s="78" t="s">
        <v>126</v>
      </c>
      <c r="C143" s="76">
        <v>35215516</v>
      </c>
      <c r="D143" s="76">
        <v>35911928</v>
      </c>
      <c r="E143" s="47">
        <f t="shared" si="74"/>
        <v>98.060778023391009</v>
      </c>
      <c r="F143" s="76">
        <v>3490004</v>
      </c>
      <c r="G143" s="76">
        <v>3276937</v>
      </c>
      <c r="H143" s="47">
        <f t="shared" si="75"/>
        <v>106.5020169749983</v>
      </c>
      <c r="I143" s="253">
        <v>35129079</v>
      </c>
      <c r="J143" s="253">
        <v>36499310</v>
      </c>
      <c r="K143" s="47">
        <f t="shared" si="76"/>
        <v>96.245871497296804</v>
      </c>
      <c r="L143" s="253">
        <v>35012161</v>
      </c>
      <c r="M143" s="253">
        <v>36445755</v>
      </c>
      <c r="N143" s="47">
        <f>L143/M143*100</f>
        <v>96.066499376950759</v>
      </c>
      <c r="O143" s="253">
        <v>676</v>
      </c>
      <c r="P143" s="62">
        <v>134</v>
      </c>
      <c r="Q143" s="253">
        <v>669</v>
      </c>
      <c r="R143" s="45">
        <f t="shared" si="77"/>
        <v>90584</v>
      </c>
    </row>
    <row r="144" spans="1:18" x14ac:dyDescent="0.25">
      <c r="A144" s="96">
        <v>11</v>
      </c>
      <c r="B144" s="78" t="s">
        <v>127</v>
      </c>
      <c r="C144" s="62">
        <v>24849569</v>
      </c>
      <c r="D144" s="62">
        <v>25515946</v>
      </c>
      <c r="E144" s="47">
        <f t="shared" si="74"/>
        <v>97.388389989538311</v>
      </c>
      <c r="F144" s="253">
        <v>2174851</v>
      </c>
      <c r="G144" s="253">
        <v>2422042</v>
      </c>
      <c r="H144" s="47">
        <f t="shared" si="75"/>
        <v>89.794107616630924</v>
      </c>
      <c r="I144" s="253">
        <v>24399683</v>
      </c>
      <c r="J144" s="253">
        <v>24775384</v>
      </c>
      <c r="K144" s="47">
        <f t="shared" si="76"/>
        <v>98.483571435260103</v>
      </c>
      <c r="L144" s="253">
        <v>24399683</v>
      </c>
      <c r="M144" s="253">
        <v>24775384</v>
      </c>
      <c r="N144" s="47">
        <f>L144/M144*100</f>
        <v>98.483571435260103</v>
      </c>
      <c r="O144" s="253">
        <v>561</v>
      </c>
      <c r="P144" s="62">
        <v>180</v>
      </c>
      <c r="Q144" s="253">
        <v>564</v>
      </c>
      <c r="R144" s="45">
        <f t="shared" si="77"/>
        <v>100980</v>
      </c>
    </row>
    <row r="145" spans="1:18" x14ac:dyDescent="0.25">
      <c r="A145" s="96">
        <v>14</v>
      </c>
      <c r="B145" s="78" t="s">
        <v>130</v>
      </c>
      <c r="C145" s="76">
        <v>3396220</v>
      </c>
      <c r="D145" s="76">
        <v>2275475</v>
      </c>
      <c r="E145" s="47">
        <f t="shared" si="74"/>
        <v>149.25323284149462</v>
      </c>
      <c r="F145" s="96">
        <v>370922</v>
      </c>
      <c r="G145" s="96">
        <v>244955</v>
      </c>
      <c r="H145" s="47">
        <f t="shared" si="75"/>
        <v>151.4245473658427</v>
      </c>
      <c r="I145" s="96">
        <v>3465180</v>
      </c>
      <c r="J145" s="96">
        <v>2338961</v>
      </c>
      <c r="K145" s="47">
        <f t="shared" si="76"/>
        <v>148.15039669323261</v>
      </c>
      <c r="L145" s="96">
        <v>0</v>
      </c>
      <c r="M145" s="96">
        <v>0</v>
      </c>
      <c r="N145" s="47">
        <v>0</v>
      </c>
      <c r="O145" s="253">
        <v>314</v>
      </c>
      <c r="P145" s="76">
        <v>58</v>
      </c>
      <c r="Q145" s="253">
        <v>311</v>
      </c>
      <c r="R145" s="45">
        <f t="shared" si="77"/>
        <v>18212</v>
      </c>
    </row>
    <row r="146" spans="1:18" s="66" customFormat="1" x14ac:dyDescent="0.25">
      <c r="A146" s="96">
        <v>9</v>
      </c>
      <c r="B146" s="78" t="s">
        <v>125</v>
      </c>
      <c r="C146" s="76">
        <v>24816013</v>
      </c>
      <c r="D146" s="76">
        <v>18918767</v>
      </c>
      <c r="E146" s="47">
        <f t="shared" si="74"/>
        <v>131.17140773497553</v>
      </c>
      <c r="F146" s="253">
        <v>2165909</v>
      </c>
      <c r="G146" s="253">
        <v>2456856</v>
      </c>
      <c r="H146" s="47">
        <f t="shared" si="75"/>
        <v>88.157751207233957</v>
      </c>
      <c r="I146" s="265">
        <v>25459380</v>
      </c>
      <c r="J146" s="265">
        <v>18403363</v>
      </c>
      <c r="K146" s="47">
        <f t="shared" si="76"/>
        <v>138.3409108433062</v>
      </c>
      <c r="L146" s="265">
        <v>25459380</v>
      </c>
      <c r="M146" s="265">
        <v>18403363</v>
      </c>
      <c r="N146" s="47">
        <f>L146/M146*100</f>
        <v>138.3409108433062</v>
      </c>
      <c r="O146" s="253">
        <v>910</v>
      </c>
      <c r="P146" s="62">
        <v>100</v>
      </c>
      <c r="Q146" s="253">
        <v>912</v>
      </c>
      <c r="R146" s="45">
        <f>O146*P146</f>
        <v>91000</v>
      </c>
    </row>
    <row r="147" spans="1:18" x14ac:dyDescent="0.25">
      <c r="A147" s="96">
        <v>15</v>
      </c>
      <c r="B147" s="78" t="s">
        <v>131</v>
      </c>
      <c r="C147" s="62">
        <v>27095823</v>
      </c>
      <c r="D147" s="62">
        <v>27251807</v>
      </c>
      <c r="E147" s="47">
        <f t="shared" si="74"/>
        <v>99.427619607022748</v>
      </c>
      <c r="F147" s="253">
        <v>2881621</v>
      </c>
      <c r="G147" s="253">
        <v>2968773</v>
      </c>
      <c r="H147" s="47">
        <f t="shared" si="75"/>
        <v>97.064376427567893</v>
      </c>
      <c r="I147" s="253">
        <v>26350200</v>
      </c>
      <c r="J147" s="253">
        <v>26709027</v>
      </c>
      <c r="K147" s="47">
        <f t="shared" si="76"/>
        <v>98.656532864338345</v>
      </c>
      <c r="L147" s="253">
        <v>26265304</v>
      </c>
      <c r="M147" s="253">
        <v>26618436</v>
      </c>
      <c r="N147" s="47">
        <f>L147/M147*100</f>
        <v>98.673355564541808</v>
      </c>
      <c r="O147" s="253">
        <v>646</v>
      </c>
      <c r="P147" s="62">
        <v>130</v>
      </c>
      <c r="Q147" s="253">
        <v>646</v>
      </c>
      <c r="R147" s="45">
        <f t="shared" si="77"/>
        <v>83980</v>
      </c>
    </row>
    <row r="148" spans="1:18" x14ac:dyDescent="0.25">
      <c r="A148" s="96">
        <v>13</v>
      </c>
      <c r="B148" s="78" t="s">
        <v>129</v>
      </c>
      <c r="C148" s="260">
        <v>0</v>
      </c>
      <c r="D148" s="260">
        <v>0</v>
      </c>
      <c r="E148" s="47">
        <v>0</v>
      </c>
      <c r="F148" s="260">
        <v>0</v>
      </c>
      <c r="G148" s="260">
        <v>0</v>
      </c>
      <c r="H148" s="43">
        <v>0</v>
      </c>
      <c r="I148" s="260">
        <v>0</v>
      </c>
      <c r="J148" s="260">
        <v>0</v>
      </c>
      <c r="K148" s="43">
        <v>0</v>
      </c>
      <c r="L148" s="260">
        <v>0</v>
      </c>
      <c r="M148" s="260">
        <v>0</v>
      </c>
      <c r="N148" s="47">
        <v>0</v>
      </c>
      <c r="O148" s="260">
        <v>0</v>
      </c>
      <c r="P148" s="44">
        <v>0</v>
      </c>
      <c r="Q148" s="260">
        <v>0</v>
      </c>
      <c r="R148" s="45">
        <f t="shared" si="77"/>
        <v>0</v>
      </c>
    </row>
    <row r="149" spans="1:18" s="60" customFormat="1" x14ac:dyDescent="0.25">
      <c r="A149" s="315" t="s">
        <v>205</v>
      </c>
      <c r="B149" s="315" t="s">
        <v>133</v>
      </c>
      <c r="C149" s="58">
        <f>SUM(C142:C148)</f>
        <v>132643515</v>
      </c>
      <c r="D149" s="58">
        <f>SUM(D142:D148)</f>
        <v>127190097</v>
      </c>
      <c r="E149" s="57">
        <f>C149/D149*100</f>
        <v>104.28761210866912</v>
      </c>
      <c r="F149" s="58">
        <f>SUM(F142:F148)</f>
        <v>12806656</v>
      </c>
      <c r="G149" s="58">
        <f>SUM(G142:G148)</f>
        <v>13067803</v>
      </c>
      <c r="H149" s="57">
        <f>F149/G149*100</f>
        <v>98.001599809853275</v>
      </c>
      <c r="I149" s="58">
        <f>SUM(I142:I148)</f>
        <v>131679338</v>
      </c>
      <c r="J149" s="58">
        <f>SUM(J142:J148)</f>
        <v>125647650</v>
      </c>
      <c r="K149" s="57">
        <f>I149/J149*100</f>
        <v>104.80047816254424</v>
      </c>
      <c r="L149" s="58">
        <f>SUM(L142:L148)</f>
        <v>111136528</v>
      </c>
      <c r="M149" s="58">
        <f>SUM(M142:M148)</f>
        <v>106242938</v>
      </c>
      <c r="N149" s="57">
        <f>L149/M149*100</f>
        <v>104.60603790907965</v>
      </c>
      <c r="O149" s="56">
        <f>SUM(O142:O148)</f>
        <v>3585</v>
      </c>
      <c r="P149" s="58">
        <f>R149/O149</f>
        <v>127.32384937238494</v>
      </c>
      <c r="Q149" s="56">
        <f>SUM(Q142:Q148)</f>
        <v>3574</v>
      </c>
      <c r="R149" s="59">
        <f>SUM(R142:R148)</f>
        <v>456456</v>
      </c>
    </row>
    <row r="150" spans="1:18" s="211" customFormat="1" x14ac:dyDescent="0.25">
      <c r="A150" s="353" t="s">
        <v>206</v>
      </c>
      <c r="B150" s="353" t="s">
        <v>70</v>
      </c>
      <c r="C150" s="209">
        <f>C139+C149</f>
        <v>280656326</v>
      </c>
      <c r="D150" s="209">
        <f>D139+D149</f>
        <v>260683378</v>
      </c>
      <c r="E150" s="210">
        <f>C150/D150*100</f>
        <v>107.66176507042194</v>
      </c>
      <c r="F150" s="209">
        <f>F139+F149</f>
        <v>28218433</v>
      </c>
      <c r="G150" s="209">
        <f>G139+G149</f>
        <v>26168703</v>
      </c>
      <c r="H150" s="210">
        <f>F150/G150*100</f>
        <v>107.83275349947607</v>
      </c>
      <c r="I150" s="209">
        <f>I139+I149</f>
        <v>272600170</v>
      </c>
      <c r="J150" s="209">
        <f>J139+J149</f>
        <v>253222802</v>
      </c>
      <c r="K150" s="210">
        <f>I150/J150*100</f>
        <v>107.65229981145221</v>
      </c>
      <c r="L150" s="209">
        <f>L139+L149</f>
        <v>201485066</v>
      </c>
      <c r="M150" s="209">
        <f>M139+M149</f>
        <v>189783236</v>
      </c>
      <c r="N150" s="210">
        <f>L150/M150*100</f>
        <v>106.1658923341364</v>
      </c>
      <c r="O150" s="209">
        <f>O139+O149</f>
        <v>9639</v>
      </c>
      <c r="P150" s="210">
        <f>R150/O150</f>
        <v>150.64073036622057</v>
      </c>
      <c r="Q150" s="209">
        <f>Q139+Q149</f>
        <v>9607</v>
      </c>
      <c r="R150" s="209">
        <f>R139+R149</f>
        <v>1452026</v>
      </c>
    </row>
    <row r="151" spans="1:18" s="208" customFormat="1" x14ac:dyDescent="0.25">
      <c r="A151" s="203"/>
      <c r="B151" s="203"/>
      <c r="C151" s="204"/>
      <c r="D151" s="204"/>
      <c r="E151" s="205"/>
      <c r="F151" s="206"/>
      <c r="G151" s="206"/>
      <c r="H151" s="205"/>
      <c r="I151" s="206"/>
      <c r="J151" s="206"/>
      <c r="K151" s="205"/>
      <c r="L151" s="206"/>
      <c r="M151" s="206"/>
      <c r="N151" s="205"/>
      <c r="O151" s="206"/>
      <c r="P151" s="204"/>
      <c r="Q151" s="206"/>
      <c r="R151" s="207"/>
    </row>
    <row r="152" spans="1:18" x14ac:dyDescent="0.25">
      <c r="A152" s="23"/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31"/>
    </row>
    <row r="153" spans="1:18" x14ac:dyDescent="0.25">
      <c r="A153" s="99"/>
      <c r="B153" s="99" t="s">
        <v>13</v>
      </c>
      <c r="C153" s="37">
        <v>3</v>
      </c>
      <c r="D153" s="37">
        <v>4</v>
      </c>
      <c r="E153" s="256">
        <v>5</v>
      </c>
      <c r="F153" s="37">
        <v>6</v>
      </c>
      <c r="G153" s="37">
        <v>7</v>
      </c>
      <c r="H153" s="37">
        <v>8</v>
      </c>
      <c r="I153" s="37">
        <v>9</v>
      </c>
      <c r="J153" s="37">
        <v>10</v>
      </c>
      <c r="K153" s="37">
        <v>11</v>
      </c>
      <c r="L153" s="37">
        <v>12</v>
      </c>
      <c r="M153" s="37">
        <v>13</v>
      </c>
      <c r="N153" s="37">
        <v>14</v>
      </c>
      <c r="O153" s="37">
        <v>15</v>
      </c>
      <c r="P153" s="256">
        <v>16</v>
      </c>
      <c r="Q153" s="37">
        <v>15</v>
      </c>
      <c r="R153" s="100"/>
    </row>
    <row r="154" spans="1:18" x14ac:dyDescent="0.25">
      <c r="A154" s="96">
        <v>1</v>
      </c>
      <c r="B154" s="84" t="s">
        <v>134</v>
      </c>
      <c r="C154" s="96">
        <v>57489</v>
      </c>
      <c r="D154" s="96">
        <v>99594</v>
      </c>
      <c r="E154" s="47">
        <f>C154/D154*100</f>
        <v>57.723356828724626</v>
      </c>
      <c r="F154" s="34">
        <v>5095</v>
      </c>
      <c r="G154" s="96">
        <v>13106</v>
      </c>
      <c r="H154" s="47">
        <f>F154/G154*100</f>
        <v>38.875324278956199</v>
      </c>
      <c r="I154" s="96">
        <v>57489</v>
      </c>
      <c r="J154" s="96">
        <v>99594</v>
      </c>
      <c r="K154" s="47">
        <f t="shared" ref="K154:K158" si="78">I154/J154*100</f>
        <v>57.723356828724626</v>
      </c>
      <c r="L154" s="96">
        <v>0</v>
      </c>
      <c r="M154" s="96">
        <v>0</v>
      </c>
      <c r="N154" s="47">
        <v>0</v>
      </c>
      <c r="O154" s="96">
        <v>58</v>
      </c>
      <c r="P154" s="76">
        <v>72</v>
      </c>
      <c r="Q154" s="96">
        <v>60</v>
      </c>
      <c r="R154" s="45">
        <f t="shared" ref="R154:R158" si="79">O154*P154</f>
        <v>4176</v>
      </c>
    </row>
    <row r="155" spans="1:18" s="66" customFormat="1" x14ac:dyDescent="0.25">
      <c r="A155" s="96">
        <v>2</v>
      </c>
      <c r="B155" s="84" t="s">
        <v>135</v>
      </c>
      <c r="C155" s="51">
        <v>4724887</v>
      </c>
      <c r="D155" s="51">
        <v>5239961</v>
      </c>
      <c r="E155" s="47">
        <f t="shared" ref="E155:E158" si="80">C155/D155*100</f>
        <v>90.170270351248789</v>
      </c>
      <c r="F155" s="51">
        <v>706643</v>
      </c>
      <c r="G155" s="51">
        <v>615122</v>
      </c>
      <c r="H155" s="47">
        <f t="shared" ref="H155:H158" si="81">F155/G155*100</f>
        <v>114.87851190495545</v>
      </c>
      <c r="I155" s="51">
        <v>4869271</v>
      </c>
      <c r="J155" s="51">
        <v>5312487</v>
      </c>
      <c r="K155" s="47">
        <f t="shared" si="78"/>
        <v>91.657090172644189</v>
      </c>
      <c r="L155" s="51">
        <v>1458182</v>
      </c>
      <c r="M155" s="51">
        <v>2122782</v>
      </c>
      <c r="N155" s="47">
        <f t="shared" ref="N155:N157" si="82">L155/M155*100</f>
        <v>68.692027725880465</v>
      </c>
      <c r="O155" s="96">
        <v>520</v>
      </c>
      <c r="P155" s="76">
        <v>110</v>
      </c>
      <c r="Q155" s="96">
        <v>518</v>
      </c>
      <c r="R155" s="45">
        <f t="shared" si="79"/>
        <v>57200</v>
      </c>
    </row>
    <row r="156" spans="1:18" x14ac:dyDescent="0.25">
      <c r="A156" s="96">
        <v>3</v>
      </c>
      <c r="B156" s="84" t="s">
        <v>136</v>
      </c>
      <c r="C156" s="260">
        <v>0</v>
      </c>
      <c r="D156" s="260">
        <v>0</v>
      </c>
      <c r="E156" s="47">
        <v>0</v>
      </c>
      <c r="F156" s="260">
        <v>0</v>
      </c>
      <c r="G156" s="260">
        <v>0</v>
      </c>
      <c r="H156" s="43">
        <v>0</v>
      </c>
      <c r="I156" s="260">
        <v>0</v>
      </c>
      <c r="J156" s="260">
        <v>0</v>
      </c>
      <c r="K156" s="43">
        <v>0</v>
      </c>
      <c r="L156" s="260">
        <v>0</v>
      </c>
      <c r="M156" s="260">
        <v>0</v>
      </c>
      <c r="N156" s="47">
        <v>0</v>
      </c>
      <c r="O156" s="260">
        <v>0</v>
      </c>
      <c r="P156" s="44">
        <v>0</v>
      </c>
      <c r="Q156" s="260">
        <v>0</v>
      </c>
      <c r="R156" s="45">
        <f t="shared" si="79"/>
        <v>0</v>
      </c>
    </row>
    <row r="157" spans="1:18" x14ac:dyDescent="0.25">
      <c r="A157" s="96">
        <v>4</v>
      </c>
      <c r="B157" s="84" t="s">
        <v>137</v>
      </c>
      <c r="C157" s="96">
        <v>2638044</v>
      </c>
      <c r="D157" s="96">
        <v>2946709</v>
      </c>
      <c r="E157" s="47">
        <f t="shared" si="80"/>
        <v>89.525093926818016</v>
      </c>
      <c r="F157" s="96">
        <v>258831</v>
      </c>
      <c r="G157" s="101">
        <v>342563</v>
      </c>
      <c r="H157" s="47">
        <f t="shared" si="81"/>
        <v>75.557196778402798</v>
      </c>
      <c r="I157" s="101">
        <v>2956999</v>
      </c>
      <c r="J157" s="101">
        <v>2573929</v>
      </c>
      <c r="K157" s="47">
        <f t="shared" ref="K157" si="83">I157/J157*100</f>
        <v>114.88269489950966</v>
      </c>
      <c r="L157" s="101">
        <v>1859579</v>
      </c>
      <c r="M157" s="101">
        <v>665558</v>
      </c>
      <c r="N157" s="47">
        <f t="shared" si="82"/>
        <v>279.40149468566227</v>
      </c>
      <c r="O157" s="96">
        <v>289</v>
      </c>
      <c r="P157" s="76">
        <v>80</v>
      </c>
      <c r="Q157" s="96">
        <v>295</v>
      </c>
      <c r="R157" s="45">
        <f t="shared" si="79"/>
        <v>23120</v>
      </c>
    </row>
    <row r="158" spans="1:18" x14ac:dyDescent="0.25">
      <c r="A158" s="96">
        <v>5</v>
      </c>
      <c r="B158" s="84" t="s">
        <v>138</v>
      </c>
      <c r="C158" s="96">
        <v>2360611</v>
      </c>
      <c r="D158" s="96">
        <v>3295712</v>
      </c>
      <c r="E158" s="47">
        <f t="shared" si="80"/>
        <v>71.626738015943133</v>
      </c>
      <c r="F158" s="96">
        <v>51667</v>
      </c>
      <c r="G158" s="96">
        <v>226714</v>
      </c>
      <c r="H158" s="47">
        <f t="shared" si="81"/>
        <v>22.789505720864174</v>
      </c>
      <c r="I158" s="96">
        <v>2347982</v>
      </c>
      <c r="J158" s="96">
        <v>3547060</v>
      </c>
      <c r="K158" s="47">
        <f t="shared" si="78"/>
        <v>66.195158807575851</v>
      </c>
      <c r="L158" s="96">
        <v>0</v>
      </c>
      <c r="M158" s="96">
        <v>0</v>
      </c>
      <c r="N158" s="47">
        <v>0</v>
      </c>
      <c r="O158" s="96">
        <v>422</v>
      </c>
      <c r="P158" s="76">
        <v>51</v>
      </c>
      <c r="Q158" s="96">
        <v>424</v>
      </c>
      <c r="R158" s="45">
        <f t="shared" si="79"/>
        <v>21522</v>
      </c>
    </row>
    <row r="159" spans="1:18" s="60" customFormat="1" x14ac:dyDescent="0.25">
      <c r="A159" s="315" t="s">
        <v>174</v>
      </c>
      <c r="B159" s="315" t="s">
        <v>139</v>
      </c>
      <c r="C159" s="56">
        <f>SUM(C154:C158)</f>
        <v>9781031</v>
      </c>
      <c r="D159" s="56">
        <f>SUM(D154:D158)</f>
        <v>11581976</v>
      </c>
      <c r="E159" s="57">
        <f>C159/D159*100</f>
        <v>84.450451287414168</v>
      </c>
      <c r="F159" s="56">
        <f>SUM(F154:F158)</f>
        <v>1022236</v>
      </c>
      <c r="G159" s="56">
        <f>SUM(G154:G158)</f>
        <v>1197505</v>
      </c>
      <c r="H159" s="57">
        <f>F159/G159*100</f>
        <v>85.363818940213193</v>
      </c>
      <c r="I159" s="56">
        <f>SUM(I154:I158)</f>
        <v>10231741</v>
      </c>
      <c r="J159" s="56">
        <f>SUM(J154:J158)</f>
        <v>11533070</v>
      </c>
      <c r="K159" s="57">
        <f>I159/J159*100</f>
        <v>88.716542949969096</v>
      </c>
      <c r="L159" s="56">
        <f>SUM(L154:L158)</f>
        <v>3317761</v>
      </c>
      <c r="M159" s="56">
        <f>SUM(M154:M158)</f>
        <v>2788340</v>
      </c>
      <c r="N159" s="57">
        <f>L159/M159*100</f>
        <v>118.98695998335927</v>
      </c>
      <c r="O159" s="56">
        <f>SUM(O154:O158)</f>
        <v>1289</v>
      </c>
      <c r="P159" s="57">
        <f>R159/O159</f>
        <v>82.248254460822338</v>
      </c>
      <c r="Q159" s="56">
        <f>SUM(Q154:Q158)</f>
        <v>1297</v>
      </c>
      <c r="R159" s="59">
        <f>SUM(R154:R158)</f>
        <v>106018</v>
      </c>
    </row>
    <row r="160" spans="1:18" x14ac:dyDescent="0.25">
      <c r="A160" s="102"/>
      <c r="B160" s="103"/>
      <c r="C160" s="104"/>
      <c r="D160" s="104"/>
      <c r="E160" s="105"/>
      <c r="F160" s="104"/>
      <c r="G160" s="104"/>
      <c r="H160" s="105"/>
      <c r="I160" s="104"/>
      <c r="J160" s="104"/>
      <c r="K160" s="105"/>
      <c r="L160" s="104"/>
      <c r="M160" s="176"/>
      <c r="N160" s="177"/>
      <c r="O160" s="176"/>
      <c r="P160" s="104"/>
      <c r="Q160" s="176"/>
      <c r="R160" s="106"/>
    </row>
    <row r="161" spans="1:18" x14ac:dyDescent="0.25">
      <c r="A161" s="350" t="s">
        <v>177</v>
      </c>
      <c r="B161" s="350"/>
      <c r="C161" s="37">
        <v>3</v>
      </c>
      <c r="D161" s="37">
        <v>4</v>
      </c>
      <c r="E161" s="256">
        <v>5</v>
      </c>
      <c r="F161" s="37">
        <v>6</v>
      </c>
      <c r="G161" s="37">
        <v>7</v>
      </c>
      <c r="H161" s="37">
        <v>8</v>
      </c>
      <c r="I161" s="37">
        <v>9</v>
      </c>
      <c r="J161" s="37">
        <v>10</v>
      </c>
      <c r="K161" s="37">
        <v>11</v>
      </c>
      <c r="L161" s="37">
        <v>12</v>
      </c>
      <c r="M161" s="37">
        <v>13</v>
      </c>
      <c r="N161" s="37">
        <v>14</v>
      </c>
      <c r="O161" s="37">
        <v>15</v>
      </c>
      <c r="P161" s="256">
        <v>16</v>
      </c>
      <c r="Q161" s="37">
        <v>15</v>
      </c>
      <c r="R161" s="45"/>
    </row>
    <row r="162" spans="1:18" x14ac:dyDescent="0.25">
      <c r="A162" s="253">
        <v>1</v>
      </c>
      <c r="B162" s="78" t="s">
        <v>191</v>
      </c>
      <c r="C162" s="253">
        <v>1055061</v>
      </c>
      <c r="D162" s="253">
        <v>556963</v>
      </c>
      <c r="E162" s="47">
        <f>C162/D162*100</f>
        <v>189.43107531380002</v>
      </c>
      <c r="F162" s="253">
        <v>155295</v>
      </c>
      <c r="G162" s="253">
        <v>34388</v>
      </c>
      <c r="H162" s="47">
        <f>F162/G162*100</f>
        <v>451.59648714667907</v>
      </c>
      <c r="I162" s="253">
        <v>953838</v>
      </c>
      <c r="J162" s="253">
        <v>489390</v>
      </c>
      <c r="K162" s="47">
        <f>I162/J162*100</f>
        <v>194.90345123521118</v>
      </c>
      <c r="L162" s="253">
        <f>158515+133252</f>
        <v>291767</v>
      </c>
      <c r="M162" s="253">
        <f>98309+9427</f>
        <v>107736</v>
      </c>
      <c r="N162" s="47">
        <f t="shared" ref="N162" si="84">L162/M162*100</f>
        <v>270.8166258260934</v>
      </c>
      <c r="O162" s="253">
        <v>53</v>
      </c>
      <c r="P162" s="253">
        <v>71</v>
      </c>
      <c r="Q162" s="253">
        <v>60</v>
      </c>
      <c r="R162" s="45">
        <f>O162*P162</f>
        <v>3763</v>
      </c>
    </row>
    <row r="163" spans="1:18" x14ac:dyDescent="0.25">
      <c r="A163" s="253">
        <v>2</v>
      </c>
      <c r="B163" s="146" t="s">
        <v>192</v>
      </c>
      <c r="C163" s="253">
        <v>1109533</v>
      </c>
      <c r="D163" s="253">
        <v>0</v>
      </c>
      <c r="E163" s="47">
        <v>0</v>
      </c>
      <c r="F163" s="253">
        <v>122989</v>
      </c>
      <c r="G163" s="253">
        <v>0</v>
      </c>
      <c r="H163" s="47">
        <v>0</v>
      </c>
      <c r="I163" s="253">
        <v>1169918</v>
      </c>
      <c r="J163" s="253">
        <v>0</v>
      </c>
      <c r="K163" s="47">
        <v>0</v>
      </c>
      <c r="L163" s="253">
        <v>17776</v>
      </c>
      <c r="M163" s="253">
        <v>0</v>
      </c>
      <c r="N163" s="34">
        <v>0</v>
      </c>
      <c r="O163" s="253">
        <v>30</v>
      </c>
      <c r="P163" s="253">
        <v>85</v>
      </c>
      <c r="Q163" s="253">
        <v>30</v>
      </c>
      <c r="R163" s="45">
        <f>O163*P163</f>
        <v>2550</v>
      </c>
    </row>
    <row r="164" spans="1:18" x14ac:dyDescent="0.25">
      <c r="A164" s="253">
        <v>3</v>
      </c>
      <c r="B164" s="146" t="s">
        <v>193</v>
      </c>
      <c r="C164" s="253">
        <v>1945195</v>
      </c>
      <c r="D164" s="253">
        <v>1722979</v>
      </c>
      <c r="E164" s="47">
        <f>C164/D164*100</f>
        <v>112.89719723803945</v>
      </c>
      <c r="F164" s="253">
        <v>269666</v>
      </c>
      <c r="G164" s="253">
        <v>150867</v>
      </c>
      <c r="H164" s="47">
        <f>F164/G164*100</f>
        <v>178.74419190412746</v>
      </c>
      <c r="I164" s="253">
        <v>1702472</v>
      </c>
      <c r="J164" s="253">
        <v>1489734</v>
      </c>
      <c r="K164" s="47">
        <f>I164/J164*100</f>
        <v>114.28026748399378</v>
      </c>
      <c r="L164" s="253">
        <v>0</v>
      </c>
      <c r="M164" s="253">
        <v>0</v>
      </c>
      <c r="N164" s="34">
        <v>0</v>
      </c>
      <c r="O164" s="253">
        <v>481</v>
      </c>
      <c r="P164" s="253">
        <v>100</v>
      </c>
      <c r="Q164" s="253">
        <v>481</v>
      </c>
      <c r="R164" s="45">
        <f>O164*P164</f>
        <v>48100</v>
      </c>
    </row>
    <row r="165" spans="1:18" x14ac:dyDescent="0.25">
      <c r="A165" s="315" t="s">
        <v>190</v>
      </c>
      <c r="B165" s="315" t="s">
        <v>109</v>
      </c>
      <c r="C165" s="56">
        <f>SUM(C162:C164)</f>
        <v>4109789</v>
      </c>
      <c r="D165" s="56">
        <f>SUM(D162:D164)</f>
        <v>2279942</v>
      </c>
      <c r="E165" s="57">
        <f>C165/D165*100</f>
        <v>180.25848903173852</v>
      </c>
      <c r="F165" s="56">
        <f>SUM(F162:F164)</f>
        <v>547950</v>
      </c>
      <c r="G165" s="56">
        <f>SUM(G162:G164)</f>
        <v>185255</v>
      </c>
      <c r="H165" s="57">
        <f>F165/G165*100</f>
        <v>295.78149037812744</v>
      </c>
      <c r="I165" s="56">
        <f>SUM(I162:I164)</f>
        <v>3826228</v>
      </c>
      <c r="J165" s="56">
        <f>SUM(J162:J164)</f>
        <v>1979124</v>
      </c>
      <c r="K165" s="57">
        <f>I165/J165*100</f>
        <v>193.32937198477711</v>
      </c>
      <c r="L165" s="56">
        <f>SUM(L162:L164)</f>
        <v>309543</v>
      </c>
      <c r="M165" s="56">
        <f>SUM(M162:M164)</f>
        <v>107736</v>
      </c>
      <c r="N165" s="57">
        <v>0</v>
      </c>
      <c r="O165" s="56">
        <f>SUM(O162:O164)</f>
        <v>564</v>
      </c>
      <c r="P165" s="58">
        <f>R165/O165</f>
        <v>96.476950354609926</v>
      </c>
      <c r="Q165" s="56">
        <f>SUM(Q162:Q164)</f>
        <v>571</v>
      </c>
      <c r="R165" s="59">
        <f>SUM(R162:R164)</f>
        <v>54413</v>
      </c>
    </row>
    <row r="166" spans="1:18" x14ac:dyDescent="0.25">
      <c r="A166" s="102"/>
      <c r="B166" s="103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6"/>
    </row>
    <row r="167" spans="1:18" x14ac:dyDescent="0.25">
      <c r="A167" s="319" t="s">
        <v>140</v>
      </c>
      <c r="B167" s="320"/>
      <c r="C167" s="37">
        <v>3</v>
      </c>
      <c r="D167" s="37">
        <v>4</v>
      </c>
      <c r="E167" s="256">
        <v>5</v>
      </c>
      <c r="F167" s="37">
        <v>6</v>
      </c>
      <c r="G167" s="37">
        <v>7</v>
      </c>
      <c r="H167" s="37">
        <v>8</v>
      </c>
      <c r="I167" s="37">
        <v>9</v>
      </c>
      <c r="J167" s="37">
        <v>10</v>
      </c>
      <c r="K167" s="37">
        <v>11</v>
      </c>
      <c r="L167" s="37">
        <v>12</v>
      </c>
      <c r="M167" s="27">
        <v>13</v>
      </c>
      <c r="N167" s="27">
        <v>14</v>
      </c>
      <c r="O167" s="27">
        <v>15</v>
      </c>
      <c r="P167" s="256">
        <v>16</v>
      </c>
      <c r="Q167" s="27">
        <v>15</v>
      </c>
      <c r="R167" s="23"/>
    </row>
    <row r="168" spans="1:18" x14ac:dyDescent="0.25">
      <c r="A168" s="102">
        <v>1</v>
      </c>
      <c r="B168" s="113" t="s">
        <v>141</v>
      </c>
      <c r="C168" s="96">
        <v>474</v>
      </c>
      <c r="D168" s="96">
        <v>8864</v>
      </c>
      <c r="E168" s="97">
        <f t="shared" ref="E168:E177" si="85">C168/D168*100</f>
        <v>5.3474729241877252</v>
      </c>
      <c r="F168" s="96">
        <v>196</v>
      </c>
      <c r="G168" s="96">
        <v>564</v>
      </c>
      <c r="H168" s="97">
        <f t="shared" ref="H168:H169" si="86">F168/G168*100</f>
        <v>34.751773049645394</v>
      </c>
      <c r="I168" s="96">
        <v>33058</v>
      </c>
      <c r="J168" s="96">
        <v>28459</v>
      </c>
      <c r="K168" s="97">
        <f t="shared" ref="K168:K177" si="87">I168/J168*100</f>
        <v>116.16008995396886</v>
      </c>
      <c r="L168" s="96">
        <v>0</v>
      </c>
      <c r="M168" s="96">
        <v>0</v>
      </c>
      <c r="N168" s="96">
        <v>0</v>
      </c>
      <c r="O168" s="96">
        <v>89</v>
      </c>
      <c r="P168" s="96">
        <v>100</v>
      </c>
      <c r="Q168" s="96">
        <v>75</v>
      </c>
      <c r="R168" s="45">
        <f t="shared" ref="R168:R177" si="88">O168*P168</f>
        <v>8900</v>
      </c>
    </row>
    <row r="169" spans="1:18" x14ac:dyDescent="0.25">
      <c r="A169" s="112">
        <v>2</v>
      </c>
      <c r="B169" s="113" t="s">
        <v>142</v>
      </c>
      <c r="C169" s="96">
        <v>995948</v>
      </c>
      <c r="D169" s="96">
        <v>725669</v>
      </c>
      <c r="E169" s="97">
        <f t="shared" si="85"/>
        <v>137.24549346878536</v>
      </c>
      <c r="F169" s="96">
        <v>211910</v>
      </c>
      <c r="G169" s="96">
        <v>27710</v>
      </c>
      <c r="H169" s="97">
        <f t="shared" si="86"/>
        <v>764.74197040779495</v>
      </c>
      <c r="I169" s="96">
        <v>995948</v>
      </c>
      <c r="J169" s="96">
        <v>725669</v>
      </c>
      <c r="K169" s="96">
        <f t="shared" si="87"/>
        <v>137.24549346878536</v>
      </c>
      <c r="L169" s="96">
        <v>995948</v>
      </c>
      <c r="M169" s="96">
        <v>725669</v>
      </c>
      <c r="N169" s="96">
        <f t="shared" ref="N169:N177" si="89">L169/M169*100</f>
        <v>137.24549346878536</v>
      </c>
      <c r="O169" s="96">
        <v>125</v>
      </c>
      <c r="P169" s="96">
        <v>115</v>
      </c>
      <c r="Q169" s="96">
        <v>130</v>
      </c>
      <c r="R169" s="45">
        <f t="shared" si="88"/>
        <v>14375</v>
      </c>
    </row>
    <row r="170" spans="1:18" s="80" customFormat="1" x14ac:dyDescent="0.25">
      <c r="A170" s="102">
        <v>3</v>
      </c>
      <c r="B170" s="113" t="s">
        <v>143</v>
      </c>
      <c r="C170" s="96">
        <v>0</v>
      </c>
      <c r="D170" s="96">
        <v>121490</v>
      </c>
      <c r="E170" s="97">
        <f t="shared" si="85"/>
        <v>0</v>
      </c>
      <c r="F170" s="96">
        <v>0</v>
      </c>
      <c r="G170" s="96">
        <v>24340</v>
      </c>
      <c r="H170" s="96">
        <v>0</v>
      </c>
      <c r="I170" s="96">
        <v>0</v>
      </c>
      <c r="J170" s="96">
        <v>115872</v>
      </c>
      <c r="K170" s="97">
        <f t="shared" si="87"/>
        <v>0</v>
      </c>
      <c r="L170" s="96">
        <v>0</v>
      </c>
      <c r="M170" s="96">
        <v>108975</v>
      </c>
      <c r="N170" s="97">
        <f t="shared" si="89"/>
        <v>0</v>
      </c>
      <c r="O170" s="96">
        <v>10</v>
      </c>
      <c r="P170" s="96">
        <v>46</v>
      </c>
      <c r="Q170" s="96">
        <v>10</v>
      </c>
      <c r="R170" s="45">
        <f t="shared" si="88"/>
        <v>460</v>
      </c>
    </row>
    <row r="171" spans="1:18" x14ac:dyDescent="0.25">
      <c r="A171" s="112">
        <v>4</v>
      </c>
      <c r="B171" s="113" t="s">
        <v>144</v>
      </c>
      <c r="C171" s="96">
        <v>4277332</v>
      </c>
      <c r="D171" s="96">
        <v>4214715</v>
      </c>
      <c r="E171" s="114">
        <f t="shared" si="85"/>
        <v>101.48567578116194</v>
      </c>
      <c r="F171" s="96">
        <v>194841</v>
      </c>
      <c r="G171" s="96">
        <v>551427</v>
      </c>
      <c r="H171" s="114">
        <f t="shared" ref="H171:H177" si="90">F171/G171*100</f>
        <v>35.333960796261337</v>
      </c>
      <c r="I171" s="96">
        <v>4277332</v>
      </c>
      <c r="J171" s="96">
        <v>4214715</v>
      </c>
      <c r="K171" s="114">
        <f t="shared" si="87"/>
        <v>101.48567578116194</v>
      </c>
      <c r="L171" s="96">
        <v>4277332</v>
      </c>
      <c r="M171" s="96">
        <v>4214715</v>
      </c>
      <c r="N171" s="47">
        <f t="shared" si="89"/>
        <v>101.48567578116194</v>
      </c>
      <c r="O171" s="96">
        <v>140</v>
      </c>
      <c r="P171" s="115">
        <v>134</v>
      </c>
      <c r="Q171" s="96">
        <v>139</v>
      </c>
      <c r="R171" s="45">
        <f t="shared" si="88"/>
        <v>18760</v>
      </c>
    </row>
    <row r="172" spans="1:18" x14ac:dyDescent="0.25">
      <c r="A172" s="102">
        <v>5</v>
      </c>
      <c r="B172" s="113" t="s">
        <v>145</v>
      </c>
      <c r="C172" s="96">
        <v>704491</v>
      </c>
      <c r="D172" s="96">
        <v>1778084</v>
      </c>
      <c r="E172" s="114">
        <f t="shared" si="85"/>
        <v>39.620794068221748</v>
      </c>
      <c r="F172" s="96">
        <v>138718</v>
      </c>
      <c r="G172" s="96">
        <v>66400</v>
      </c>
      <c r="H172" s="114">
        <f t="shared" si="90"/>
        <v>208.91265060240963</v>
      </c>
      <c r="I172" s="96">
        <v>942759</v>
      </c>
      <c r="J172" s="96">
        <v>1770656</v>
      </c>
      <c r="K172" s="114">
        <f t="shared" si="87"/>
        <v>53.243487159561198</v>
      </c>
      <c r="L172" s="96">
        <v>949843</v>
      </c>
      <c r="M172" s="96">
        <v>1778084</v>
      </c>
      <c r="N172" s="47">
        <f t="shared" si="89"/>
        <v>53.41946724676675</v>
      </c>
      <c r="O172" s="96">
        <v>48</v>
      </c>
      <c r="P172" s="96">
        <v>54</v>
      </c>
      <c r="Q172" s="96">
        <v>39</v>
      </c>
      <c r="R172" s="45">
        <f t="shared" si="88"/>
        <v>2592</v>
      </c>
    </row>
    <row r="173" spans="1:18" x14ac:dyDescent="0.25">
      <c r="A173" s="112">
        <v>6</v>
      </c>
      <c r="B173" s="113" t="s">
        <v>146</v>
      </c>
      <c r="C173" s="260">
        <v>0</v>
      </c>
      <c r="D173" s="260">
        <v>0</v>
      </c>
      <c r="E173" s="47">
        <v>0</v>
      </c>
      <c r="F173" s="260">
        <v>0</v>
      </c>
      <c r="G173" s="260">
        <v>0</v>
      </c>
      <c r="H173" s="43">
        <v>0</v>
      </c>
      <c r="I173" s="260">
        <v>0</v>
      </c>
      <c r="J173" s="260">
        <v>0</v>
      </c>
      <c r="K173" s="43">
        <v>0</v>
      </c>
      <c r="L173" s="260">
        <v>0</v>
      </c>
      <c r="M173" s="260">
        <v>0</v>
      </c>
      <c r="N173" s="47">
        <v>0</v>
      </c>
      <c r="O173" s="260">
        <v>0</v>
      </c>
      <c r="P173" s="44">
        <v>0</v>
      </c>
      <c r="Q173" s="260">
        <v>0</v>
      </c>
      <c r="R173" s="45">
        <f t="shared" si="88"/>
        <v>0</v>
      </c>
    </row>
    <row r="174" spans="1:18" x14ac:dyDescent="0.25">
      <c r="A174" s="102">
        <v>7</v>
      </c>
      <c r="B174" s="113" t="s">
        <v>147</v>
      </c>
      <c r="C174" s="96">
        <v>2173207</v>
      </c>
      <c r="D174" s="96">
        <v>3681048</v>
      </c>
      <c r="E174" s="114">
        <f t="shared" si="85"/>
        <v>59.037725126105386</v>
      </c>
      <c r="F174" s="96">
        <v>350692</v>
      </c>
      <c r="G174" s="96">
        <v>462719</v>
      </c>
      <c r="H174" s="47">
        <f t="shared" si="90"/>
        <v>75.789409987487005</v>
      </c>
      <c r="I174" s="96">
        <v>2171510</v>
      </c>
      <c r="J174" s="96">
        <v>3565962</v>
      </c>
      <c r="K174" s="47">
        <f t="shared" si="87"/>
        <v>60.895489071392241</v>
      </c>
      <c r="L174" s="96">
        <v>21550622</v>
      </c>
      <c r="M174" s="96">
        <v>35653335</v>
      </c>
      <c r="N174" s="47">
        <f t="shared" si="89"/>
        <v>60.444898071947549</v>
      </c>
      <c r="O174" s="96">
        <v>51</v>
      </c>
      <c r="P174" s="96">
        <v>98</v>
      </c>
      <c r="Q174" s="96">
        <v>53</v>
      </c>
      <c r="R174" s="45">
        <f t="shared" si="88"/>
        <v>4998</v>
      </c>
    </row>
    <row r="175" spans="1:18" x14ac:dyDescent="0.25">
      <c r="A175" s="112">
        <v>8</v>
      </c>
      <c r="B175" s="113" t="s">
        <v>148</v>
      </c>
      <c r="C175" s="96">
        <v>729354</v>
      </c>
      <c r="D175" s="96">
        <v>1071475</v>
      </c>
      <c r="E175" s="76">
        <f t="shared" si="85"/>
        <v>68.070090296087173</v>
      </c>
      <c r="F175" s="96">
        <v>38528</v>
      </c>
      <c r="G175" s="96">
        <v>268522</v>
      </c>
      <c r="H175" s="76">
        <f t="shared" si="90"/>
        <v>14.348172589210566</v>
      </c>
      <c r="I175" s="96">
        <v>729354</v>
      </c>
      <c r="J175" s="96">
        <v>1071475</v>
      </c>
      <c r="K175" s="76">
        <f t="shared" si="87"/>
        <v>68.070090296087173</v>
      </c>
      <c r="L175" s="96">
        <v>729354</v>
      </c>
      <c r="M175" s="96">
        <v>1071475</v>
      </c>
      <c r="N175" s="76">
        <f t="shared" si="89"/>
        <v>68.070090296087173</v>
      </c>
      <c r="O175" s="76">
        <v>38</v>
      </c>
      <c r="P175" s="76">
        <v>102</v>
      </c>
      <c r="Q175" s="76">
        <v>37</v>
      </c>
      <c r="R175" s="45">
        <f t="shared" si="88"/>
        <v>3876</v>
      </c>
    </row>
    <row r="176" spans="1:18" x14ac:dyDescent="0.25">
      <c r="A176" s="102">
        <v>9</v>
      </c>
      <c r="B176" s="113" t="s">
        <v>149</v>
      </c>
      <c r="C176" s="96">
        <v>223410</v>
      </c>
      <c r="D176" s="96">
        <v>172148</v>
      </c>
      <c r="E176" s="47">
        <f t="shared" si="85"/>
        <v>129.77786555754352</v>
      </c>
      <c r="F176" s="96">
        <v>0</v>
      </c>
      <c r="G176" s="96">
        <v>53887</v>
      </c>
      <c r="H176" s="47">
        <f t="shared" si="90"/>
        <v>0</v>
      </c>
      <c r="I176" s="96">
        <v>223410</v>
      </c>
      <c r="J176" s="96">
        <v>172142</v>
      </c>
      <c r="K176" s="47">
        <f t="shared" si="87"/>
        <v>129.78238895795332</v>
      </c>
      <c r="L176" s="96">
        <v>223410</v>
      </c>
      <c r="M176" s="96">
        <v>172142</v>
      </c>
      <c r="N176" s="47">
        <f t="shared" si="89"/>
        <v>129.78238895795332</v>
      </c>
      <c r="O176" s="96">
        <v>2</v>
      </c>
      <c r="P176" s="96">
        <v>50</v>
      </c>
      <c r="Q176" s="96">
        <v>4</v>
      </c>
      <c r="R176" s="45">
        <f t="shared" si="88"/>
        <v>100</v>
      </c>
    </row>
    <row r="177" spans="1:18" x14ac:dyDescent="0.25">
      <c r="A177" s="112">
        <v>10</v>
      </c>
      <c r="B177" s="113" t="s">
        <v>150</v>
      </c>
      <c r="C177" s="96">
        <v>365437</v>
      </c>
      <c r="D177" s="96">
        <v>375740</v>
      </c>
      <c r="E177" s="47">
        <f t="shared" si="85"/>
        <v>97.25794432320221</v>
      </c>
      <c r="F177" s="96">
        <v>119635</v>
      </c>
      <c r="G177" s="96">
        <v>102912</v>
      </c>
      <c r="H177" s="47">
        <f t="shared" si="90"/>
        <v>116.24980565920397</v>
      </c>
      <c r="I177" s="96">
        <v>365437</v>
      </c>
      <c r="J177" s="96">
        <v>375740</v>
      </c>
      <c r="K177" s="47">
        <f t="shared" si="87"/>
        <v>97.25794432320221</v>
      </c>
      <c r="L177" s="96">
        <f>267209+98228</f>
        <v>365437</v>
      </c>
      <c r="M177" s="96">
        <f>141903+233837</f>
        <v>375740</v>
      </c>
      <c r="N177" s="47">
        <f t="shared" si="89"/>
        <v>97.25794432320221</v>
      </c>
      <c r="O177" s="96">
        <v>24</v>
      </c>
      <c r="P177" s="96">
        <v>50</v>
      </c>
      <c r="Q177" s="96">
        <v>24</v>
      </c>
      <c r="R177" s="45">
        <f t="shared" si="88"/>
        <v>1200</v>
      </c>
    </row>
    <row r="178" spans="1:18" s="60" customFormat="1" x14ac:dyDescent="0.25">
      <c r="A178" s="315" t="s">
        <v>173</v>
      </c>
      <c r="B178" s="315" t="s">
        <v>139</v>
      </c>
      <c r="C178" s="58">
        <f>SUM(C168:C177)</f>
        <v>9469653</v>
      </c>
      <c r="D178" s="58">
        <f>SUM(D168:D177)</f>
        <v>12149233</v>
      </c>
      <c r="E178" s="57">
        <f>C178/D178*100</f>
        <v>77.944451308160765</v>
      </c>
      <c r="F178" s="58">
        <f>SUM(F168:F177)</f>
        <v>1054520</v>
      </c>
      <c r="G178" s="58">
        <f>SUM(G168:G177)</f>
        <v>1558481</v>
      </c>
      <c r="H178" s="57">
        <f>F178/G178*100</f>
        <v>67.663320887453864</v>
      </c>
      <c r="I178" s="58">
        <f>SUM(I168:I177)</f>
        <v>9738808</v>
      </c>
      <c r="J178" s="58">
        <f>SUM(J168:J177)</f>
        <v>12040690</v>
      </c>
      <c r="K178" s="57">
        <f>I178/J178*100</f>
        <v>80.882474343247765</v>
      </c>
      <c r="L178" s="58">
        <f>SUM(L168:L177)</f>
        <v>29091946</v>
      </c>
      <c r="M178" s="56">
        <f>SUM(M168:M177)</f>
        <v>44100135</v>
      </c>
      <c r="N178" s="57">
        <f>L178/M178*100</f>
        <v>65.967929576632812</v>
      </c>
      <c r="O178" s="58">
        <f>SUM(O168:O177)</f>
        <v>527</v>
      </c>
      <c r="P178" s="57">
        <f>R178/O178</f>
        <v>104.8595825426945</v>
      </c>
      <c r="Q178" s="58">
        <f>SUM(Q168:Q177)</f>
        <v>511</v>
      </c>
      <c r="R178" s="59">
        <f>SUM(R168:R177)</f>
        <v>55261</v>
      </c>
    </row>
    <row r="179" spans="1:18" x14ac:dyDescent="0.25">
      <c r="A179" s="117"/>
      <c r="B179" s="117"/>
      <c r="C179" s="98"/>
      <c r="D179" s="98"/>
      <c r="E179" s="97"/>
      <c r="F179" s="118"/>
      <c r="G179" s="118"/>
      <c r="H179" s="97"/>
      <c r="I179" s="253"/>
      <c r="J179" s="253"/>
      <c r="K179" s="119"/>
      <c r="L179" s="253"/>
      <c r="M179" s="253"/>
      <c r="N179" s="253"/>
      <c r="O179" s="253"/>
      <c r="P179" s="62"/>
      <c r="Q179" s="253"/>
      <c r="R179" s="31"/>
    </row>
    <row r="180" spans="1:18" x14ac:dyDescent="0.25">
      <c r="A180" s="321" t="s">
        <v>151</v>
      </c>
      <c r="B180" s="322"/>
      <c r="C180" s="37">
        <v>3</v>
      </c>
      <c r="D180" s="37">
        <v>4</v>
      </c>
      <c r="E180" s="256">
        <v>5</v>
      </c>
      <c r="F180" s="37">
        <v>6</v>
      </c>
      <c r="G180" s="37">
        <v>7</v>
      </c>
      <c r="H180" s="37">
        <v>8</v>
      </c>
      <c r="I180" s="37">
        <v>9</v>
      </c>
      <c r="J180" s="37">
        <v>10</v>
      </c>
      <c r="K180" s="37">
        <v>11</v>
      </c>
      <c r="L180" s="37">
        <v>12</v>
      </c>
      <c r="M180" s="37">
        <v>13</v>
      </c>
      <c r="N180" s="37">
        <v>14</v>
      </c>
      <c r="O180" s="37">
        <v>15</v>
      </c>
      <c r="P180" s="256">
        <v>16</v>
      </c>
      <c r="Q180" s="37">
        <v>15</v>
      </c>
      <c r="R180" s="31"/>
    </row>
    <row r="181" spans="1:18" x14ac:dyDescent="0.25">
      <c r="A181" s="118">
        <v>1</v>
      </c>
      <c r="B181" s="120" t="s">
        <v>152</v>
      </c>
      <c r="C181" s="96">
        <v>697634</v>
      </c>
      <c r="D181" s="96">
        <v>622787.69999999995</v>
      </c>
      <c r="E181" s="156">
        <f t="shared" ref="E181:E191" si="91">IF(OR(C181=0,D181=0),0,C181/D181*100)</f>
        <v>112.01794768907607</v>
      </c>
      <c r="F181" s="96">
        <v>66862</v>
      </c>
      <c r="G181" s="96">
        <v>47376</v>
      </c>
      <c r="H181" s="156">
        <f t="shared" ref="H181:H191" si="92">IF(OR(F181=0,G181=0),0,F181/G181*100)</f>
        <v>141.13053022627491</v>
      </c>
      <c r="I181" s="96">
        <v>520691.1</v>
      </c>
      <c r="J181" s="96">
        <v>603898</v>
      </c>
      <c r="K181" s="156">
        <f t="shared" ref="K181:K191" si="93">IF(OR(I181=0,J181=0),0,I181/J181*100)</f>
        <v>86.221696379189865</v>
      </c>
      <c r="L181" s="96">
        <v>0</v>
      </c>
      <c r="M181" s="96">
        <v>0</v>
      </c>
      <c r="N181" s="49">
        <f t="shared" ref="N181:N191" si="94">IF(OR(L181=0,M181=0),0,L181/M181*100)</f>
        <v>0</v>
      </c>
      <c r="O181" s="76">
        <v>327</v>
      </c>
      <c r="P181" s="76">
        <v>241.2</v>
      </c>
      <c r="Q181" s="65">
        <v>332</v>
      </c>
      <c r="R181" s="74">
        <f t="shared" ref="R181:R191" si="95">O181*P181</f>
        <v>78872.399999999994</v>
      </c>
    </row>
    <row r="182" spans="1:18" x14ac:dyDescent="0.25">
      <c r="A182" s="118">
        <v>2</v>
      </c>
      <c r="B182" s="120" t="s">
        <v>154</v>
      </c>
      <c r="C182" s="96">
        <v>101151</v>
      </c>
      <c r="D182" s="96">
        <v>399524</v>
      </c>
      <c r="E182" s="156">
        <f t="shared" si="91"/>
        <v>25.317878275147425</v>
      </c>
      <c r="F182" s="96">
        <v>0</v>
      </c>
      <c r="G182" s="96">
        <v>4765</v>
      </c>
      <c r="H182" s="156">
        <f t="shared" si="92"/>
        <v>0</v>
      </c>
      <c r="I182" s="96">
        <v>105629</v>
      </c>
      <c r="J182" s="96">
        <v>371225</v>
      </c>
      <c r="K182" s="156">
        <f t="shared" si="93"/>
        <v>28.454171998114354</v>
      </c>
      <c r="L182" s="96">
        <v>105629</v>
      </c>
      <c r="M182" s="96">
        <v>371225</v>
      </c>
      <c r="N182" s="156">
        <f t="shared" si="94"/>
        <v>28.454171998114354</v>
      </c>
      <c r="O182" s="76">
        <v>38</v>
      </c>
      <c r="P182" s="96">
        <v>130</v>
      </c>
      <c r="Q182" s="65">
        <v>38</v>
      </c>
      <c r="R182" s="74">
        <f t="shared" si="95"/>
        <v>4940</v>
      </c>
    </row>
    <row r="183" spans="1:18" s="80" customFormat="1" x14ac:dyDescent="0.25">
      <c r="A183" s="245">
        <v>3</v>
      </c>
      <c r="B183" s="246" t="s">
        <v>155</v>
      </c>
      <c r="C183" s="247">
        <v>5689</v>
      </c>
      <c r="D183" s="247">
        <v>43886</v>
      </c>
      <c r="E183" s="248">
        <f t="shared" si="91"/>
        <v>12.963131750444335</v>
      </c>
      <c r="F183" s="247">
        <v>950</v>
      </c>
      <c r="G183" s="247">
        <v>794</v>
      </c>
      <c r="H183" s="248">
        <f t="shared" si="92"/>
        <v>119.64735516372795</v>
      </c>
      <c r="I183" s="247">
        <v>2758</v>
      </c>
      <c r="J183" s="247">
        <v>4386</v>
      </c>
      <c r="K183" s="248">
        <f t="shared" si="93"/>
        <v>62.881896944824447</v>
      </c>
      <c r="L183" s="247">
        <v>0</v>
      </c>
      <c r="M183" s="247">
        <v>0</v>
      </c>
      <c r="N183" s="249">
        <f t="shared" si="94"/>
        <v>0</v>
      </c>
      <c r="O183" s="251">
        <v>29</v>
      </c>
      <c r="P183" s="247">
        <v>40</v>
      </c>
      <c r="Q183" s="262">
        <v>29</v>
      </c>
      <c r="R183" s="250">
        <f t="shared" si="95"/>
        <v>1160</v>
      </c>
    </row>
    <row r="184" spans="1:18" ht="24" x14ac:dyDescent="0.25">
      <c r="A184" s="118">
        <v>4</v>
      </c>
      <c r="B184" s="121" t="s">
        <v>218</v>
      </c>
      <c r="C184" s="96">
        <v>113912</v>
      </c>
      <c r="D184" s="96">
        <v>108272</v>
      </c>
      <c r="E184" s="156">
        <f t="shared" si="91"/>
        <v>105.20910299985222</v>
      </c>
      <c r="F184" s="96">
        <v>13828</v>
      </c>
      <c r="G184" s="96">
        <v>13929</v>
      </c>
      <c r="H184" s="156">
        <f t="shared" si="92"/>
        <v>99.274894105822383</v>
      </c>
      <c r="I184" s="96">
        <v>0</v>
      </c>
      <c r="J184" s="96">
        <v>0</v>
      </c>
      <c r="K184" s="49">
        <f t="shared" si="93"/>
        <v>0</v>
      </c>
      <c r="L184" s="96">
        <v>0</v>
      </c>
      <c r="M184" s="96">
        <v>0</v>
      </c>
      <c r="N184" s="49">
        <f t="shared" si="94"/>
        <v>0</v>
      </c>
      <c r="O184" s="76">
        <v>85</v>
      </c>
      <c r="P184" s="49">
        <v>87</v>
      </c>
      <c r="Q184" s="65">
        <v>85</v>
      </c>
      <c r="R184" s="45">
        <f t="shared" si="95"/>
        <v>7395</v>
      </c>
    </row>
    <row r="185" spans="1:18" x14ac:dyDescent="0.25">
      <c r="A185" s="118">
        <v>5</v>
      </c>
      <c r="B185" s="122" t="s">
        <v>157</v>
      </c>
      <c r="C185" s="96">
        <v>1039</v>
      </c>
      <c r="D185" s="96">
        <v>479</v>
      </c>
      <c r="E185" s="156">
        <f>IF(OR(C185=0,D185=0),0,C185/D185*100)</f>
        <v>216.91022964509395</v>
      </c>
      <c r="F185" s="96">
        <v>0</v>
      </c>
      <c r="G185" s="96">
        <v>63</v>
      </c>
      <c r="H185" s="49">
        <f t="shared" si="92"/>
        <v>0</v>
      </c>
      <c r="I185" s="96">
        <v>1039</v>
      </c>
      <c r="J185" s="96">
        <v>479</v>
      </c>
      <c r="K185" s="49">
        <f t="shared" si="93"/>
        <v>216.91022964509395</v>
      </c>
      <c r="L185" s="96">
        <v>0</v>
      </c>
      <c r="M185" s="96">
        <v>0</v>
      </c>
      <c r="N185" s="49">
        <f t="shared" si="94"/>
        <v>0</v>
      </c>
      <c r="O185" s="76">
        <v>30</v>
      </c>
      <c r="P185" s="76">
        <v>15.8</v>
      </c>
      <c r="Q185" s="65">
        <v>30</v>
      </c>
      <c r="R185" s="45">
        <f t="shared" si="95"/>
        <v>474</v>
      </c>
    </row>
    <row r="186" spans="1:18" x14ac:dyDescent="0.25">
      <c r="A186" s="118">
        <v>6</v>
      </c>
      <c r="B186" s="120" t="s">
        <v>158</v>
      </c>
      <c r="C186" s="96">
        <v>14452</v>
      </c>
      <c r="D186" s="96">
        <v>20295</v>
      </c>
      <c r="E186" s="156">
        <f t="shared" si="91"/>
        <v>71.209657551120969</v>
      </c>
      <c r="F186" s="96">
        <v>1426</v>
      </c>
      <c r="G186" s="96">
        <v>2135</v>
      </c>
      <c r="H186" s="156">
        <f t="shared" si="92"/>
        <v>66.791569086651066</v>
      </c>
      <c r="I186" s="96">
        <v>14452</v>
      </c>
      <c r="J186" s="96">
        <v>20295</v>
      </c>
      <c r="K186" s="156">
        <f t="shared" si="93"/>
        <v>71.209657551120969</v>
      </c>
      <c r="L186" s="96">
        <v>0</v>
      </c>
      <c r="M186" s="96">
        <v>0</v>
      </c>
      <c r="N186" s="49">
        <f t="shared" si="94"/>
        <v>0</v>
      </c>
      <c r="O186" s="76">
        <v>15</v>
      </c>
      <c r="P186" s="76">
        <v>34.1</v>
      </c>
      <c r="Q186" s="65">
        <v>17</v>
      </c>
      <c r="R186" s="45">
        <f t="shared" si="95"/>
        <v>511.5</v>
      </c>
    </row>
    <row r="187" spans="1:18" s="80" customFormat="1" x14ac:dyDescent="0.25">
      <c r="A187" s="245">
        <v>7</v>
      </c>
      <c r="B187" s="246" t="s">
        <v>159</v>
      </c>
      <c r="C187" s="247">
        <v>35067</v>
      </c>
      <c r="D187" s="247">
        <v>46344</v>
      </c>
      <c r="E187" s="248">
        <f t="shared" si="91"/>
        <v>75.666752977731747</v>
      </c>
      <c r="F187" s="247">
        <v>5582</v>
      </c>
      <c r="G187" s="247">
        <v>9633</v>
      </c>
      <c r="H187" s="248">
        <f t="shared" si="92"/>
        <v>57.946641752309766</v>
      </c>
      <c r="I187" s="247">
        <v>35067</v>
      </c>
      <c r="J187" s="247">
        <v>46344</v>
      </c>
      <c r="K187" s="248">
        <f t="shared" si="93"/>
        <v>75.666752977731747</v>
      </c>
      <c r="L187" s="247">
        <v>0</v>
      </c>
      <c r="M187" s="247">
        <v>0</v>
      </c>
      <c r="N187" s="249">
        <f t="shared" si="94"/>
        <v>0</v>
      </c>
      <c r="O187" s="251">
        <v>85</v>
      </c>
      <c r="P187" s="251">
        <v>55.8</v>
      </c>
      <c r="Q187" s="262">
        <v>85</v>
      </c>
      <c r="R187" s="250">
        <f t="shared" si="95"/>
        <v>4743</v>
      </c>
    </row>
    <row r="188" spans="1:18" x14ac:dyDescent="0.25">
      <c r="A188" s="118">
        <v>8</v>
      </c>
      <c r="B188" s="120" t="s">
        <v>160</v>
      </c>
      <c r="C188" s="96">
        <v>10160</v>
      </c>
      <c r="D188" s="96">
        <v>8120</v>
      </c>
      <c r="E188" s="156">
        <f t="shared" si="91"/>
        <v>125.1231527093596</v>
      </c>
      <c r="F188" s="96">
        <v>895</v>
      </c>
      <c r="G188" s="96">
        <v>990</v>
      </c>
      <c r="H188" s="156">
        <f t="shared" si="92"/>
        <v>90.404040404040416</v>
      </c>
      <c r="I188" s="96">
        <v>0</v>
      </c>
      <c r="J188" s="96">
        <v>0</v>
      </c>
      <c r="K188" s="49">
        <f t="shared" si="93"/>
        <v>0</v>
      </c>
      <c r="L188" s="96">
        <v>0</v>
      </c>
      <c r="M188" s="96">
        <v>0</v>
      </c>
      <c r="N188" s="49">
        <f t="shared" si="94"/>
        <v>0</v>
      </c>
      <c r="O188" s="76">
        <v>12</v>
      </c>
      <c r="P188" s="76">
        <v>69.5</v>
      </c>
      <c r="Q188" s="65">
        <v>12</v>
      </c>
      <c r="R188" s="45">
        <f t="shared" si="95"/>
        <v>834</v>
      </c>
    </row>
    <row r="189" spans="1:18" x14ac:dyDescent="0.25">
      <c r="A189" s="118">
        <v>9</v>
      </c>
      <c r="B189" s="120" t="s">
        <v>161</v>
      </c>
      <c r="C189" s="96">
        <v>48430</v>
      </c>
      <c r="D189" s="96">
        <v>74900</v>
      </c>
      <c r="E189" s="156">
        <f t="shared" si="91"/>
        <v>64.659546061415213</v>
      </c>
      <c r="F189" s="96">
        <v>4732</v>
      </c>
      <c r="G189" s="96">
        <v>12000</v>
      </c>
      <c r="H189" s="156">
        <f t="shared" si="92"/>
        <v>39.43333333333333</v>
      </c>
      <c r="I189" s="96">
        <v>28129</v>
      </c>
      <c r="J189" s="96">
        <v>77922</v>
      </c>
      <c r="K189" s="156">
        <f t="shared" si="93"/>
        <v>36.098919432252764</v>
      </c>
      <c r="L189" s="96">
        <v>0</v>
      </c>
      <c r="M189" s="96">
        <v>0</v>
      </c>
      <c r="N189" s="49">
        <f t="shared" si="94"/>
        <v>0</v>
      </c>
      <c r="O189" s="76">
        <v>23</v>
      </c>
      <c r="P189" s="76">
        <v>79.8</v>
      </c>
      <c r="Q189" s="65">
        <v>23</v>
      </c>
      <c r="R189" s="45">
        <f t="shared" si="95"/>
        <v>1835.3999999999999</v>
      </c>
    </row>
    <row r="190" spans="1:18" x14ac:dyDescent="0.25">
      <c r="A190" s="118">
        <v>10</v>
      </c>
      <c r="B190" s="120" t="s">
        <v>162</v>
      </c>
      <c r="C190" s="96">
        <v>18972</v>
      </c>
      <c r="D190" s="96">
        <v>20951</v>
      </c>
      <c r="E190" s="156">
        <f t="shared" si="91"/>
        <v>90.554150159896906</v>
      </c>
      <c r="F190" s="96">
        <v>2109</v>
      </c>
      <c r="G190" s="96">
        <v>3674</v>
      </c>
      <c r="H190" s="156">
        <f t="shared" si="92"/>
        <v>57.403375068045726</v>
      </c>
      <c r="I190" s="96">
        <v>18972</v>
      </c>
      <c r="J190" s="96">
        <v>20951</v>
      </c>
      <c r="K190" s="49">
        <f t="shared" si="93"/>
        <v>90.554150159896906</v>
      </c>
      <c r="L190" s="96">
        <v>0</v>
      </c>
      <c r="M190" s="96">
        <v>0</v>
      </c>
      <c r="N190" s="49">
        <f t="shared" si="94"/>
        <v>0</v>
      </c>
      <c r="O190" s="76">
        <v>23</v>
      </c>
      <c r="P190" s="76">
        <v>52.4</v>
      </c>
      <c r="Q190" s="65">
        <v>23</v>
      </c>
      <c r="R190" s="74">
        <f t="shared" si="95"/>
        <v>1205.2</v>
      </c>
    </row>
    <row r="191" spans="1:18" x14ac:dyDescent="0.25">
      <c r="A191" s="118">
        <v>11</v>
      </c>
      <c r="B191" s="123" t="s">
        <v>163</v>
      </c>
      <c r="C191" s="96">
        <v>6119</v>
      </c>
      <c r="D191" s="96">
        <v>6265</v>
      </c>
      <c r="E191" s="156">
        <f t="shared" si="91"/>
        <v>97.66959297685554</v>
      </c>
      <c r="F191" s="96">
        <v>255</v>
      </c>
      <c r="G191" s="96">
        <v>870</v>
      </c>
      <c r="H191" s="156">
        <f t="shared" si="92"/>
        <v>29.310344827586203</v>
      </c>
      <c r="I191" s="96">
        <v>5682</v>
      </c>
      <c r="J191" s="96">
        <v>6062</v>
      </c>
      <c r="K191" s="156">
        <f t="shared" si="93"/>
        <v>93.731441768393267</v>
      </c>
      <c r="L191" s="96">
        <v>0</v>
      </c>
      <c r="M191" s="96">
        <v>0</v>
      </c>
      <c r="N191" s="49">
        <f t="shared" si="94"/>
        <v>0</v>
      </c>
      <c r="O191" s="76">
        <v>26</v>
      </c>
      <c r="P191" s="96">
        <v>54</v>
      </c>
      <c r="Q191" s="65">
        <v>26</v>
      </c>
      <c r="R191" s="45">
        <f t="shared" si="95"/>
        <v>1404</v>
      </c>
    </row>
    <row r="192" spans="1:18" s="60" customFormat="1" x14ac:dyDescent="0.25">
      <c r="A192" s="315" t="s">
        <v>173</v>
      </c>
      <c r="B192" s="315" t="s">
        <v>139</v>
      </c>
      <c r="C192" s="124">
        <f>SUM(C181:C191)</f>
        <v>1052625</v>
      </c>
      <c r="D192" s="124">
        <f>SUM(D181:D191)</f>
        <v>1351823.7</v>
      </c>
      <c r="E192" s="57">
        <f t="shared" ref="E192" si="96">C192/D192*100</f>
        <v>77.8670325131894</v>
      </c>
      <c r="F192" s="124">
        <f>SUM(F181:F191)</f>
        <v>96639</v>
      </c>
      <c r="G192" s="124">
        <f>SUM(G181:G191)</f>
        <v>96229</v>
      </c>
      <c r="H192" s="57">
        <f t="shared" ref="H192" si="97">F192/G192*100</f>
        <v>100.42606698604371</v>
      </c>
      <c r="I192" s="124">
        <f>SUM(I181:I191)</f>
        <v>732419.1</v>
      </c>
      <c r="J192" s="124">
        <f>SUM(J181:J191)</f>
        <v>1151562</v>
      </c>
      <c r="K192" s="57">
        <f>I192/J192*100</f>
        <v>63.60222897247391</v>
      </c>
      <c r="L192" s="124">
        <f>SUM(L181:L191)</f>
        <v>105629</v>
      </c>
      <c r="M192" s="124">
        <f>SUM(M181:M191)</f>
        <v>371225</v>
      </c>
      <c r="N192" s="57">
        <f>L192/M192*100</f>
        <v>28.454171998114354</v>
      </c>
      <c r="O192" s="124">
        <f>SUM(O181:O191)</f>
        <v>693</v>
      </c>
      <c r="P192" s="57">
        <f>R192/O192</f>
        <v>149.16955266955264</v>
      </c>
      <c r="Q192" s="124">
        <f>SUM(Q181:Q191)</f>
        <v>700</v>
      </c>
      <c r="R192" s="59">
        <f>SUM(R181:R191)</f>
        <v>103374.49999999999</v>
      </c>
    </row>
    <row r="193" spans="1:22" x14ac:dyDescent="0.25">
      <c r="A193" s="125"/>
      <c r="B193" s="37"/>
      <c r="C193" s="125"/>
      <c r="D193" s="125"/>
      <c r="E193" s="125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26"/>
    </row>
    <row r="194" spans="1:22" x14ac:dyDescent="0.25">
      <c r="A194" s="323" t="s">
        <v>22</v>
      </c>
      <c r="B194" s="324"/>
      <c r="C194" s="37">
        <v>3</v>
      </c>
      <c r="D194" s="37">
        <v>4</v>
      </c>
      <c r="E194" s="256">
        <v>5</v>
      </c>
      <c r="F194" s="37">
        <v>6</v>
      </c>
      <c r="G194" s="37">
        <v>7</v>
      </c>
      <c r="H194" s="37">
        <v>8</v>
      </c>
      <c r="I194" s="37">
        <v>9</v>
      </c>
      <c r="J194" s="37">
        <v>10</v>
      </c>
      <c r="K194" s="37">
        <v>11</v>
      </c>
      <c r="L194" s="37">
        <v>12</v>
      </c>
      <c r="M194" s="37">
        <v>13</v>
      </c>
      <c r="N194" s="37">
        <v>14</v>
      </c>
      <c r="O194" s="37">
        <v>15</v>
      </c>
      <c r="P194" s="256">
        <v>16</v>
      </c>
      <c r="Q194" s="37">
        <v>15</v>
      </c>
      <c r="R194" s="23"/>
    </row>
    <row r="195" spans="1:22" x14ac:dyDescent="0.25">
      <c r="A195" s="96">
        <v>1</v>
      </c>
      <c r="B195" s="127" t="s">
        <v>164</v>
      </c>
      <c r="C195" s="49">
        <v>88202</v>
      </c>
      <c r="D195" s="49">
        <v>102902</v>
      </c>
      <c r="E195" s="119">
        <f t="shared" ref="E195:E196" si="98">C195/D195*100</f>
        <v>85.714563370974332</v>
      </c>
      <c r="F195" s="49">
        <v>4958</v>
      </c>
      <c r="G195" s="49">
        <v>6432</v>
      </c>
      <c r="H195" s="119">
        <f t="shared" ref="H195:H196" si="99">F195/G195*100</f>
        <v>77.083333333333343</v>
      </c>
      <c r="I195" s="49">
        <v>88202</v>
      </c>
      <c r="J195" s="49">
        <v>102902</v>
      </c>
      <c r="K195" s="97">
        <f t="shared" ref="K195:K196" si="100">IF(OR(I195=0,J195=0),0,I195/J195*100)</f>
        <v>85.714563370974332</v>
      </c>
      <c r="L195" s="49">
        <v>88202</v>
      </c>
      <c r="M195" s="49">
        <v>102902</v>
      </c>
      <c r="N195" s="47">
        <f t="shared" ref="N195:N196" si="101">L195/M195*100</f>
        <v>85.714563370974332</v>
      </c>
      <c r="O195" s="34">
        <v>49</v>
      </c>
      <c r="P195" s="96">
        <v>45</v>
      </c>
      <c r="Q195" s="34">
        <v>46</v>
      </c>
      <c r="R195" s="74">
        <f t="shared" ref="R195:R196" si="102">O195*P195</f>
        <v>2205</v>
      </c>
    </row>
    <row r="196" spans="1:22" x14ac:dyDescent="0.25">
      <c r="A196" s="96">
        <v>2</v>
      </c>
      <c r="B196" s="127" t="s">
        <v>165</v>
      </c>
      <c r="C196" s="266">
        <v>269217</v>
      </c>
      <c r="D196" s="266">
        <v>348958</v>
      </c>
      <c r="E196" s="119">
        <f t="shared" si="98"/>
        <v>77.148825933206865</v>
      </c>
      <c r="F196" s="266">
        <v>81236</v>
      </c>
      <c r="G196" s="266">
        <v>72273</v>
      </c>
      <c r="H196" s="119">
        <f t="shared" si="99"/>
        <v>112.40158842167891</v>
      </c>
      <c r="I196" s="266">
        <v>221868</v>
      </c>
      <c r="J196" s="266">
        <v>291513</v>
      </c>
      <c r="K196" s="97">
        <f t="shared" si="100"/>
        <v>76.109127208735117</v>
      </c>
      <c r="L196" s="266">
        <v>831</v>
      </c>
      <c r="M196" s="266">
        <v>7811</v>
      </c>
      <c r="N196" s="47">
        <f t="shared" si="101"/>
        <v>10.638842657790295</v>
      </c>
      <c r="O196" s="267">
        <v>187</v>
      </c>
      <c r="P196" s="96">
        <v>60</v>
      </c>
      <c r="Q196" s="34">
        <v>187</v>
      </c>
      <c r="R196" s="74">
        <f t="shared" si="102"/>
        <v>11220</v>
      </c>
    </row>
    <row r="197" spans="1:22" s="60" customFormat="1" x14ac:dyDescent="0.25">
      <c r="A197" s="315" t="s">
        <v>173</v>
      </c>
      <c r="B197" s="315" t="s">
        <v>139</v>
      </c>
      <c r="C197" s="56">
        <f>SUM(C195:C196)</f>
        <v>357419</v>
      </c>
      <c r="D197" s="56">
        <f>SUM(D195:D196)</f>
        <v>451860</v>
      </c>
      <c r="E197" s="57">
        <f>C197/D197*100</f>
        <v>79.099499845084765</v>
      </c>
      <c r="F197" s="56">
        <f>SUM(F195:F196)</f>
        <v>86194</v>
      </c>
      <c r="G197" s="56">
        <f>SUM(G195:G196)</f>
        <v>78705</v>
      </c>
      <c r="H197" s="57">
        <f>F197/G197*100</f>
        <v>109.51527857188235</v>
      </c>
      <c r="I197" s="57">
        <f>SUM(I195:I196)</f>
        <v>310070</v>
      </c>
      <c r="J197" s="56">
        <f>SUM(J195:J196)</f>
        <v>394415</v>
      </c>
      <c r="K197" s="57">
        <f>I197/J197*100</f>
        <v>78.61516423056932</v>
      </c>
      <c r="L197" s="58">
        <f>SUM(L195:L196)</f>
        <v>89033</v>
      </c>
      <c r="M197" s="56">
        <f>SUM(M195:M196)</f>
        <v>110713</v>
      </c>
      <c r="N197" s="57">
        <f>L197/M197*100</f>
        <v>80.417837110366435</v>
      </c>
      <c r="O197" s="58">
        <f>SUM(O195:O196)</f>
        <v>236</v>
      </c>
      <c r="P197" s="58">
        <f>R197/O197</f>
        <v>56.885593220338983</v>
      </c>
      <c r="Q197" s="58">
        <f>SUM(Q195:Q196)</f>
        <v>233</v>
      </c>
      <c r="R197" s="59">
        <f>SUM(R195:R196)</f>
        <v>13425</v>
      </c>
    </row>
    <row r="198" spans="1:22" x14ac:dyDescent="0.25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6"/>
    </row>
    <row r="199" spans="1:22" x14ac:dyDescent="0.25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6"/>
    </row>
    <row r="200" spans="1:22" x14ac:dyDescent="0.25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6"/>
    </row>
    <row r="201" spans="1:22" x14ac:dyDescent="0.25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6"/>
    </row>
    <row r="202" spans="1:22" x14ac:dyDescent="0.25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6"/>
    </row>
    <row r="203" spans="1:22" x14ac:dyDescent="0.25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6"/>
    </row>
    <row r="204" spans="1:22" x14ac:dyDescent="0.25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6"/>
    </row>
    <row r="205" spans="1:22" x14ac:dyDescent="0.25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</row>
    <row r="206" spans="1:22" x14ac:dyDescent="0.25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</row>
    <row r="207" spans="1:22" x14ac:dyDescent="0.25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</row>
    <row r="208" spans="1:22" x14ac:dyDescent="0.25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</row>
    <row r="209" spans="1:22" x14ac:dyDescent="0.25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</row>
    <row r="210" spans="1:22" x14ac:dyDescent="0.25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</row>
    <row r="211" spans="1:22" x14ac:dyDescent="0.25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</row>
    <row r="212" spans="1:22" x14ac:dyDescent="0.25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</row>
    <row r="213" spans="1:22" x14ac:dyDescent="0.25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</row>
    <row r="214" spans="1:22" x14ac:dyDescent="0.25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</row>
    <row r="215" spans="1:22" x14ac:dyDescent="0.25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</row>
    <row r="216" spans="1:22" x14ac:dyDescent="0.25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</row>
    <row r="217" spans="1:22" x14ac:dyDescent="0.25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</row>
    <row r="218" spans="1:22" x14ac:dyDescent="0.25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</row>
    <row r="219" spans="1:22" x14ac:dyDescent="0.25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</row>
    <row r="220" spans="1:22" x14ac:dyDescent="0.25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</row>
    <row r="221" spans="1:22" x14ac:dyDescent="0.25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</row>
    <row r="222" spans="1:22" x14ac:dyDescent="0.25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</row>
    <row r="223" spans="1:22" x14ac:dyDescent="0.25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</row>
    <row r="224" spans="1:22" x14ac:dyDescent="0.25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</row>
    <row r="225" spans="1:22" x14ac:dyDescent="0.25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</row>
    <row r="226" spans="1:22" x14ac:dyDescent="0.25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</row>
    <row r="227" spans="1:22" x14ac:dyDescent="0.25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</row>
    <row r="228" spans="1:22" x14ac:dyDescent="0.25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</row>
    <row r="229" spans="1:22" x14ac:dyDescent="0.25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</row>
    <row r="230" spans="1:22" x14ac:dyDescent="0.25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</row>
    <row r="231" spans="1:22" x14ac:dyDescent="0.25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</row>
    <row r="232" spans="1:22" x14ac:dyDescent="0.25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</row>
    <row r="233" spans="1:22" x14ac:dyDescent="0.25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</row>
    <row r="234" spans="1:22" x14ac:dyDescent="0.25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</row>
    <row r="235" spans="1:22" x14ac:dyDescent="0.25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</row>
    <row r="236" spans="1:22" x14ac:dyDescent="0.25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</row>
    <row r="237" spans="1:22" x14ac:dyDescent="0.25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</row>
    <row r="238" spans="1:22" x14ac:dyDescent="0.25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</row>
    <row r="239" spans="1:22" x14ac:dyDescent="0.25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</row>
    <row r="240" spans="1:22" x14ac:dyDescent="0.25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</row>
    <row r="241" spans="1:22" x14ac:dyDescent="0.25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</row>
    <row r="242" spans="1:22" x14ac:dyDescent="0.25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</row>
    <row r="243" spans="1:22" x14ac:dyDescent="0.25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</row>
    <row r="244" spans="1:22" x14ac:dyDescent="0.25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</row>
    <row r="245" spans="1:22" x14ac:dyDescent="0.25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</row>
    <row r="246" spans="1:22" x14ac:dyDescent="0.25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</row>
    <row r="247" spans="1:22" x14ac:dyDescent="0.25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</row>
    <row r="248" spans="1:22" x14ac:dyDescent="0.25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</row>
    <row r="249" spans="1:22" x14ac:dyDescent="0.25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</row>
    <row r="250" spans="1:22" x14ac:dyDescent="0.25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</row>
    <row r="251" spans="1:22" x14ac:dyDescent="0.25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</row>
    <row r="252" spans="1:22" s="18" customFormat="1" x14ac:dyDescent="0.25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</row>
    <row r="253" spans="1:22" s="18" customFormat="1" x14ac:dyDescent="0.25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</row>
    <row r="254" spans="1:22" s="18" customFormat="1" x14ac:dyDescent="0.25"/>
    <row r="255" spans="1:22" s="18" customFormat="1" x14ac:dyDescent="0.25"/>
    <row r="256" spans="1:22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  <row r="262" s="18" customFormat="1" x14ac:dyDescent="0.25"/>
    <row r="263" s="18" customFormat="1" x14ac:dyDescent="0.25"/>
    <row r="264" s="18" customFormat="1" x14ac:dyDescent="0.25"/>
    <row r="265" s="18" customFormat="1" x14ac:dyDescent="0.25"/>
    <row r="266" s="18" customFormat="1" x14ac:dyDescent="0.25"/>
    <row r="267" s="18" customFormat="1" x14ac:dyDescent="0.25"/>
    <row r="268" s="18" customFormat="1" x14ac:dyDescent="0.25"/>
    <row r="269" s="18" customFormat="1" x14ac:dyDescent="0.25"/>
    <row r="270" s="18" customFormat="1" x14ac:dyDescent="0.25"/>
    <row r="271" s="18" customFormat="1" x14ac:dyDescent="0.25"/>
    <row r="272" s="18" customFormat="1" x14ac:dyDescent="0.25"/>
    <row r="273" s="18" customFormat="1" x14ac:dyDescent="0.25"/>
  </sheetData>
  <mergeCells count="54">
    <mergeCell ref="A1:Q2"/>
    <mergeCell ref="A3:A8"/>
    <mergeCell ref="B3:B8"/>
    <mergeCell ref="C3:H3"/>
    <mergeCell ref="I3:K3"/>
    <mergeCell ref="L3:N3"/>
    <mergeCell ref="O3:O8"/>
    <mergeCell ref="P3:P8"/>
    <mergeCell ref="Q3:Q8"/>
    <mergeCell ref="C4:C8"/>
    <mergeCell ref="A30:Q32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A68:B68"/>
    <mergeCell ref="A33:A34"/>
    <mergeCell ref="B33:B34"/>
    <mergeCell ref="C33:G33"/>
    <mergeCell ref="H33:K33"/>
    <mergeCell ref="Q33:Q34"/>
    <mergeCell ref="A36:B36"/>
    <mergeCell ref="A54:B54"/>
    <mergeCell ref="A56:B56"/>
    <mergeCell ref="A66:B66"/>
    <mergeCell ref="O33:O34"/>
    <mergeCell ref="P33:P34"/>
    <mergeCell ref="A159:B159"/>
    <mergeCell ref="A77:B77"/>
    <mergeCell ref="A78:B78"/>
    <mergeCell ref="A80:B80"/>
    <mergeCell ref="A92:B92"/>
    <mergeCell ref="A94:B94"/>
    <mergeCell ref="A120:B120"/>
    <mergeCell ref="A131:B131"/>
    <mergeCell ref="A133:B133"/>
    <mergeCell ref="A139:B139"/>
    <mergeCell ref="A149:B149"/>
    <mergeCell ref="A150:B150"/>
    <mergeCell ref="A194:B194"/>
    <mergeCell ref="A197:B197"/>
    <mergeCell ref="A161:B161"/>
    <mergeCell ref="A165:B165"/>
    <mergeCell ref="A167:B167"/>
    <mergeCell ref="A178:B178"/>
    <mergeCell ref="A180:B180"/>
    <mergeCell ref="A192:B192"/>
  </mergeCells>
  <pageMargins left="0.16" right="0.16" top="0.75" bottom="0.75" header="0.3" footer="0.3"/>
  <pageSetup paperSize="9" scale="85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8"/>
  <sheetViews>
    <sheetView topLeftCell="A143" zoomScaleNormal="100" workbookViewId="0">
      <selection activeCell="C109" sqref="C109:M109"/>
    </sheetView>
  </sheetViews>
  <sheetFormatPr defaultRowHeight="15" x14ac:dyDescent="0.25"/>
  <cols>
    <col min="1" max="1" width="4.5703125" customWidth="1"/>
    <col min="2" max="2" width="30" customWidth="1"/>
    <col min="3" max="3" width="12.140625" customWidth="1"/>
    <col min="4" max="4" width="13.5703125" customWidth="1"/>
    <col min="5" max="5" width="7.42578125" customWidth="1"/>
    <col min="6" max="6" width="11" customWidth="1"/>
    <col min="7" max="7" width="10.5703125" customWidth="1"/>
    <col min="8" max="8" width="7.5703125" customWidth="1"/>
    <col min="9" max="9" width="11.5703125" customWidth="1"/>
    <col min="10" max="10" width="11.42578125" customWidth="1"/>
    <col min="11" max="11" width="6.85546875" customWidth="1"/>
    <col min="12" max="12" width="11.5703125" customWidth="1"/>
    <col min="13" max="13" width="12.42578125" customWidth="1"/>
    <col min="14" max="14" width="6.5703125" customWidth="1"/>
    <col min="15" max="15" width="8.28515625" customWidth="1"/>
    <col min="16" max="16" width="7.7109375" customWidth="1"/>
    <col min="17" max="17" width="8.7109375" customWidth="1"/>
  </cols>
  <sheetData>
    <row r="1" spans="1:18" x14ac:dyDescent="0.25">
      <c r="A1" s="337" t="s">
        <v>222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</row>
    <row r="2" spans="1:18" x14ac:dyDescent="0.25">
      <c r="A2" s="338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1"/>
    </row>
    <row r="3" spans="1:18" x14ac:dyDescent="0.25">
      <c r="A3" s="339" t="s">
        <v>0</v>
      </c>
      <c r="B3" s="340" t="s">
        <v>1</v>
      </c>
      <c r="C3" s="341" t="s">
        <v>172</v>
      </c>
      <c r="D3" s="341"/>
      <c r="E3" s="341"/>
      <c r="F3" s="341"/>
      <c r="G3" s="341"/>
      <c r="H3" s="341"/>
      <c r="I3" s="342" t="s">
        <v>2</v>
      </c>
      <c r="J3" s="343"/>
      <c r="K3" s="344"/>
      <c r="L3" s="345" t="s">
        <v>3</v>
      </c>
      <c r="M3" s="346"/>
      <c r="N3" s="347"/>
      <c r="O3" s="340" t="s">
        <v>4</v>
      </c>
      <c r="P3" s="348" t="s">
        <v>5</v>
      </c>
      <c r="Q3" s="340" t="s">
        <v>6</v>
      </c>
      <c r="R3" s="2"/>
    </row>
    <row r="4" spans="1:18" x14ac:dyDescent="0.25">
      <c r="A4" s="339"/>
      <c r="B4" s="340"/>
      <c r="C4" s="340" t="s">
        <v>7</v>
      </c>
      <c r="D4" s="340" t="s">
        <v>8</v>
      </c>
      <c r="E4" s="349" t="s">
        <v>9</v>
      </c>
      <c r="F4" s="340" t="s">
        <v>10</v>
      </c>
      <c r="G4" s="340" t="s">
        <v>8</v>
      </c>
      <c r="H4" s="349" t="s">
        <v>9</v>
      </c>
      <c r="I4" s="340" t="s">
        <v>11</v>
      </c>
      <c r="J4" s="340" t="s">
        <v>8</v>
      </c>
      <c r="K4" s="349" t="s">
        <v>9</v>
      </c>
      <c r="L4" s="340" t="s">
        <v>11</v>
      </c>
      <c r="M4" s="340" t="s">
        <v>8</v>
      </c>
      <c r="N4" s="349" t="s">
        <v>9</v>
      </c>
      <c r="O4" s="340"/>
      <c r="P4" s="348"/>
      <c r="Q4" s="340"/>
      <c r="R4" s="2"/>
    </row>
    <row r="5" spans="1:18" x14ac:dyDescent="0.25">
      <c r="A5" s="339"/>
      <c r="B5" s="340"/>
      <c r="C5" s="340"/>
      <c r="D5" s="340"/>
      <c r="E5" s="349"/>
      <c r="F5" s="340"/>
      <c r="G5" s="340"/>
      <c r="H5" s="349"/>
      <c r="I5" s="340"/>
      <c r="J5" s="340"/>
      <c r="K5" s="349"/>
      <c r="L5" s="340"/>
      <c r="M5" s="340"/>
      <c r="N5" s="349"/>
      <c r="O5" s="340"/>
      <c r="P5" s="348"/>
      <c r="Q5" s="340"/>
      <c r="R5" s="2"/>
    </row>
    <row r="6" spans="1:18" x14ac:dyDescent="0.25">
      <c r="A6" s="339"/>
      <c r="B6" s="340"/>
      <c r="C6" s="340"/>
      <c r="D6" s="340"/>
      <c r="E6" s="349"/>
      <c r="F6" s="340"/>
      <c r="G6" s="340"/>
      <c r="H6" s="349"/>
      <c r="I6" s="340"/>
      <c r="J6" s="340"/>
      <c r="K6" s="349"/>
      <c r="L6" s="340"/>
      <c r="M6" s="340"/>
      <c r="N6" s="349"/>
      <c r="O6" s="340"/>
      <c r="P6" s="348"/>
      <c r="Q6" s="340"/>
      <c r="R6" s="2"/>
    </row>
    <row r="7" spans="1:18" x14ac:dyDescent="0.25">
      <c r="A7" s="339"/>
      <c r="B7" s="340"/>
      <c r="C7" s="340"/>
      <c r="D7" s="340"/>
      <c r="E7" s="349"/>
      <c r="F7" s="340"/>
      <c r="G7" s="340"/>
      <c r="H7" s="349"/>
      <c r="I7" s="340"/>
      <c r="J7" s="340"/>
      <c r="K7" s="349"/>
      <c r="L7" s="340"/>
      <c r="M7" s="340"/>
      <c r="N7" s="349"/>
      <c r="O7" s="340"/>
      <c r="P7" s="348"/>
      <c r="Q7" s="340"/>
      <c r="R7" s="2"/>
    </row>
    <row r="8" spans="1:18" x14ac:dyDescent="0.25">
      <c r="A8" s="339"/>
      <c r="B8" s="340"/>
      <c r="C8" s="340"/>
      <c r="D8" s="340"/>
      <c r="E8" s="349"/>
      <c r="F8" s="340"/>
      <c r="G8" s="340"/>
      <c r="H8" s="349"/>
      <c r="I8" s="340"/>
      <c r="J8" s="340"/>
      <c r="K8" s="349"/>
      <c r="L8" s="340"/>
      <c r="M8" s="340"/>
      <c r="N8" s="349"/>
      <c r="O8" s="340"/>
      <c r="P8" s="348"/>
      <c r="Q8" s="340"/>
      <c r="R8" s="2"/>
    </row>
    <row r="9" spans="1:18" x14ac:dyDescent="0.25">
      <c r="A9" s="272">
        <v>1</v>
      </c>
      <c r="B9" s="272">
        <v>2</v>
      </c>
      <c r="C9" s="273">
        <v>3</v>
      </c>
      <c r="D9" s="273">
        <v>4</v>
      </c>
      <c r="E9" s="5">
        <v>5</v>
      </c>
      <c r="F9" s="273">
        <v>6</v>
      </c>
      <c r="G9" s="273">
        <v>7</v>
      </c>
      <c r="H9" s="273">
        <v>8</v>
      </c>
      <c r="I9" s="273">
        <v>11</v>
      </c>
      <c r="J9" s="273">
        <v>12</v>
      </c>
      <c r="K9" s="273">
        <v>13</v>
      </c>
      <c r="L9" s="273">
        <v>17</v>
      </c>
      <c r="M9" s="273">
        <v>18</v>
      </c>
      <c r="N9" s="273">
        <v>19</v>
      </c>
      <c r="O9" s="273">
        <v>20</v>
      </c>
      <c r="P9" s="5">
        <v>21</v>
      </c>
      <c r="Q9" s="273">
        <v>22</v>
      </c>
      <c r="R9" s="6"/>
    </row>
    <row r="10" spans="1:18" ht="28.5" customHeight="1" x14ac:dyDescent="0.25">
      <c r="A10" s="7">
        <v>1</v>
      </c>
      <c r="B10" s="141" t="s">
        <v>209</v>
      </c>
      <c r="C10" s="5">
        <f t="shared" ref="C10:P10" si="0">C139</f>
        <v>163201240</v>
      </c>
      <c r="D10" s="5">
        <f t="shared" si="0"/>
        <v>145631074</v>
      </c>
      <c r="E10" s="9">
        <f t="shared" si="0"/>
        <v>112.06484681971102</v>
      </c>
      <c r="F10" s="5">
        <f t="shared" si="0"/>
        <v>18887003</v>
      </c>
      <c r="G10" s="10">
        <f t="shared" si="0"/>
        <v>12608700</v>
      </c>
      <c r="H10" s="11">
        <f t="shared" si="0"/>
        <v>149.79342041606191</v>
      </c>
      <c r="I10" s="10">
        <f t="shared" si="0"/>
        <v>152570530</v>
      </c>
      <c r="J10" s="10">
        <f t="shared" si="0"/>
        <v>136758904</v>
      </c>
      <c r="K10" s="11">
        <f t="shared" si="0"/>
        <v>111.5616793770152</v>
      </c>
      <c r="L10" s="5">
        <f t="shared" si="0"/>
        <v>96545925</v>
      </c>
      <c r="M10" s="5">
        <f t="shared" si="0"/>
        <v>88534348</v>
      </c>
      <c r="N10" s="9">
        <f t="shared" si="0"/>
        <v>109.04911729852012</v>
      </c>
      <c r="O10" s="5">
        <f t="shared" si="0"/>
        <v>6057</v>
      </c>
      <c r="P10" s="9">
        <f t="shared" si="0"/>
        <v>176.60326894502228</v>
      </c>
      <c r="Q10" s="5">
        <f>Q139</f>
        <v>6054</v>
      </c>
      <c r="R10" s="12">
        <f t="shared" ref="R10:R22" si="1">O10*P10</f>
        <v>1069686</v>
      </c>
    </row>
    <row r="11" spans="1:18" ht="33.75" customHeight="1" x14ac:dyDescent="0.25">
      <c r="A11" s="7"/>
      <c r="B11" s="141" t="s">
        <v>210</v>
      </c>
      <c r="C11" s="5">
        <f>C149</f>
        <v>146499718</v>
      </c>
      <c r="D11" s="5">
        <f>D149</f>
        <v>141812052</v>
      </c>
      <c r="E11" s="9">
        <f t="shared" ref="E11:Q11" si="2">E149</f>
        <v>103.3055483887928</v>
      </c>
      <c r="F11" s="5">
        <f t="shared" si="2"/>
        <v>13866203</v>
      </c>
      <c r="G11" s="5">
        <f t="shared" si="2"/>
        <v>12987784</v>
      </c>
      <c r="H11" s="9">
        <f t="shared" si="2"/>
        <v>106.76342476899832</v>
      </c>
      <c r="I11" s="5">
        <f t="shared" si="2"/>
        <v>145874878</v>
      </c>
      <c r="J11" s="5">
        <f t="shared" si="2"/>
        <v>142475263</v>
      </c>
      <c r="K11" s="9">
        <f t="shared" si="2"/>
        <v>102.38610894861095</v>
      </c>
      <c r="L11" s="5">
        <f t="shared" si="2"/>
        <v>141798742</v>
      </c>
      <c r="M11" s="5">
        <f t="shared" si="2"/>
        <v>139750981</v>
      </c>
      <c r="N11" s="9">
        <f t="shared" si="2"/>
        <v>101.4652927552616</v>
      </c>
      <c r="O11" s="5">
        <f t="shared" si="2"/>
        <v>3585</v>
      </c>
      <c r="P11" s="5">
        <f t="shared" si="2"/>
        <v>127.32384937238494</v>
      </c>
      <c r="Q11" s="5">
        <f t="shared" si="2"/>
        <v>3585</v>
      </c>
      <c r="R11" s="12">
        <f t="shared" si="1"/>
        <v>456456</v>
      </c>
    </row>
    <row r="12" spans="1:18" ht="30.75" customHeight="1" x14ac:dyDescent="0.25">
      <c r="A12" s="7">
        <v>2</v>
      </c>
      <c r="B12" s="141" t="s">
        <v>212</v>
      </c>
      <c r="C12" s="5">
        <f t="shared" ref="C12:P12" si="3">C159</f>
        <v>10690111</v>
      </c>
      <c r="D12" s="5">
        <f t="shared" si="3"/>
        <v>12956915</v>
      </c>
      <c r="E12" s="9">
        <f t="shared" si="3"/>
        <v>82.505063898312216</v>
      </c>
      <c r="F12" s="5">
        <f t="shared" si="3"/>
        <v>909075</v>
      </c>
      <c r="G12" s="10">
        <f t="shared" si="3"/>
        <v>1374942</v>
      </c>
      <c r="H12" s="11">
        <f t="shared" si="3"/>
        <v>66.117334403923948</v>
      </c>
      <c r="I12" s="10">
        <f t="shared" si="3"/>
        <v>11229505</v>
      </c>
      <c r="J12" s="10">
        <f t="shared" si="3"/>
        <v>12751226</v>
      </c>
      <c r="K12" s="11">
        <f t="shared" si="3"/>
        <v>88.066080861557936</v>
      </c>
      <c r="L12" s="5">
        <f t="shared" si="3"/>
        <v>3663135</v>
      </c>
      <c r="M12" s="5">
        <f t="shared" si="3"/>
        <v>3079394</v>
      </c>
      <c r="N12" s="9">
        <f t="shared" si="3"/>
        <v>118.9563595954269</v>
      </c>
      <c r="O12" s="5">
        <f t="shared" si="3"/>
        <v>1309</v>
      </c>
      <c r="P12" s="9">
        <f t="shared" si="3"/>
        <v>82.220015278838815</v>
      </c>
      <c r="Q12" s="5">
        <f>Q159</f>
        <v>1289</v>
      </c>
      <c r="R12" s="12">
        <f t="shared" si="1"/>
        <v>107626.00000000001</v>
      </c>
    </row>
    <row r="13" spans="1:18" ht="39.75" customHeight="1" x14ac:dyDescent="0.25">
      <c r="A13" s="7">
        <v>3</v>
      </c>
      <c r="B13" s="141" t="s">
        <v>180</v>
      </c>
      <c r="C13" s="5">
        <f t="shared" ref="C13:P13" si="4">C178</f>
        <v>10516039</v>
      </c>
      <c r="D13" s="5">
        <f t="shared" si="4"/>
        <v>13808779</v>
      </c>
      <c r="E13" s="9">
        <f t="shared" si="4"/>
        <v>76.154734607599991</v>
      </c>
      <c r="F13" s="5">
        <f t="shared" si="4"/>
        <v>1048392</v>
      </c>
      <c r="G13" s="10">
        <f t="shared" si="4"/>
        <v>1821148</v>
      </c>
      <c r="H13" s="11">
        <f t="shared" si="4"/>
        <v>57.567644145341291</v>
      </c>
      <c r="I13" s="10">
        <f t="shared" si="4"/>
        <v>10788308</v>
      </c>
      <c r="J13" s="10">
        <f t="shared" si="4"/>
        <v>13760561</v>
      </c>
      <c r="K13" s="11">
        <f t="shared" si="4"/>
        <v>78.400204759093768</v>
      </c>
      <c r="L13" s="5">
        <f t="shared" si="4"/>
        <v>10731199</v>
      </c>
      <c r="M13" s="5">
        <f t="shared" si="4"/>
        <v>13721888</v>
      </c>
      <c r="N13" s="9">
        <f t="shared" si="4"/>
        <v>78.204974417514563</v>
      </c>
      <c r="O13" s="5">
        <f t="shared" si="4"/>
        <v>521</v>
      </c>
      <c r="P13" s="9">
        <f t="shared" si="4"/>
        <v>105.36468330134358</v>
      </c>
      <c r="Q13" s="5">
        <f>Q178</f>
        <v>527</v>
      </c>
      <c r="R13" s="12">
        <f t="shared" si="1"/>
        <v>54895</v>
      </c>
    </row>
    <row r="14" spans="1:18" ht="45" customHeight="1" x14ac:dyDescent="0.25">
      <c r="A14" s="7">
        <v>4</v>
      </c>
      <c r="B14" s="141" t="s">
        <v>181</v>
      </c>
      <c r="C14" s="5">
        <f t="shared" ref="C14:Q14" si="5">C54</f>
        <v>3687626</v>
      </c>
      <c r="D14" s="10">
        <f t="shared" si="5"/>
        <v>2539020</v>
      </c>
      <c r="E14" s="11">
        <f t="shared" si="5"/>
        <v>145.23816275570888</v>
      </c>
      <c r="F14" s="10">
        <f t="shared" si="5"/>
        <v>307702</v>
      </c>
      <c r="G14" s="10">
        <f t="shared" si="5"/>
        <v>226777</v>
      </c>
      <c r="H14" s="11">
        <f t="shared" si="5"/>
        <v>135.68483576376792</v>
      </c>
      <c r="I14" s="10">
        <f t="shared" si="5"/>
        <v>3008135</v>
      </c>
      <c r="J14" s="10">
        <f t="shared" si="5"/>
        <v>2625926</v>
      </c>
      <c r="K14" s="11">
        <f t="shared" si="5"/>
        <v>114.55520833412672</v>
      </c>
      <c r="L14" s="10">
        <f t="shared" si="5"/>
        <v>1627333</v>
      </c>
      <c r="M14" s="10">
        <f t="shared" si="5"/>
        <v>1250075</v>
      </c>
      <c r="N14" s="11">
        <f t="shared" si="5"/>
        <v>130.17882927024377</v>
      </c>
      <c r="O14" s="10">
        <f t="shared" si="5"/>
        <v>894</v>
      </c>
      <c r="P14" s="11">
        <f t="shared" si="5"/>
        <v>92.855704697986582</v>
      </c>
      <c r="Q14" s="10">
        <f t="shared" si="5"/>
        <v>896</v>
      </c>
      <c r="R14" s="12">
        <f t="shared" si="1"/>
        <v>83013</v>
      </c>
    </row>
    <row r="15" spans="1:18" ht="34.5" customHeight="1" x14ac:dyDescent="0.25">
      <c r="A15" s="7">
        <v>5</v>
      </c>
      <c r="B15" s="141" t="s">
        <v>182</v>
      </c>
      <c r="C15" s="5">
        <f t="shared" ref="C15:Q15" si="6">C66</f>
        <v>1586959</v>
      </c>
      <c r="D15" s="10">
        <f t="shared" si="6"/>
        <v>1771651</v>
      </c>
      <c r="E15" s="11">
        <f t="shared" si="6"/>
        <v>89.575147701212032</v>
      </c>
      <c r="F15" s="10">
        <f t="shared" si="6"/>
        <v>146379</v>
      </c>
      <c r="G15" s="10">
        <f t="shared" si="6"/>
        <v>164934</v>
      </c>
      <c r="H15" s="11">
        <f t="shared" si="6"/>
        <v>88.750045472734556</v>
      </c>
      <c r="I15" s="10">
        <f t="shared" si="6"/>
        <v>1742758</v>
      </c>
      <c r="J15" s="10">
        <f t="shared" si="6"/>
        <v>1818282</v>
      </c>
      <c r="K15" s="11">
        <f t="shared" si="6"/>
        <v>95.846408862871655</v>
      </c>
      <c r="L15" s="10">
        <f t="shared" si="6"/>
        <v>1151666</v>
      </c>
      <c r="M15" s="10">
        <f t="shared" si="6"/>
        <v>1123227</v>
      </c>
      <c r="N15" s="11">
        <f t="shared" si="6"/>
        <v>102.53190138769813</v>
      </c>
      <c r="O15" s="10">
        <f t="shared" si="6"/>
        <v>583</v>
      </c>
      <c r="P15" s="11">
        <f t="shared" si="6"/>
        <v>81.409948542024011</v>
      </c>
      <c r="Q15" s="10">
        <f t="shared" si="6"/>
        <v>584</v>
      </c>
      <c r="R15" s="12">
        <f t="shared" si="1"/>
        <v>47462</v>
      </c>
    </row>
    <row r="16" spans="1:18" ht="36.75" customHeight="1" x14ac:dyDescent="0.25">
      <c r="A16" s="7">
        <v>6</v>
      </c>
      <c r="B16" s="141" t="s">
        <v>183</v>
      </c>
      <c r="C16" s="5">
        <f t="shared" ref="C16:Q16" si="7">C77</f>
        <v>1763054</v>
      </c>
      <c r="D16" s="10">
        <f t="shared" si="7"/>
        <v>1431626</v>
      </c>
      <c r="E16" s="11">
        <f t="shared" si="7"/>
        <v>123.15045968709705</v>
      </c>
      <c r="F16" s="10">
        <f t="shared" si="7"/>
        <v>183035</v>
      </c>
      <c r="G16" s="10">
        <f t="shared" si="7"/>
        <v>194812</v>
      </c>
      <c r="H16" s="11">
        <f t="shared" si="7"/>
        <v>93.95468451635422</v>
      </c>
      <c r="I16" s="10">
        <f t="shared" si="7"/>
        <v>1826374</v>
      </c>
      <c r="J16" s="10">
        <f t="shared" si="7"/>
        <v>1567306</v>
      </c>
      <c r="K16" s="11">
        <f t="shared" si="7"/>
        <v>116.52950987235423</v>
      </c>
      <c r="L16" s="10">
        <f t="shared" si="7"/>
        <v>936339</v>
      </c>
      <c r="M16" s="10">
        <f t="shared" si="7"/>
        <v>615487</v>
      </c>
      <c r="N16" s="11">
        <f t="shared" si="7"/>
        <v>152.12977690836686</v>
      </c>
      <c r="O16" s="10">
        <f t="shared" si="7"/>
        <v>558</v>
      </c>
      <c r="P16" s="11">
        <f t="shared" si="7"/>
        <v>90.365591397849457</v>
      </c>
      <c r="Q16" s="10">
        <f t="shared" si="7"/>
        <v>531</v>
      </c>
      <c r="R16" s="12">
        <f t="shared" si="1"/>
        <v>50424</v>
      </c>
    </row>
    <row r="17" spans="1:18" ht="40.5" customHeight="1" x14ac:dyDescent="0.25">
      <c r="A17" s="7">
        <v>7</v>
      </c>
      <c r="B17" s="141" t="s">
        <v>184</v>
      </c>
      <c r="C17" s="5">
        <f t="shared" ref="C17:Q17" si="8">C92</f>
        <v>7158877</v>
      </c>
      <c r="D17" s="10">
        <f t="shared" si="8"/>
        <v>6806936</v>
      </c>
      <c r="E17" s="11">
        <f t="shared" si="8"/>
        <v>105.17032920538698</v>
      </c>
      <c r="F17" s="10">
        <f t="shared" si="8"/>
        <v>864008</v>
      </c>
      <c r="G17" s="10">
        <f t="shared" si="8"/>
        <v>704441</v>
      </c>
      <c r="H17" s="11">
        <f t="shared" si="8"/>
        <v>122.65157763389696</v>
      </c>
      <c r="I17" s="10">
        <f t="shared" si="8"/>
        <v>11115521</v>
      </c>
      <c r="J17" s="10">
        <f t="shared" si="8"/>
        <v>10164382</v>
      </c>
      <c r="K17" s="11">
        <f t="shared" si="8"/>
        <v>109.35756841881779</v>
      </c>
      <c r="L17" s="10">
        <f t="shared" si="8"/>
        <v>2619821</v>
      </c>
      <c r="M17" s="10">
        <f t="shared" si="8"/>
        <v>2016521</v>
      </c>
      <c r="N17" s="11">
        <f t="shared" si="8"/>
        <v>129.91786348865199</v>
      </c>
      <c r="O17" s="10">
        <f t="shared" si="8"/>
        <v>4088</v>
      </c>
      <c r="P17" s="11">
        <f t="shared" si="8"/>
        <v>109.09858121330724</v>
      </c>
      <c r="Q17" s="10">
        <f t="shared" si="8"/>
        <v>4076</v>
      </c>
      <c r="R17" s="12">
        <f t="shared" si="1"/>
        <v>445995</v>
      </c>
    </row>
    <row r="18" spans="1:18" ht="42.75" customHeight="1" x14ac:dyDescent="0.25">
      <c r="A18" s="7">
        <v>8</v>
      </c>
      <c r="B18" s="141" t="s">
        <v>177</v>
      </c>
      <c r="C18" s="5">
        <f t="shared" ref="C18:Q18" si="9">C165</f>
        <v>4794647</v>
      </c>
      <c r="D18" s="10">
        <f t="shared" si="9"/>
        <v>2376809</v>
      </c>
      <c r="E18" s="11">
        <f t="shared" si="9"/>
        <v>201.72622200605937</v>
      </c>
      <c r="F18" s="10">
        <f t="shared" si="9"/>
        <v>684858</v>
      </c>
      <c r="G18" s="10">
        <f t="shared" si="9"/>
        <v>415206</v>
      </c>
      <c r="H18" s="11">
        <f t="shared" si="9"/>
        <v>164.94414820595077</v>
      </c>
      <c r="I18" s="10">
        <f t="shared" si="9"/>
        <v>4491091</v>
      </c>
      <c r="J18" s="10">
        <f t="shared" si="9"/>
        <v>2175009</v>
      </c>
      <c r="K18" s="11">
        <f t="shared" si="9"/>
        <v>206.48608810354347</v>
      </c>
      <c r="L18" s="10">
        <f t="shared" si="9"/>
        <v>348394</v>
      </c>
      <c r="M18" s="10">
        <f t="shared" si="9"/>
        <v>168397</v>
      </c>
      <c r="N18" s="11">
        <f t="shared" si="9"/>
        <v>0</v>
      </c>
      <c r="O18" s="10">
        <f t="shared" si="9"/>
        <v>564</v>
      </c>
      <c r="P18" s="11">
        <f t="shared" si="9"/>
        <v>96.476950354609926</v>
      </c>
      <c r="Q18" s="10">
        <f t="shared" si="9"/>
        <v>564</v>
      </c>
      <c r="R18" s="12">
        <f t="shared" si="1"/>
        <v>54413</v>
      </c>
    </row>
    <row r="19" spans="1:18" ht="43.5" customHeight="1" x14ac:dyDescent="0.25">
      <c r="A19" s="7">
        <v>9</v>
      </c>
      <c r="B19" s="141" t="s">
        <v>185</v>
      </c>
      <c r="C19" s="5">
        <f t="shared" ref="C19:Q19" si="10">C120</f>
        <v>3332692</v>
      </c>
      <c r="D19" s="10">
        <f t="shared" si="10"/>
        <v>3607878</v>
      </c>
      <c r="E19" s="11">
        <f t="shared" si="10"/>
        <v>92.372635660074977</v>
      </c>
      <c r="F19" s="10">
        <f t="shared" si="10"/>
        <v>287239</v>
      </c>
      <c r="G19" s="10">
        <f t="shared" si="10"/>
        <v>414926</v>
      </c>
      <c r="H19" s="11">
        <f t="shared" si="10"/>
        <v>69.226560880735349</v>
      </c>
      <c r="I19" s="10">
        <f t="shared" si="10"/>
        <v>3459755</v>
      </c>
      <c r="J19" s="10">
        <f t="shared" si="10"/>
        <v>3482549</v>
      </c>
      <c r="K19" s="11">
        <f t="shared" si="10"/>
        <v>99.345479417518604</v>
      </c>
      <c r="L19" s="10">
        <f t="shared" si="10"/>
        <v>1621554</v>
      </c>
      <c r="M19" s="10">
        <f t="shared" si="10"/>
        <v>1579393</v>
      </c>
      <c r="N19" s="11">
        <f t="shared" si="10"/>
        <v>102.66944326079704</v>
      </c>
      <c r="O19" s="10">
        <f t="shared" si="10"/>
        <v>1701</v>
      </c>
      <c r="P19" s="11">
        <f t="shared" si="10"/>
        <v>61.828924162257493</v>
      </c>
      <c r="Q19" s="10">
        <f t="shared" si="10"/>
        <v>1753</v>
      </c>
      <c r="R19" s="12">
        <f t="shared" si="1"/>
        <v>105171</v>
      </c>
    </row>
    <row r="20" spans="1:18" ht="23.25" customHeight="1" x14ac:dyDescent="0.25">
      <c r="A20" s="7">
        <v>10</v>
      </c>
      <c r="B20" s="141" t="s">
        <v>186</v>
      </c>
      <c r="C20" s="5">
        <f t="shared" ref="C20:Q20" si="11">C131</f>
        <v>228692</v>
      </c>
      <c r="D20" s="10">
        <f t="shared" si="11"/>
        <v>197765</v>
      </c>
      <c r="E20" s="11">
        <f t="shared" si="11"/>
        <v>115.638257527874</v>
      </c>
      <c r="F20" s="10">
        <f t="shared" si="11"/>
        <v>7865</v>
      </c>
      <c r="G20" s="10">
        <f t="shared" si="11"/>
        <v>35080</v>
      </c>
      <c r="H20" s="11">
        <f t="shared" si="11"/>
        <v>22.420182440136831</v>
      </c>
      <c r="I20" s="10">
        <f t="shared" si="11"/>
        <v>259315</v>
      </c>
      <c r="J20" s="10">
        <f t="shared" si="11"/>
        <v>197269</v>
      </c>
      <c r="K20" s="11">
        <f t="shared" si="11"/>
        <v>131.45248366443789</v>
      </c>
      <c r="L20" s="10">
        <f>L131</f>
        <v>0</v>
      </c>
      <c r="M20" s="10">
        <f t="shared" si="11"/>
        <v>0</v>
      </c>
      <c r="N20" s="11">
        <f t="shared" si="11"/>
        <v>0</v>
      </c>
      <c r="O20" s="10">
        <f t="shared" si="11"/>
        <v>100</v>
      </c>
      <c r="P20" s="11">
        <f t="shared" si="11"/>
        <v>75.3</v>
      </c>
      <c r="Q20" s="10">
        <f t="shared" si="11"/>
        <v>100</v>
      </c>
      <c r="R20" s="12">
        <f t="shared" si="1"/>
        <v>7530</v>
      </c>
    </row>
    <row r="21" spans="1:18" ht="39" customHeight="1" x14ac:dyDescent="0.25">
      <c r="A21" s="7">
        <v>11</v>
      </c>
      <c r="B21" s="141" t="s">
        <v>187</v>
      </c>
      <c r="C21" s="5">
        <f t="shared" ref="C21:P21" si="12">C192</f>
        <v>1111456</v>
      </c>
      <c r="D21" s="10">
        <f t="shared" si="12"/>
        <v>1350119.7</v>
      </c>
      <c r="E21" s="11">
        <f t="shared" si="12"/>
        <v>82.322774788042878</v>
      </c>
      <c r="F21" s="10">
        <f t="shared" si="12"/>
        <v>101013</v>
      </c>
      <c r="G21" s="10">
        <f t="shared" si="12"/>
        <v>88526</v>
      </c>
      <c r="H21" s="11">
        <f t="shared" si="12"/>
        <v>114.10546054266544</v>
      </c>
      <c r="I21" s="10">
        <f t="shared" si="12"/>
        <v>760515.1</v>
      </c>
      <c r="J21" s="10">
        <f t="shared" si="12"/>
        <v>1173653.3</v>
      </c>
      <c r="K21" s="11">
        <f t="shared" si="12"/>
        <v>64.798957238905217</v>
      </c>
      <c r="L21" s="10">
        <f t="shared" si="12"/>
        <v>106796</v>
      </c>
      <c r="M21" s="10">
        <f t="shared" si="12"/>
        <v>371225</v>
      </c>
      <c r="N21" s="11">
        <f t="shared" si="12"/>
        <v>28.768536601791368</v>
      </c>
      <c r="O21" s="10">
        <f t="shared" si="12"/>
        <v>579</v>
      </c>
      <c r="P21" s="11">
        <f t="shared" si="12"/>
        <v>168.34455958549219</v>
      </c>
      <c r="Q21" s="10">
        <f>Q192</f>
        <v>579</v>
      </c>
      <c r="R21" s="12">
        <f t="shared" si="1"/>
        <v>97471.499999999985</v>
      </c>
    </row>
    <row r="22" spans="1:18" ht="39.75" customHeight="1" x14ac:dyDescent="0.25">
      <c r="A22" s="7">
        <v>12</v>
      </c>
      <c r="B22" s="141" t="s">
        <v>188</v>
      </c>
      <c r="C22" s="5">
        <f t="shared" ref="C22:P22" si="13">C197</f>
        <v>398259</v>
      </c>
      <c r="D22" s="10">
        <f t="shared" si="13"/>
        <v>550658</v>
      </c>
      <c r="E22" s="11">
        <f t="shared" si="13"/>
        <v>72.324201228348628</v>
      </c>
      <c r="F22" s="10">
        <f t="shared" si="13"/>
        <v>40839</v>
      </c>
      <c r="G22" s="10">
        <f t="shared" si="13"/>
        <v>98798</v>
      </c>
      <c r="H22" s="11">
        <f>H197</f>
        <v>41.335857001153869</v>
      </c>
      <c r="I22" s="10">
        <f t="shared" si="13"/>
        <v>396293</v>
      </c>
      <c r="J22" s="10">
        <f t="shared" si="13"/>
        <v>526549</v>
      </c>
      <c r="K22" s="11">
        <f t="shared" si="13"/>
        <v>75.262321265447284</v>
      </c>
      <c r="L22" s="10">
        <f t="shared" si="13"/>
        <v>103977</v>
      </c>
      <c r="M22" s="10">
        <f t="shared" si="13"/>
        <v>116723</v>
      </c>
      <c r="N22" s="11">
        <f t="shared" si="13"/>
        <v>89.080129880143588</v>
      </c>
      <c r="O22" s="10">
        <f>O197</f>
        <v>236</v>
      </c>
      <c r="P22" s="11">
        <f t="shared" si="13"/>
        <v>56.885593220338983</v>
      </c>
      <c r="Q22" s="10">
        <f>Q197</f>
        <v>236</v>
      </c>
      <c r="R22" s="12">
        <f t="shared" si="1"/>
        <v>13425</v>
      </c>
    </row>
    <row r="23" spans="1:18" x14ac:dyDescent="0.25">
      <c r="A23" s="214"/>
      <c r="B23" s="214" t="s">
        <v>189</v>
      </c>
      <c r="C23" s="215">
        <f>SUM(C10:C22)</f>
        <v>354969370</v>
      </c>
      <c r="D23" s="215">
        <f>SUM(D10:D22)</f>
        <v>334841282.69999999</v>
      </c>
      <c r="E23" s="216">
        <f>C23/D23*100</f>
        <v>106.01123228823421</v>
      </c>
      <c r="F23" s="215">
        <f>SUM(F10:F22)</f>
        <v>37333611</v>
      </c>
      <c r="G23" s="215">
        <f>SUM(G10:G22)</f>
        <v>31136074</v>
      </c>
      <c r="H23" s="216">
        <f>F23/G23*100</f>
        <v>119.9046835513045</v>
      </c>
      <c r="I23" s="215">
        <f>SUM(I10:I22)</f>
        <v>347522978.10000002</v>
      </c>
      <c r="J23" s="215">
        <f>SUM(J10:J22)</f>
        <v>329476879.30000001</v>
      </c>
      <c r="K23" s="216">
        <f>I23/J23*100</f>
        <v>105.47719731907756</v>
      </c>
      <c r="L23" s="215">
        <f>SUM(L10:L22)</f>
        <v>261254881</v>
      </c>
      <c r="M23" s="215">
        <f>SUM(M10:M22)</f>
        <v>252327659</v>
      </c>
      <c r="N23" s="216">
        <f>L23/M23*100</f>
        <v>103.53794825164213</v>
      </c>
      <c r="O23" s="215">
        <f>SUM(O10:O22)</f>
        <v>20775</v>
      </c>
      <c r="P23" s="216">
        <f>R23/O23</f>
        <v>124.84079422382672</v>
      </c>
      <c r="Q23" s="215">
        <f>SUM(Q10:Q22)</f>
        <v>20774</v>
      </c>
      <c r="R23" s="217">
        <f>SUM(R10:R22)</f>
        <v>2593567.5</v>
      </c>
    </row>
    <row r="24" spans="1:18" x14ac:dyDescent="0.2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7"/>
      <c r="Q24" s="17"/>
      <c r="R24" s="18"/>
    </row>
    <row r="25" spans="1:18" ht="15.75" customHeight="1" x14ac:dyDescent="0.25">
      <c r="A25" s="19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20"/>
      <c r="Q25" s="20"/>
      <c r="R25" s="21"/>
    </row>
    <row r="26" spans="1:18" hidden="1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18" ht="96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hidden="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 ht="0.75" customHeight="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x14ac:dyDescent="0.25">
      <c r="A30" s="325" t="s">
        <v>224</v>
      </c>
      <c r="B30" s="325"/>
      <c r="C30" s="325"/>
      <c r="D30" s="325"/>
      <c r="E30" s="325"/>
      <c r="F30" s="325"/>
      <c r="G30" s="325"/>
      <c r="H30" s="325"/>
      <c r="I30" s="325"/>
      <c r="J30" s="325"/>
      <c r="K30" s="325"/>
      <c r="L30" s="325"/>
      <c r="M30" s="325"/>
      <c r="N30" s="325"/>
      <c r="O30" s="325"/>
      <c r="P30" s="325"/>
      <c r="Q30" s="325"/>
      <c r="R30" s="23"/>
    </row>
    <row r="31" spans="1:18" x14ac:dyDescent="0.25">
      <c r="A31" s="325"/>
      <c r="B31" s="325"/>
      <c r="C31" s="325"/>
      <c r="D31" s="325"/>
      <c r="E31" s="325"/>
      <c r="F31" s="325"/>
      <c r="G31" s="325"/>
      <c r="H31" s="325"/>
      <c r="I31" s="325"/>
      <c r="J31" s="325"/>
      <c r="K31" s="325"/>
      <c r="L31" s="325"/>
      <c r="M31" s="325"/>
      <c r="N31" s="325"/>
      <c r="O31" s="325"/>
      <c r="P31" s="325"/>
      <c r="Q31" s="325"/>
      <c r="R31" s="23"/>
    </row>
    <row r="32" spans="1:18" ht="15.75" x14ac:dyDescent="0.25">
      <c r="A32" s="326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6"/>
      <c r="M32" s="326"/>
      <c r="N32" s="326"/>
      <c r="O32" s="326"/>
      <c r="P32" s="326"/>
      <c r="Q32" s="326"/>
      <c r="R32" s="25"/>
    </row>
    <row r="33" spans="1:18" x14ac:dyDescent="0.25">
      <c r="A33" s="327" t="s">
        <v>0</v>
      </c>
      <c r="B33" s="329" t="s">
        <v>24</v>
      </c>
      <c r="C33" s="331" t="s">
        <v>172</v>
      </c>
      <c r="D33" s="331"/>
      <c r="E33" s="331"/>
      <c r="F33" s="331"/>
      <c r="G33" s="331"/>
      <c r="H33" s="331" t="s">
        <v>2</v>
      </c>
      <c r="I33" s="331"/>
      <c r="J33" s="331"/>
      <c r="K33" s="331"/>
      <c r="L33" s="270"/>
      <c r="M33" s="270" t="s">
        <v>3</v>
      </c>
      <c r="N33" s="27"/>
      <c r="O33" s="329" t="s">
        <v>25</v>
      </c>
      <c r="P33" s="332" t="s">
        <v>26</v>
      </c>
      <c r="Q33" s="329" t="s">
        <v>27</v>
      </c>
      <c r="R33" s="28"/>
    </row>
    <row r="34" spans="1:18" ht="60" x14ac:dyDescent="0.25">
      <c r="A34" s="328"/>
      <c r="B34" s="330"/>
      <c r="C34" s="269" t="s">
        <v>7</v>
      </c>
      <c r="D34" s="269" t="s">
        <v>28</v>
      </c>
      <c r="E34" s="30" t="s">
        <v>29</v>
      </c>
      <c r="F34" s="269" t="s">
        <v>10</v>
      </c>
      <c r="G34" s="269" t="s">
        <v>30</v>
      </c>
      <c r="H34" s="30" t="s">
        <v>29</v>
      </c>
      <c r="I34" s="269" t="s">
        <v>11</v>
      </c>
      <c r="J34" s="269" t="s">
        <v>28</v>
      </c>
      <c r="K34" s="30" t="s">
        <v>29</v>
      </c>
      <c r="L34" s="269" t="s">
        <v>11</v>
      </c>
      <c r="M34" s="269" t="s">
        <v>28</v>
      </c>
      <c r="N34" s="30" t="s">
        <v>29</v>
      </c>
      <c r="O34" s="330"/>
      <c r="P34" s="333"/>
      <c r="Q34" s="330"/>
      <c r="R34" s="31"/>
    </row>
    <row r="35" spans="1:18" x14ac:dyDescent="0.25">
      <c r="A35" s="32"/>
      <c r="B35" s="33" t="s">
        <v>31</v>
      </c>
      <c r="C35" s="32"/>
      <c r="D35" s="32"/>
      <c r="E35" s="32"/>
      <c r="F35" s="32"/>
      <c r="G35" s="32"/>
      <c r="H35" s="32"/>
      <c r="I35" s="32"/>
      <c r="J35" s="32"/>
      <c r="K35" s="34"/>
      <c r="L35" s="32"/>
      <c r="M35" s="32"/>
      <c r="N35" s="32"/>
      <c r="O35" s="32"/>
      <c r="P35" s="35"/>
      <c r="Q35" s="35"/>
      <c r="R35" s="36"/>
    </row>
    <row r="36" spans="1:18" x14ac:dyDescent="0.25">
      <c r="A36" s="319" t="s">
        <v>32</v>
      </c>
      <c r="B36" s="320"/>
      <c r="C36" s="37">
        <v>3</v>
      </c>
      <c r="D36" s="37">
        <v>4</v>
      </c>
      <c r="E36" s="271">
        <v>5</v>
      </c>
      <c r="F36" s="37">
        <v>6</v>
      </c>
      <c r="G36" s="37">
        <v>7</v>
      </c>
      <c r="H36" s="37">
        <v>8</v>
      </c>
      <c r="I36" s="37">
        <v>9</v>
      </c>
      <c r="J36" s="37">
        <v>10</v>
      </c>
      <c r="K36" s="37">
        <v>11</v>
      </c>
      <c r="L36" s="37">
        <v>12</v>
      </c>
      <c r="M36" s="37">
        <v>13</v>
      </c>
      <c r="N36" s="37">
        <v>14</v>
      </c>
      <c r="O36" s="37">
        <v>15</v>
      </c>
      <c r="P36" s="271">
        <v>16</v>
      </c>
      <c r="Q36" s="37">
        <v>17</v>
      </c>
      <c r="R36" s="39"/>
    </row>
    <row r="37" spans="1:18" x14ac:dyDescent="0.25">
      <c r="A37" s="40">
        <v>1</v>
      </c>
      <c r="B37" s="41" t="s">
        <v>33</v>
      </c>
      <c r="C37" s="42">
        <v>148102</v>
      </c>
      <c r="D37" s="42">
        <v>156509</v>
      </c>
      <c r="E37" s="52">
        <f t="shared" ref="E37:E54" si="14">C37/D37*100</f>
        <v>94.628423924502741</v>
      </c>
      <c r="F37" s="42">
        <v>12864</v>
      </c>
      <c r="G37" s="42">
        <v>13568</v>
      </c>
      <c r="H37" s="52">
        <f>F37/G37*100</f>
        <v>94.811320754716974</v>
      </c>
      <c r="I37" s="42">
        <v>148102</v>
      </c>
      <c r="J37" s="42">
        <v>156509</v>
      </c>
      <c r="K37" s="52">
        <f>I37/J37*100</f>
        <v>94.628423924502741</v>
      </c>
      <c r="L37" s="42">
        <v>7391</v>
      </c>
      <c r="M37" s="42">
        <v>548</v>
      </c>
      <c r="N37" s="52">
        <f t="shared" ref="N37:N42" si="15">L37/M37*100</f>
        <v>1348.7226277372263</v>
      </c>
      <c r="O37" s="42">
        <v>86</v>
      </c>
      <c r="P37" s="42">
        <v>79</v>
      </c>
      <c r="Q37" s="42">
        <v>86</v>
      </c>
      <c r="R37" s="45">
        <f>O37*P37</f>
        <v>6794</v>
      </c>
    </row>
    <row r="38" spans="1:18" x14ac:dyDescent="0.25">
      <c r="A38" s="40">
        <v>2</v>
      </c>
      <c r="B38" s="41" t="s">
        <v>221</v>
      </c>
      <c r="C38" s="42">
        <v>349215</v>
      </c>
      <c r="D38" s="42">
        <v>138810</v>
      </c>
      <c r="E38" s="52">
        <f t="shared" si="14"/>
        <v>251.57769613140263</v>
      </c>
      <c r="F38" s="42">
        <v>19651</v>
      </c>
      <c r="G38" s="42">
        <v>0</v>
      </c>
      <c r="H38" s="43">
        <v>0</v>
      </c>
      <c r="I38" s="42">
        <v>349245</v>
      </c>
      <c r="J38" s="42">
        <v>138810</v>
      </c>
      <c r="K38" s="43">
        <v>0</v>
      </c>
      <c r="L38" s="42">
        <v>222790</v>
      </c>
      <c r="M38" s="42">
        <v>0</v>
      </c>
      <c r="N38" s="43">
        <v>0</v>
      </c>
      <c r="O38" s="268">
        <v>95</v>
      </c>
      <c r="P38" s="44">
        <v>165</v>
      </c>
      <c r="Q38" s="268">
        <v>95</v>
      </c>
      <c r="R38" s="45">
        <f t="shared" ref="R38:R53" si="16">O38*P38</f>
        <v>15675</v>
      </c>
    </row>
    <row r="39" spans="1:18" x14ac:dyDescent="0.25">
      <c r="A39" s="40">
        <v>3</v>
      </c>
      <c r="B39" s="41" t="s">
        <v>35</v>
      </c>
      <c r="C39" s="42">
        <v>89845</v>
      </c>
      <c r="D39" s="42">
        <v>68584</v>
      </c>
      <c r="E39" s="43">
        <f t="shared" si="14"/>
        <v>130.99994167735915</v>
      </c>
      <c r="F39" s="42">
        <v>10735</v>
      </c>
      <c r="G39" s="42">
        <v>10841</v>
      </c>
      <c r="H39" s="43">
        <f t="shared" ref="H39:H54" si="17">F39/G39*100</f>
        <v>99.022230421547832</v>
      </c>
      <c r="I39" s="42">
        <v>127611</v>
      </c>
      <c r="J39" s="42">
        <v>98177</v>
      </c>
      <c r="K39" s="43">
        <f t="shared" ref="K39:K54" si="18">I39/J39*100</f>
        <v>129.98054534157694</v>
      </c>
      <c r="L39" s="42">
        <v>0</v>
      </c>
      <c r="M39" s="42">
        <v>17960</v>
      </c>
      <c r="N39" s="43">
        <f t="shared" si="15"/>
        <v>0</v>
      </c>
      <c r="O39" s="268">
        <v>34</v>
      </c>
      <c r="P39" s="44">
        <v>70</v>
      </c>
      <c r="Q39" s="268">
        <v>27</v>
      </c>
      <c r="R39" s="45">
        <f t="shared" si="16"/>
        <v>2380</v>
      </c>
    </row>
    <row r="40" spans="1:18" x14ac:dyDescent="0.25">
      <c r="A40" s="40">
        <v>4</v>
      </c>
      <c r="B40" s="41" t="s">
        <v>36</v>
      </c>
      <c r="C40" s="42">
        <v>20750</v>
      </c>
      <c r="D40" s="42">
        <v>20190</v>
      </c>
      <c r="E40" s="43">
        <f t="shared" si="14"/>
        <v>102.77365032194155</v>
      </c>
      <c r="F40" s="42">
        <v>3500</v>
      </c>
      <c r="G40" s="42">
        <v>2400</v>
      </c>
      <c r="H40" s="43">
        <f t="shared" si="17"/>
        <v>145.83333333333331</v>
      </c>
      <c r="I40" s="42">
        <v>24653</v>
      </c>
      <c r="J40" s="42">
        <v>26632</v>
      </c>
      <c r="K40" s="43">
        <f t="shared" si="18"/>
        <v>92.569089816761789</v>
      </c>
      <c r="L40" s="42">
        <v>0</v>
      </c>
      <c r="M40" s="42">
        <v>1009</v>
      </c>
      <c r="N40" s="43">
        <f t="shared" si="15"/>
        <v>0</v>
      </c>
      <c r="O40" s="268">
        <v>20</v>
      </c>
      <c r="P40" s="44">
        <v>60</v>
      </c>
      <c r="Q40" s="268">
        <v>20</v>
      </c>
      <c r="R40" s="45">
        <f t="shared" si="16"/>
        <v>1200</v>
      </c>
    </row>
    <row r="41" spans="1:18" x14ac:dyDescent="0.25">
      <c r="A41" s="40">
        <v>5</v>
      </c>
      <c r="B41" s="41" t="s">
        <v>37</v>
      </c>
      <c r="C41" s="48">
        <v>48658</v>
      </c>
      <c r="D41" s="48">
        <v>114027</v>
      </c>
      <c r="E41" s="43">
        <f t="shared" si="14"/>
        <v>42.672349531251371</v>
      </c>
      <c r="F41" s="48">
        <v>4063</v>
      </c>
      <c r="G41" s="48">
        <v>6914</v>
      </c>
      <c r="H41" s="43">
        <f t="shared" si="17"/>
        <v>58.764824992768297</v>
      </c>
      <c r="I41" s="48">
        <v>53980</v>
      </c>
      <c r="J41" s="48">
        <v>115106</v>
      </c>
      <c r="K41" s="43">
        <f t="shared" si="18"/>
        <v>46.895904644414713</v>
      </c>
      <c r="L41" s="48">
        <v>10663</v>
      </c>
      <c r="M41" s="48">
        <v>10325</v>
      </c>
      <c r="N41" s="43">
        <f t="shared" si="15"/>
        <v>103.27360774818402</v>
      </c>
      <c r="O41" s="268">
        <v>53</v>
      </c>
      <c r="P41" s="44">
        <v>55</v>
      </c>
      <c r="Q41" s="268">
        <v>51</v>
      </c>
      <c r="R41" s="45">
        <f t="shared" si="16"/>
        <v>2915</v>
      </c>
    </row>
    <row r="42" spans="1:18" x14ac:dyDescent="0.25">
      <c r="A42" s="40">
        <v>6</v>
      </c>
      <c r="B42" s="41" t="s">
        <v>38</v>
      </c>
      <c r="C42" s="49">
        <v>96758</v>
      </c>
      <c r="D42" s="42">
        <v>137184</v>
      </c>
      <c r="E42" s="43">
        <f t="shared" si="14"/>
        <v>70.531548868672729</v>
      </c>
      <c r="F42" s="42">
        <v>12926</v>
      </c>
      <c r="G42" s="42">
        <v>12926</v>
      </c>
      <c r="H42" s="43">
        <f t="shared" si="17"/>
        <v>100</v>
      </c>
      <c r="I42" s="42">
        <v>93799</v>
      </c>
      <c r="J42" s="42">
        <v>127569</v>
      </c>
      <c r="K42" s="43">
        <f t="shared" si="18"/>
        <v>73.528051485862562</v>
      </c>
      <c r="L42" s="42">
        <v>1888</v>
      </c>
      <c r="M42" s="42">
        <v>42730</v>
      </c>
      <c r="N42" s="43">
        <f t="shared" si="15"/>
        <v>4.4184413760823782</v>
      </c>
      <c r="O42" s="268">
        <v>64</v>
      </c>
      <c r="P42" s="44">
        <v>70</v>
      </c>
      <c r="Q42" s="268">
        <v>64</v>
      </c>
      <c r="R42" s="45">
        <f t="shared" si="16"/>
        <v>4480</v>
      </c>
    </row>
    <row r="43" spans="1:18" x14ac:dyDescent="0.25">
      <c r="A43" s="40">
        <v>7</v>
      </c>
      <c r="B43" s="41" t="s">
        <v>39</v>
      </c>
      <c r="C43" s="42">
        <v>4649</v>
      </c>
      <c r="D43" s="42">
        <v>388</v>
      </c>
      <c r="E43" s="55">
        <f t="shared" si="14"/>
        <v>1198.1958762886597</v>
      </c>
      <c r="F43" s="42">
        <v>0</v>
      </c>
      <c r="G43" s="42">
        <v>0</v>
      </c>
      <c r="H43" s="43">
        <v>0</v>
      </c>
      <c r="I43" s="42">
        <v>660</v>
      </c>
      <c r="J43" s="42">
        <v>388</v>
      </c>
      <c r="K43" s="43">
        <f t="shared" si="18"/>
        <v>170.10309278350516</v>
      </c>
      <c r="L43" s="42">
        <v>0</v>
      </c>
      <c r="M43" s="42">
        <v>0</v>
      </c>
      <c r="N43" s="43">
        <v>0</v>
      </c>
      <c r="O43" s="268">
        <v>23</v>
      </c>
      <c r="P43" s="44">
        <v>70</v>
      </c>
      <c r="Q43" s="268">
        <v>23</v>
      </c>
      <c r="R43" s="45">
        <f t="shared" si="16"/>
        <v>1610</v>
      </c>
    </row>
    <row r="44" spans="1:18" x14ac:dyDescent="0.25">
      <c r="A44" s="40">
        <v>8</v>
      </c>
      <c r="B44" s="41" t="s">
        <v>41</v>
      </c>
      <c r="C44" s="51">
        <v>99658</v>
      </c>
      <c r="D44" s="42">
        <v>98884</v>
      </c>
      <c r="E44" s="43">
        <f t="shared" si="14"/>
        <v>100.78273532624084</v>
      </c>
      <c r="F44" s="42">
        <v>12955</v>
      </c>
      <c r="G44" s="42">
        <v>13306</v>
      </c>
      <c r="H44" s="43">
        <f t="shared" si="17"/>
        <v>97.362092289192844</v>
      </c>
      <c r="I44" s="42">
        <v>102796</v>
      </c>
      <c r="J44" s="42">
        <v>96813</v>
      </c>
      <c r="K44" s="43">
        <f t="shared" si="18"/>
        <v>106.17995517130964</v>
      </c>
      <c r="L44" s="42">
        <v>0</v>
      </c>
      <c r="M44" s="42">
        <v>0</v>
      </c>
      <c r="N44" s="43">
        <v>0</v>
      </c>
      <c r="O44" s="268">
        <v>42</v>
      </c>
      <c r="P44" s="44">
        <v>68</v>
      </c>
      <c r="Q44" s="268">
        <v>42</v>
      </c>
      <c r="R44" s="45">
        <f t="shared" si="16"/>
        <v>2856</v>
      </c>
    </row>
    <row r="45" spans="1:18" x14ac:dyDescent="0.25">
      <c r="A45" s="40">
        <v>9</v>
      </c>
      <c r="B45" s="41" t="s">
        <v>42</v>
      </c>
      <c r="C45" s="51">
        <v>279107</v>
      </c>
      <c r="D45" s="42">
        <v>232115</v>
      </c>
      <c r="E45" s="52">
        <f t="shared" si="14"/>
        <v>120.24513710876074</v>
      </c>
      <c r="F45" s="42">
        <v>27346</v>
      </c>
      <c r="G45" s="42">
        <v>28195</v>
      </c>
      <c r="H45" s="43">
        <f t="shared" si="17"/>
        <v>96.988827806348638</v>
      </c>
      <c r="I45" s="42">
        <v>260113</v>
      </c>
      <c r="J45" s="53">
        <v>235617</v>
      </c>
      <c r="K45" s="43">
        <f t="shared" si="18"/>
        <v>110.39653335710071</v>
      </c>
      <c r="L45" s="42">
        <v>0</v>
      </c>
      <c r="M45" s="42">
        <v>0</v>
      </c>
      <c r="N45" s="43">
        <v>0</v>
      </c>
      <c r="O45" s="268">
        <v>69</v>
      </c>
      <c r="P45" s="44">
        <v>130</v>
      </c>
      <c r="Q45" s="268">
        <v>77</v>
      </c>
      <c r="R45" s="45">
        <f t="shared" si="16"/>
        <v>8970</v>
      </c>
    </row>
    <row r="46" spans="1:18" x14ac:dyDescent="0.25">
      <c r="A46" s="40">
        <v>10</v>
      </c>
      <c r="B46" s="41" t="s">
        <v>43</v>
      </c>
      <c r="C46" s="51">
        <v>995114</v>
      </c>
      <c r="D46" s="42">
        <v>1064392</v>
      </c>
      <c r="E46" s="43">
        <f t="shared" si="14"/>
        <v>93.49130771369947</v>
      </c>
      <c r="F46" s="51">
        <v>89465</v>
      </c>
      <c r="G46" s="42">
        <v>94941</v>
      </c>
      <c r="H46" s="43">
        <f t="shared" si="17"/>
        <v>94.232207370893505</v>
      </c>
      <c r="I46" s="42">
        <v>821810</v>
      </c>
      <c r="J46" s="42">
        <v>1051962</v>
      </c>
      <c r="K46" s="43">
        <f t="shared" si="18"/>
        <v>78.121643177225025</v>
      </c>
      <c r="L46" s="42">
        <v>815732</v>
      </c>
      <c r="M46" s="42">
        <v>1049807</v>
      </c>
      <c r="N46" s="43">
        <f t="shared" ref="N46:N48" si="19">L46/M46*100</f>
        <v>77.703044464363444</v>
      </c>
      <c r="O46" s="268">
        <v>198</v>
      </c>
      <c r="P46" s="44">
        <v>84</v>
      </c>
      <c r="Q46" s="268">
        <v>198</v>
      </c>
      <c r="R46" s="45">
        <f t="shared" si="16"/>
        <v>16632</v>
      </c>
    </row>
    <row r="47" spans="1:18" x14ac:dyDescent="0.25">
      <c r="A47" s="40">
        <v>11</v>
      </c>
      <c r="B47" s="41" t="s">
        <v>44</v>
      </c>
      <c r="C47" s="51">
        <v>41251</v>
      </c>
      <c r="D47" s="42">
        <v>22533</v>
      </c>
      <c r="E47" s="43">
        <f t="shared" si="14"/>
        <v>183.06927617272444</v>
      </c>
      <c r="F47" s="42">
        <v>17369</v>
      </c>
      <c r="G47" s="42">
        <v>183</v>
      </c>
      <c r="H47" s="43">
        <f t="shared" si="17"/>
        <v>9491.2568306010926</v>
      </c>
      <c r="I47" s="42">
        <v>48837</v>
      </c>
      <c r="J47" s="42">
        <v>54719</v>
      </c>
      <c r="K47" s="43">
        <f t="shared" si="18"/>
        <v>89.250534549242488</v>
      </c>
      <c r="L47" s="42">
        <v>0</v>
      </c>
      <c r="M47" s="42">
        <v>0</v>
      </c>
      <c r="N47" s="43" t="e">
        <f t="shared" si="19"/>
        <v>#DIV/0!</v>
      </c>
      <c r="O47" s="268">
        <v>24</v>
      </c>
      <c r="P47" s="44">
        <v>68</v>
      </c>
      <c r="Q47" s="268">
        <v>24</v>
      </c>
      <c r="R47" s="45">
        <f t="shared" si="16"/>
        <v>1632</v>
      </c>
    </row>
    <row r="48" spans="1:18" x14ac:dyDescent="0.25">
      <c r="A48" s="40">
        <v>12</v>
      </c>
      <c r="B48" s="41" t="s">
        <v>45</v>
      </c>
      <c r="C48" s="42">
        <v>88984</v>
      </c>
      <c r="D48" s="42">
        <v>73997</v>
      </c>
      <c r="E48" s="43">
        <f t="shared" si="14"/>
        <v>120.25352379150507</v>
      </c>
      <c r="F48" s="54">
        <v>3485</v>
      </c>
      <c r="G48" s="54">
        <v>7018</v>
      </c>
      <c r="H48" s="43">
        <f t="shared" si="17"/>
        <v>49.65802222855514</v>
      </c>
      <c r="I48" s="54">
        <v>99936</v>
      </c>
      <c r="J48" s="54">
        <v>85885</v>
      </c>
      <c r="K48" s="43">
        <f t="shared" si="18"/>
        <v>116.36024917040228</v>
      </c>
      <c r="L48" s="55">
        <v>99936</v>
      </c>
      <c r="M48" s="54">
        <v>85885</v>
      </c>
      <c r="N48" s="43">
        <f t="shared" si="19"/>
        <v>116.36024917040228</v>
      </c>
      <c r="O48" s="268">
        <v>26</v>
      </c>
      <c r="P48" s="44">
        <v>120</v>
      </c>
      <c r="Q48" s="268">
        <v>27</v>
      </c>
      <c r="R48" s="45">
        <f t="shared" si="16"/>
        <v>3120</v>
      </c>
    </row>
    <row r="49" spans="1:18" x14ac:dyDescent="0.25">
      <c r="A49" s="40">
        <v>13</v>
      </c>
      <c r="B49" s="41" t="s">
        <v>46</v>
      </c>
      <c r="C49" s="49">
        <v>349117</v>
      </c>
      <c r="D49" s="49">
        <v>330205</v>
      </c>
      <c r="E49" s="43">
        <f t="shared" si="14"/>
        <v>105.72735119092684</v>
      </c>
      <c r="F49" s="49">
        <v>41249</v>
      </c>
      <c r="G49" s="49">
        <v>31415</v>
      </c>
      <c r="H49" s="43">
        <f t="shared" si="17"/>
        <v>131.30351742798027</v>
      </c>
      <c r="I49" s="42">
        <v>317558</v>
      </c>
      <c r="J49" s="42">
        <v>333187</v>
      </c>
      <c r="K49" s="43">
        <f t="shared" si="18"/>
        <v>95.309240756692191</v>
      </c>
      <c r="L49" s="49">
        <v>3429</v>
      </c>
      <c r="M49" s="49">
        <v>0</v>
      </c>
      <c r="N49" s="43">
        <v>0</v>
      </c>
      <c r="O49" s="268">
        <v>78</v>
      </c>
      <c r="P49" s="44">
        <v>98</v>
      </c>
      <c r="Q49" s="268">
        <v>78</v>
      </c>
      <c r="R49" s="45">
        <f t="shared" si="16"/>
        <v>7644</v>
      </c>
    </row>
    <row r="50" spans="1:18" x14ac:dyDescent="0.25">
      <c r="A50" s="40">
        <v>14</v>
      </c>
      <c r="B50" s="41" t="s">
        <v>47</v>
      </c>
      <c r="C50" s="268">
        <v>15306</v>
      </c>
      <c r="D50" s="268">
        <v>31516</v>
      </c>
      <c r="E50" s="47">
        <f t="shared" si="14"/>
        <v>48.565807843634978</v>
      </c>
      <c r="F50" s="268">
        <v>891</v>
      </c>
      <c r="G50" s="268">
        <v>1840</v>
      </c>
      <c r="H50" s="47">
        <f t="shared" si="17"/>
        <v>48.423913043478265</v>
      </c>
      <c r="I50" s="268">
        <v>17900</v>
      </c>
      <c r="J50" s="268">
        <v>30634</v>
      </c>
      <c r="K50" s="47">
        <f t="shared" si="18"/>
        <v>58.43180779526017</v>
      </c>
      <c r="L50" s="268">
        <v>0</v>
      </c>
      <c r="M50" s="268">
        <v>8026</v>
      </c>
      <c r="N50" s="43">
        <v>0</v>
      </c>
      <c r="O50" s="268">
        <v>13</v>
      </c>
      <c r="P50" s="44">
        <v>80</v>
      </c>
      <c r="Q50" s="268">
        <v>13</v>
      </c>
      <c r="R50" s="45">
        <f t="shared" si="16"/>
        <v>1040</v>
      </c>
    </row>
    <row r="51" spans="1:18" x14ac:dyDescent="0.25">
      <c r="A51" s="40">
        <v>15</v>
      </c>
      <c r="B51" s="41" t="s">
        <v>48</v>
      </c>
      <c r="C51" s="42">
        <v>332256</v>
      </c>
      <c r="D51" s="53">
        <v>46354</v>
      </c>
      <c r="E51" s="47">
        <f t="shared" si="14"/>
        <v>716.77956594900115</v>
      </c>
      <c r="F51" s="42">
        <v>26203</v>
      </c>
      <c r="G51" s="42">
        <v>3085</v>
      </c>
      <c r="H51" s="47">
        <f t="shared" si="17"/>
        <v>849.36790923824969</v>
      </c>
      <c r="I51" s="42">
        <v>476929</v>
      </c>
      <c r="J51" s="42">
        <v>70905</v>
      </c>
      <c r="K51" s="47">
        <f t="shared" si="18"/>
        <v>672.63098512093643</v>
      </c>
      <c r="L51" s="42">
        <v>465504</v>
      </c>
      <c r="M51" s="42">
        <v>33785</v>
      </c>
      <c r="N51" s="47">
        <f t="shared" ref="N51" si="20">L51/M51*100</f>
        <v>1377.8422376794435</v>
      </c>
      <c r="O51" s="268">
        <v>53</v>
      </c>
      <c r="P51" s="44">
        <v>95</v>
      </c>
      <c r="Q51" s="268">
        <v>55</v>
      </c>
      <c r="R51" s="45">
        <f t="shared" si="16"/>
        <v>5035</v>
      </c>
    </row>
    <row r="52" spans="1:18" x14ac:dyDescent="0.25">
      <c r="A52" s="40">
        <v>16</v>
      </c>
      <c r="B52" s="41" t="s">
        <v>49</v>
      </c>
      <c r="C52" s="42">
        <v>3106</v>
      </c>
      <c r="D52" s="53">
        <v>3332</v>
      </c>
      <c r="E52" s="47">
        <f t="shared" si="14"/>
        <v>93.217286914765907</v>
      </c>
      <c r="F52" s="42">
        <v>0</v>
      </c>
      <c r="G52" s="42">
        <v>145</v>
      </c>
      <c r="H52" s="47">
        <v>0</v>
      </c>
      <c r="I52" s="42">
        <v>3106</v>
      </c>
      <c r="J52" s="42">
        <v>3013</v>
      </c>
      <c r="K52" s="47">
        <f t="shared" si="18"/>
        <v>103.08662462661799</v>
      </c>
      <c r="L52" s="42">
        <v>0</v>
      </c>
      <c r="M52" s="42">
        <v>0</v>
      </c>
      <c r="N52" s="43">
        <v>0</v>
      </c>
      <c r="O52" s="268">
        <v>3</v>
      </c>
      <c r="P52" s="44">
        <v>40</v>
      </c>
      <c r="Q52" s="268">
        <v>3</v>
      </c>
      <c r="R52" s="45">
        <f t="shared" si="16"/>
        <v>120</v>
      </c>
    </row>
    <row r="53" spans="1:18" x14ac:dyDescent="0.25">
      <c r="A53" s="40">
        <v>17</v>
      </c>
      <c r="B53" s="41" t="s">
        <v>169</v>
      </c>
      <c r="C53" s="268">
        <v>725750</v>
      </c>
      <c r="D53" s="268">
        <v>0</v>
      </c>
      <c r="E53" s="47">
        <v>0</v>
      </c>
      <c r="F53" s="268">
        <v>25000</v>
      </c>
      <c r="G53" s="268">
        <v>0</v>
      </c>
      <c r="H53" s="47">
        <v>0</v>
      </c>
      <c r="I53" s="268">
        <v>61100</v>
      </c>
      <c r="J53" s="268">
        <v>0</v>
      </c>
      <c r="K53" s="43">
        <v>0</v>
      </c>
      <c r="L53" s="268">
        <v>0</v>
      </c>
      <c r="M53" s="268">
        <v>0</v>
      </c>
      <c r="N53" s="47">
        <v>0</v>
      </c>
      <c r="O53" s="268">
        <v>13</v>
      </c>
      <c r="P53" s="44">
        <v>70</v>
      </c>
      <c r="Q53" s="268">
        <v>13</v>
      </c>
      <c r="R53" s="45">
        <f t="shared" si="16"/>
        <v>910</v>
      </c>
    </row>
    <row r="54" spans="1:18" x14ac:dyDescent="0.25">
      <c r="A54" s="315" t="s">
        <v>50</v>
      </c>
      <c r="B54" s="315"/>
      <c r="C54" s="56">
        <f>SUM(C37:C53)</f>
        <v>3687626</v>
      </c>
      <c r="D54" s="56">
        <f>SUM(D37:D53)</f>
        <v>2539020</v>
      </c>
      <c r="E54" s="57">
        <f t="shared" si="14"/>
        <v>145.23816275570888</v>
      </c>
      <c r="F54" s="56">
        <f>SUM(F37:F53)</f>
        <v>307702</v>
      </c>
      <c r="G54" s="56">
        <f>SUM(G37:G52)</f>
        <v>226777</v>
      </c>
      <c r="H54" s="57">
        <f t="shared" si="17"/>
        <v>135.68483576376792</v>
      </c>
      <c r="I54" s="56">
        <f>SUM(I37:I53)</f>
        <v>3008135</v>
      </c>
      <c r="J54" s="56">
        <f>SUM(J37:J53)</f>
        <v>2625926</v>
      </c>
      <c r="K54" s="57">
        <f t="shared" si="18"/>
        <v>114.55520833412672</v>
      </c>
      <c r="L54" s="56">
        <f>SUM(L37:L53)</f>
        <v>1627333</v>
      </c>
      <c r="M54" s="56">
        <f>SUM(M37:M53)</f>
        <v>1250075</v>
      </c>
      <c r="N54" s="57">
        <f>L54/M54*100</f>
        <v>130.17882927024377</v>
      </c>
      <c r="O54" s="56">
        <f>SUM(O37:O53)</f>
        <v>894</v>
      </c>
      <c r="P54" s="57">
        <f>R54/O54</f>
        <v>92.855704697986582</v>
      </c>
      <c r="Q54" s="56">
        <f>SUM(Q37:Q53)</f>
        <v>896</v>
      </c>
      <c r="R54" s="56">
        <f>SUM(R37:R53)</f>
        <v>83013</v>
      </c>
    </row>
    <row r="55" spans="1:18" x14ac:dyDescent="0.25">
      <c r="A55" s="268"/>
      <c r="B55" s="61"/>
      <c r="C55" s="268"/>
      <c r="D55" s="268"/>
      <c r="E55" s="268"/>
      <c r="F55" s="268"/>
      <c r="G55" s="268"/>
      <c r="H55" s="268"/>
      <c r="I55" s="268"/>
      <c r="J55" s="268"/>
      <c r="K55" s="34"/>
      <c r="L55" s="268"/>
      <c r="M55" s="268"/>
      <c r="N55" s="268"/>
      <c r="O55" s="268"/>
      <c r="P55" s="62"/>
      <c r="Q55" s="268"/>
      <c r="R55" s="39"/>
    </row>
    <row r="56" spans="1:18" x14ac:dyDescent="0.25">
      <c r="A56" s="319" t="s">
        <v>51</v>
      </c>
      <c r="B56" s="320"/>
      <c r="C56" s="37">
        <v>3</v>
      </c>
      <c r="D56" s="37">
        <v>4</v>
      </c>
      <c r="E56" s="271">
        <v>5</v>
      </c>
      <c r="F56" s="37">
        <v>6</v>
      </c>
      <c r="G56" s="37">
        <v>7</v>
      </c>
      <c r="H56" s="37">
        <v>8</v>
      </c>
      <c r="I56" s="37">
        <v>9</v>
      </c>
      <c r="J56" s="37">
        <v>10</v>
      </c>
      <c r="K56" s="37">
        <v>11</v>
      </c>
      <c r="L56" s="37">
        <v>12</v>
      </c>
      <c r="M56" s="37">
        <v>13</v>
      </c>
      <c r="N56" s="37">
        <v>14</v>
      </c>
      <c r="O56" s="37">
        <v>15</v>
      </c>
      <c r="P56" s="271">
        <v>16</v>
      </c>
      <c r="Q56" s="37">
        <v>15</v>
      </c>
      <c r="R56" s="39"/>
    </row>
    <row r="57" spans="1:18" x14ac:dyDescent="0.25">
      <c r="A57" s="44">
        <v>1</v>
      </c>
      <c r="B57" s="63" t="s">
        <v>52</v>
      </c>
      <c r="C57" s="64">
        <v>503136</v>
      </c>
      <c r="D57" s="65">
        <v>444500</v>
      </c>
      <c r="E57" s="43">
        <f t="shared" ref="E57:E64" si="21">C57/D57*100</f>
        <v>113.19145106861643</v>
      </c>
      <c r="F57" s="65">
        <v>47814</v>
      </c>
      <c r="G57" s="68">
        <v>61016</v>
      </c>
      <c r="H57" s="43">
        <f>F57/G57*100</f>
        <v>78.363052314147112</v>
      </c>
      <c r="I57" s="65">
        <v>504580</v>
      </c>
      <c r="J57" s="65">
        <v>446773</v>
      </c>
      <c r="K57" s="43">
        <f t="shared" ref="K57:K64" si="22">I57/J57*100</f>
        <v>112.93878546823555</v>
      </c>
      <c r="L57" s="65">
        <v>502519</v>
      </c>
      <c r="M57" s="65">
        <v>387367</v>
      </c>
      <c r="N57" s="43">
        <f>L57/M57*100</f>
        <v>129.72684818273109</v>
      </c>
      <c r="O57" s="68">
        <v>151</v>
      </c>
      <c r="P57" s="65">
        <v>83</v>
      </c>
      <c r="Q57" s="68">
        <v>155</v>
      </c>
      <c r="R57" s="45">
        <f>O57*P57</f>
        <v>12533</v>
      </c>
    </row>
    <row r="58" spans="1:18" x14ac:dyDescent="0.25">
      <c r="A58" s="67">
        <v>2</v>
      </c>
      <c r="B58" s="63" t="s">
        <v>53</v>
      </c>
      <c r="C58" s="42">
        <v>130650</v>
      </c>
      <c r="D58" s="42">
        <v>87134</v>
      </c>
      <c r="E58" s="43">
        <f t="shared" si="21"/>
        <v>149.94146946083043</v>
      </c>
      <c r="F58" s="68">
        <v>2881</v>
      </c>
      <c r="G58" s="68">
        <v>2602</v>
      </c>
      <c r="H58" s="43">
        <f t="shared" ref="H58:H64" si="23">F58/G58*100</f>
        <v>110.72252113758647</v>
      </c>
      <c r="I58" s="68">
        <v>142206</v>
      </c>
      <c r="J58" s="68">
        <v>84980</v>
      </c>
      <c r="K58" s="43">
        <f t="shared" si="22"/>
        <v>167.34055071781594</v>
      </c>
      <c r="L58" s="68">
        <v>0</v>
      </c>
      <c r="M58" s="68">
        <v>3908</v>
      </c>
      <c r="N58" s="43">
        <v>0</v>
      </c>
      <c r="O58" s="68">
        <v>129</v>
      </c>
      <c r="P58" s="68">
        <v>105</v>
      </c>
      <c r="Q58" s="68">
        <v>129</v>
      </c>
      <c r="R58" s="45">
        <f t="shared" ref="R58:R65" si="24">O58*P58</f>
        <v>13545</v>
      </c>
    </row>
    <row r="59" spans="1:18" x14ac:dyDescent="0.25">
      <c r="A59" s="67">
        <v>3</v>
      </c>
      <c r="B59" s="63" t="s">
        <v>54</v>
      </c>
      <c r="C59" s="68">
        <v>282191</v>
      </c>
      <c r="D59" s="68">
        <v>403841</v>
      </c>
      <c r="E59" s="43">
        <f t="shared" si="21"/>
        <v>69.876758427202788</v>
      </c>
      <c r="F59" s="68">
        <v>42224</v>
      </c>
      <c r="G59" s="68">
        <v>51512</v>
      </c>
      <c r="H59" s="43">
        <f t="shared" si="23"/>
        <v>81.969249883522295</v>
      </c>
      <c r="I59" s="68">
        <v>282191</v>
      </c>
      <c r="J59" s="68">
        <v>403841</v>
      </c>
      <c r="K59" s="43">
        <f t="shared" si="22"/>
        <v>69.876758427202788</v>
      </c>
      <c r="L59" s="68">
        <v>0</v>
      </c>
      <c r="M59" s="68">
        <v>0</v>
      </c>
      <c r="N59" s="43">
        <v>0</v>
      </c>
      <c r="O59" s="68">
        <v>122</v>
      </c>
      <c r="P59" s="68">
        <v>50</v>
      </c>
      <c r="Q59" s="68">
        <v>120</v>
      </c>
      <c r="R59" s="45">
        <f t="shared" si="24"/>
        <v>6100</v>
      </c>
    </row>
    <row r="60" spans="1:18" x14ac:dyDescent="0.25">
      <c r="A60" s="44">
        <v>4</v>
      </c>
      <c r="B60" s="63" t="s">
        <v>55</v>
      </c>
      <c r="C60" s="68">
        <v>290117</v>
      </c>
      <c r="D60" s="68">
        <v>285957</v>
      </c>
      <c r="E60" s="43">
        <f t="shared" si="21"/>
        <v>101.45476417783092</v>
      </c>
      <c r="F60" s="68">
        <v>47401</v>
      </c>
      <c r="G60" s="68">
        <v>31785</v>
      </c>
      <c r="H60" s="43">
        <f t="shared" si="23"/>
        <v>149.13009281107441</v>
      </c>
      <c r="I60" s="48">
        <v>304599</v>
      </c>
      <c r="J60" s="48">
        <v>286866</v>
      </c>
      <c r="K60" s="43">
        <f>I60/J60*100</f>
        <v>106.18163184204472</v>
      </c>
      <c r="L60" s="68">
        <v>139954</v>
      </c>
      <c r="M60" s="68">
        <v>136226</v>
      </c>
      <c r="N60" s="43">
        <f t="shared" ref="N60:N62" si="25">L60/M60*100</f>
        <v>102.73662883737317</v>
      </c>
      <c r="O60" s="68">
        <v>68</v>
      </c>
      <c r="P60" s="68">
        <v>124</v>
      </c>
      <c r="Q60" s="68">
        <v>67</v>
      </c>
      <c r="R60" s="45">
        <f t="shared" si="24"/>
        <v>8432</v>
      </c>
    </row>
    <row r="61" spans="1:18" x14ac:dyDescent="0.25">
      <c r="A61" s="67">
        <v>5</v>
      </c>
      <c r="B61" s="63" t="s">
        <v>56</v>
      </c>
      <c r="C61" s="42">
        <v>0</v>
      </c>
      <c r="D61" s="42">
        <v>0</v>
      </c>
      <c r="E61" s="43">
        <v>0</v>
      </c>
      <c r="F61" s="42">
        <v>0</v>
      </c>
      <c r="G61" s="42">
        <v>0</v>
      </c>
      <c r="H61" s="43">
        <v>0</v>
      </c>
      <c r="I61" s="42">
        <v>0</v>
      </c>
      <c r="J61" s="42">
        <v>0</v>
      </c>
      <c r="K61" s="43">
        <v>0</v>
      </c>
      <c r="L61" s="42">
        <v>0</v>
      </c>
      <c r="M61" s="42">
        <v>0</v>
      </c>
      <c r="N61" s="43">
        <v>0</v>
      </c>
      <c r="O61" s="268">
        <v>0</v>
      </c>
      <c r="P61" s="44">
        <v>0</v>
      </c>
      <c r="Q61" s="268">
        <v>0</v>
      </c>
      <c r="R61" s="45">
        <f t="shared" si="24"/>
        <v>0</v>
      </c>
    </row>
    <row r="62" spans="1:18" x14ac:dyDescent="0.25">
      <c r="A62" s="67">
        <v>6</v>
      </c>
      <c r="B62" s="63" t="s">
        <v>57</v>
      </c>
      <c r="C62" s="68">
        <v>51752</v>
      </c>
      <c r="D62" s="68">
        <v>66531</v>
      </c>
      <c r="E62" s="43">
        <f t="shared" si="21"/>
        <v>77.786295110549972</v>
      </c>
      <c r="F62" s="68">
        <v>6059</v>
      </c>
      <c r="G62" s="68">
        <v>5493</v>
      </c>
      <c r="H62" s="43">
        <f t="shared" si="23"/>
        <v>110.30402330238485</v>
      </c>
      <c r="I62" s="68">
        <v>56778</v>
      </c>
      <c r="J62" s="68">
        <v>69697</v>
      </c>
      <c r="K62" s="43">
        <f t="shared" si="22"/>
        <v>81.464051537368903</v>
      </c>
      <c r="L62" s="68">
        <v>56643</v>
      </c>
      <c r="M62" s="68">
        <v>69697</v>
      </c>
      <c r="N62" s="43">
        <f t="shared" si="25"/>
        <v>81.270355969410446</v>
      </c>
      <c r="O62" s="68">
        <v>33</v>
      </c>
      <c r="P62" s="68">
        <v>44</v>
      </c>
      <c r="Q62" s="68">
        <v>33</v>
      </c>
      <c r="R62" s="45">
        <f t="shared" si="24"/>
        <v>1452</v>
      </c>
    </row>
    <row r="63" spans="1:18" x14ac:dyDescent="0.25">
      <c r="A63" s="44">
        <v>7</v>
      </c>
      <c r="B63" s="63" t="s">
        <v>58</v>
      </c>
      <c r="C63" s="42">
        <v>45713</v>
      </c>
      <c r="D63" s="42">
        <v>90788</v>
      </c>
      <c r="E63" s="43">
        <f t="shared" si="21"/>
        <v>50.351368022205577</v>
      </c>
      <c r="F63" s="42">
        <v>0</v>
      </c>
      <c r="G63" s="42">
        <v>6526</v>
      </c>
      <c r="H63" s="43">
        <f t="shared" si="23"/>
        <v>0</v>
      </c>
      <c r="I63" s="42">
        <v>59680</v>
      </c>
      <c r="J63" s="42">
        <v>113197</v>
      </c>
      <c r="K63" s="43">
        <f t="shared" si="22"/>
        <v>52.722245289186112</v>
      </c>
      <c r="L63" s="69">
        <v>59826</v>
      </c>
      <c r="M63" s="42">
        <v>113101</v>
      </c>
      <c r="N63" s="43">
        <f>L63/M63*100</f>
        <v>52.896084031087256</v>
      </c>
      <c r="O63" s="68">
        <v>40</v>
      </c>
      <c r="P63" s="68">
        <v>50</v>
      </c>
      <c r="Q63" s="68">
        <v>40</v>
      </c>
      <c r="R63" s="45">
        <f t="shared" si="24"/>
        <v>2000</v>
      </c>
    </row>
    <row r="64" spans="1:18" x14ac:dyDescent="0.25">
      <c r="A64" s="67">
        <v>8</v>
      </c>
      <c r="B64" s="63" t="s">
        <v>59</v>
      </c>
      <c r="C64" s="199">
        <v>283400</v>
      </c>
      <c r="D64" s="42">
        <v>392900</v>
      </c>
      <c r="E64" s="43">
        <f t="shared" si="21"/>
        <v>72.130313056757444</v>
      </c>
      <c r="F64" s="42">
        <v>0</v>
      </c>
      <c r="G64" s="198">
        <v>6000</v>
      </c>
      <c r="H64" s="43">
        <f t="shared" si="23"/>
        <v>0</v>
      </c>
      <c r="I64" s="42">
        <v>392724</v>
      </c>
      <c r="J64" s="198">
        <v>412928</v>
      </c>
      <c r="K64" s="43">
        <f t="shared" si="22"/>
        <v>95.107137321760689</v>
      </c>
      <c r="L64" s="42">
        <v>392724</v>
      </c>
      <c r="M64" s="198">
        <v>412928</v>
      </c>
      <c r="N64" s="43">
        <f t="shared" ref="N64" si="26">L64/M64*100</f>
        <v>95.107137321760689</v>
      </c>
      <c r="O64" s="68">
        <v>40</v>
      </c>
      <c r="P64" s="65">
        <v>85</v>
      </c>
      <c r="Q64" s="68">
        <v>40</v>
      </c>
      <c r="R64" s="45">
        <f t="shared" si="24"/>
        <v>3400</v>
      </c>
    </row>
    <row r="65" spans="1:18" x14ac:dyDescent="0.25">
      <c r="A65" s="67">
        <v>9</v>
      </c>
      <c r="B65" s="63" t="s">
        <v>60</v>
      </c>
      <c r="C65" s="42">
        <v>0</v>
      </c>
      <c r="D65" s="42">
        <v>0</v>
      </c>
      <c r="E65" s="43">
        <v>0</v>
      </c>
      <c r="F65" s="42">
        <v>0</v>
      </c>
      <c r="G65" s="42">
        <v>0</v>
      </c>
      <c r="H65" s="43">
        <v>0</v>
      </c>
      <c r="I65" s="42">
        <v>0</v>
      </c>
      <c r="J65" s="42">
        <v>0</v>
      </c>
      <c r="K65" s="43">
        <v>0</v>
      </c>
      <c r="L65" s="42">
        <v>0</v>
      </c>
      <c r="M65" s="42">
        <v>0</v>
      </c>
      <c r="N65" s="43">
        <v>0</v>
      </c>
      <c r="O65" s="268">
        <v>0</v>
      </c>
      <c r="P65" s="44">
        <v>0</v>
      </c>
      <c r="Q65" s="268">
        <v>0</v>
      </c>
      <c r="R65" s="45">
        <f t="shared" si="24"/>
        <v>0</v>
      </c>
    </row>
    <row r="66" spans="1:18" x14ac:dyDescent="0.25">
      <c r="A66" s="334" t="s">
        <v>61</v>
      </c>
      <c r="B66" s="334"/>
      <c r="C66" s="70">
        <f>SUM(C57:C65)</f>
        <v>1586959</v>
      </c>
      <c r="D66" s="70">
        <f>SUM(D57:D65)</f>
        <v>1771651</v>
      </c>
      <c r="E66" s="71">
        <f>C66/D66*100</f>
        <v>89.575147701212032</v>
      </c>
      <c r="F66" s="70">
        <f>SUM(F57:F65)</f>
        <v>146379</v>
      </c>
      <c r="G66" s="70">
        <f>SUM(G57:G65)</f>
        <v>164934</v>
      </c>
      <c r="H66" s="71">
        <f>F66/G66*100</f>
        <v>88.750045472734556</v>
      </c>
      <c r="I66" s="72">
        <f>SUM(I57:I65)</f>
        <v>1742758</v>
      </c>
      <c r="J66" s="70">
        <f>SUM(J57:J65)</f>
        <v>1818282</v>
      </c>
      <c r="K66" s="71">
        <f>I66/J66*100</f>
        <v>95.846408862871655</v>
      </c>
      <c r="L66" s="70">
        <f>SUM(L57:L65)</f>
        <v>1151666</v>
      </c>
      <c r="M66" s="70">
        <f>SUM(M57:M65)</f>
        <v>1123227</v>
      </c>
      <c r="N66" s="71">
        <f>L66/M66*100</f>
        <v>102.53190138769813</v>
      </c>
      <c r="O66" s="72">
        <f>SUM(O57:O65)</f>
        <v>583</v>
      </c>
      <c r="P66" s="71">
        <f>R66/O66</f>
        <v>81.409948542024011</v>
      </c>
      <c r="Q66" s="72">
        <f>SUM(Q57:Q65)</f>
        <v>584</v>
      </c>
      <c r="R66" s="59">
        <f>SUM(R57:R65)</f>
        <v>47462</v>
      </c>
    </row>
    <row r="67" spans="1:18" x14ac:dyDescent="0.25">
      <c r="A67" s="39"/>
      <c r="B67" s="73"/>
      <c r="C67" s="39"/>
      <c r="D67" s="39"/>
      <c r="E67" s="39"/>
      <c r="F67" s="39"/>
      <c r="G67" s="39"/>
      <c r="H67" s="39"/>
      <c r="I67" s="39"/>
      <c r="J67" s="39"/>
      <c r="K67" s="74"/>
      <c r="L67" s="39"/>
      <c r="M67" s="39"/>
      <c r="N67" s="39"/>
      <c r="O67" s="39"/>
      <c r="P67" s="75"/>
      <c r="Q67" s="39"/>
      <c r="R67" s="39"/>
    </row>
    <row r="68" spans="1:18" x14ac:dyDescent="0.25">
      <c r="A68" s="319" t="s">
        <v>62</v>
      </c>
      <c r="B68" s="320"/>
      <c r="C68" s="37">
        <v>3</v>
      </c>
      <c r="D68" s="37">
        <v>4</v>
      </c>
      <c r="E68" s="271">
        <v>5</v>
      </c>
      <c r="F68" s="37">
        <v>6</v>
      </c>
      <c r="G68" s="37">
        <v>7</v>
      </c>
      <c r="H68" s="37">
        <v>8</v>
      </c>
      <c r="I68" s="37">
        <v>9</v>
      </c>
      <c r="J68" s="37">
        <v>10</v>
      </c>
      <c r="K68" s="37">
        <v>11</v>
      </c>
      <c r="L68" s="37">
        <v>12</v>
      </c>
      <c r="M68" s="37">
        <v>13</v>
      </c>
      <c r="N68" s="37">
        <v>14</v>
      </c>
      <c r="O68" s="37">
        <v>15</v>
      </c>
      <c r="P68" s="271">
        <v>16</v>
      </c>
      <c r="Q68" s="37">
        <v>15</v>
      </c>
      <c r="R68" s="39"/>
    </row>
    <row r="69" spans="1:18" x14ac:dyDescent="0.25">
      <c r="A69" s="40">
        <v>1</v>
      </c>
      <c r="B69" s="41" t="s">
        <v>63</v>
      </c>
      <c r="C69" s="268">
        <v>57043</v>
      </c>
      <c r="D69" s="268">
        <v>21154</v>
      </c>
      <c r="E69" s="47">
        <f t="shared" ref="E69:E76" si="27">C69/D69*100</f>
        <v>269.65585704831238</v>
      </c>
      <c r="F69" s="268">
        <v>800</v>
      </c>
      <c r="G69" s="268">
        <v>11</v>
      </c>
      <c r="H69" s="47">
        <f t="shared" ref="H69:H75" si="28">F69/G69*100</f>
        <v>7272.727272727273</v>
      </c>
      <c r="I69" s="268">
        <v>145096</v>
      </c>
      <c r="J69" s="268">
        <v>138014</v>
      </c>
      <c r="K69" s="47">
        <f>I69/J69*100</f>
        <v>105.13136348486385</v>
      </c>
      <c r="L69" s="268">
        <v>53172</v>
      </c>
      <c r="M69" s="268">
        <v>32820</v>
      </c>
      <c r="N69" s="47">
        <f t="shared" ref="N69:N70" si="29">L69/M69*100</f>
        <v>162.01096892138941</v>
      </c>
      <c r="O69" s="268">
        <v>158</v>
      </c>
      <c r="P69" s="62">
        <v>55</v>
      </c>
      <c r="Q69" s="268">
        <v>166</v>
      </c>
      <c r="R69" s="45">
        <f t="shared" ref="R69:R76" si="30">O69*P69</f>
        <v>8690</v>
      </c>
    </row>
    <row r="70" spans="1:18" x14ac:dyDescent="0.25">
      <c r="A70" s="40">
        <v>2</v>
      </c>
      <c r="B70" s="41" t="s">
        <v>40</v>
      </c>
      <c r="C70" s="51">
        <v>556973</v>
      </c>
      <c r="D70" s="51">
        <v>364677</v>
      </c>
      <c r="E70" s="47">
        <f t="shared" si="27"/>
        <v>152.73049849592928</v>
      </c>
      <c r="F70" s="51">
        <v>67298</v>
      </c>
      <c r="G70" s="51">
        <v>33021</v>
      </c>
      <c r="H70" s="47">
        <f t="shared" si="28"/>
        <v>203.80364010781017</v>
      </c>
      <c r="I70" s="51">
        <v>524248</v>
      </c>
      <c r="J70" s="51">
        <v>366109</v>
      </c>
      <c r="K70" s="47">
        <f t="shared" ref="K70:K76" si="31">I70/J70*100</f>
        <v>143.19451310948378</v>
      </c>
      <c r="L70" s="51">
        <v>524248</v>
      </c>
      <c r="M70" s="51">
        <v>366109</v>
      </c>
      <c r="N70" s="47">
        <f t="shared" si="29"/>
        <v>143.19451310948378</v>
      </c>
      <c r="O70" s="268">
        <v>25</v>
      </c>
      <c r="P70" s="44">
        <v>65</v>
      </c>
      <c r="Q70" s="268">
        <v>24</v>
      </c>
      <c r="R70" s="45">
        <f t="shared" si="30"/>
        <v>1625</v>
      </c>
    </row>
    <row r="71" spans="1:18" x14ac:dyDescent="0.25">
      <c r="A71" s="40">
        <v>3</v>
      </c>
      <c r="B71" s="41" t="s">
        <v>64</v>
      </c>
      <c r="C71" s="268">
        <v>34432</v>
      </c>
      <c r="D71" s="268">
        <v>15074</v>
      </c>
      <c r="E71" s="47">
        <f t="shared" si="27"/>
        <v>228.41979567467163</v>
      </c>
      <c r="F71" s="268">
        <v>1850</v>
      </c>
      <c r="G71" s="268">
        <v>3382</v>
      </c>
      <c r="H71" s="47">
        <f t="shared" si="28"/>
        <v>54.701360141927857</v>
      </c>
      <c r="I71" s="268">
        <v>34720</v>
      </c>
      <c r="J71" s="268">
        <v>16188</v>
      </c>
      <c r="K71" s="47">
        <f t="shared" si="31"/>
        <v>214.47986162589575</v>
      </c>
      <c r="L71" s="268">
        <v>4160</v>
      </c>
      <c r="M71" s="268">
        <v>2076</v>
      </c>
      <c r="N71" s="47">
        <v>0</v>
      </c>
      <c r="O71" s="268">
        <v>61</v>
      </c>
      <c r="P71" s="62">
        <v>49</v>
      </c>
      <c r="Q71" s="268">
        <v>41</v>
      </c>
      <c r="R71" s="45">
        <f t="shared" si="30"/>
        <v>2989</v>
      </c>
    </row>
    <row r="72" spans="1:18" x14ac:dyDescent="0.25">
      <c r="A72" s="40">
        <v>4</v>
      </c>
      <c r="B72" s="41" t="s">
        <v>65</v>
      </c>
      <c r="C72" s="268">
        <v>45261</v>
      </c>
      <c r="D72" s="268">
        <v>22528</v>
      </c>
      <c r="E72" s="47">
        <f t="shared" si="27"/>
        <v>200.90997869318184</v>
      </c>
      <c r="F72" s="268">
        <v>12531</v>
      </c>
      <c r="G72" s="268">
        <v>2365</v>
      </c>
      <c r="H72" s="47">
        <f t="shared" si="28"/>
        <v>529.85200845665963</v>
      </c>
      <c r="I72" s="268">
        <v>59296</v>
      </c>
      <c r="J72" s="268">
        <v>20396</v>
      </c>
      <c r="K72" s="47">
        <f t="shared" si="31"/>
        <v>290.7236713080996</v>
      </c>
      <c r="L72" s="268">
        <v>36849</v>
      </c>
      <c r="M72" s="268">
        <v>0</v>
      </c>
      <c r="N72" s="47">
        <v>0</v>
      </c>
      <c r="O72" s="268">
        <v>72</v>
      </c>
      <c r="P72" s="76">
        <v>50</v>
      </c>
      <c r="Q72" s="268">
        <v>72</v>
      </c>
      <c r="R72" s="45">
        <f t="shared" si="30"/>
        <v>3600</v>
      </c>
    </row>
    <row r="73" spans="1:18" x14ac:dyDescent="0.25">
      <c r="A73" s="40">
        <v>5</v>
      </c>
      <c r="B73" s="41" t="s">
        <v>66</v>
      </c>
      <c r="C73" s="268">
        <v>111186</v>
      </c>
      <c r="D73" s="268">
        <v>81574</v>
      </c>
      <c r="E73" s="47">
        <f t="shared" si="27"/>
        <v>136.30078211194743</v>
      </c>
      <c r="F73" s="268">
        <v>100</v>
      </c>
      <c r="G73" s="268">
        <v>125</v>
      </c>
      <c r="H73" s="34">
        <f t="shared" si="28"/>
        <v>80</v>
      </c>
      <c r="I73" s="268">
        <v>112003</v>
      </c>
      <c r="J73" s="268">
        <v>86039</v>
      </c>
      <c r="K73" s="47">
        <f t="shared" si="31"/>
        <v>130.17701275003196</v>
      </c>
      <c r="L73" s="268">
        <v>92776</v>
      </c>
      <c r="M73" s="268">
        <v>51177</v>
      </c>
      <c r="N73" s="47">
        <f t="shared" ref="N73:N75" si="32">L73/M73*100</f>
        <v>181.28456142407722</v>
      </c>
      <c r="O73" s="268">
        <v>61</v>
      </c>
      <c r="P73" s="62">
        <v>60</v>
      </c>
      <c r="Q73" s="268">
        <v>61</v>
      </c>
      <c r="R73" s="45">
        <f t="shared" si="30"/>
        <v>3660</v>
      </c>
    </row>
    <row r="74" spans="1:18" x14ac:dyDescent="0.25">
      <c r="A74" s="40">
        <v>6</v>
      </c>
      <c r="B74" s="41" t="s">
        <v>67</v>
      </c>
      <c r="C74" s="268">
        <v>2696</v>
      </c>
      <c r="D74" s="268">
        <v>7759</v>
      </c>
      <c r="E74" s="47">
        <f t="shared" si="27"/>
        <v>34.746745714653947</v>
      </c>
      <c r="F74" s="268">
        <v>0</v>
      </c>
      <c r="G74" s="268">
        <v>199</v>
      </c>
      <c r="H74" s="47">
        <f t="shared" si="28"/>
        <v>0</v>
      </c>
      <c r="I74" s="268">
        <v>2951</v>
      </c>
      <c r="J74" s="268">
        <v>7412</v>
      </c>
      <c r="K74" s="47">
        <f t="shared" si="31"/>
        <v>39.813815434430651</v>
      </c>
      <c r="L74" s="268">
        <v>48</v>
      </c>
      <c r="M74" s="268">
        <v>146</v>
      </c>
      <c r="N74" s="47">
        <f t="shared" si="32"/>
        <v>32.87671232876712</v>
      </c>
      <c r="O74" s="268">
        <v>10</v>
      </c>
      <c r="P74" s="62">
        <v>62</v>
      </c>
      <c r="Q74" s="268">
        <v>11</v>
      </c>
      <c r="R74" s="45">
        <f t="shared" si="30"/>
        <v>620</v>
      </c>
    </row>
    <row r="75" spans="1:18" x14ac:dyDescent="0.25">
      <c r="A75" s="40">
        <v>7</v>
      </c>
      <c r="B75" s="41" t="s">
        <v>168</v>
      </c>
      <c r="C75" s="268">
        <v>951420</v>
      </c>
      <c r="D75" s="268">
        <v>915602</v>
      </c>
      <c r="E75" s="47">
        <f t="shared" si="27"/>
        <v>103.91196174757154</v>
      </c>
      <c r="F75" s="268">
        <v>100342</v>
      </c>
      <c r="G75" s="268">
        <v>155709</v>
      </c>
      <c r="H75" s="47">
        <f t="shared" si="28"/>
        <v>64.442003994631008</v>
      </c>
      <c r="I75" s="268">
        <v>932796</v>
      </c>
      <c r="J75" s="268">
        <v>929565</v>
      </c>
      <c r="K75" s="47">
        <f t="shared" si="31"/>
        <v>100.347581933485</v>
      </c>
      <c r="L75" s="268">
        <v>225086</v>
      </c>
      <c r="M75" s="268">
        <v>163159</v>
      </c>
      <c r="N75" s="47">
        <f t="shared" si="32"/>
        <v>137.95500094999355</v>
      </c>
      <c r="O75" s="268">
        <v>140</v>
      </c>
      <c r="P75" s="44">
        <v>200</v>
      </c>
      <c r="Q75" s="268">
        <v>140</v>
      </c>
      <c r="R75" s="45">
        <f t="shared" si="30"/>
        <v>28000</v>
      </c>
    </row>
    <row r="76" spans="1:18" x14ac:dyDescent="0.25">
      <c r="A76" s="40">
        <v>8</v>
      </c>
      <c r="B76" s="41" t="s">
        <v>68</v>
      </c>
      <c r="C76" s="268">
        <v>4043</v>
      </c>
      <c r="D76" s="268">
        <v>3258</v>
      </c>
      <c r="E76" s="47">
        <f t="shared" si="27"/>
        <v>124.09453652547575</v>
      </c>
      <c r="F76" s="268">
        <v>114</v>
      </c>
      <c r="G76" s="268">
        <v>0</v>
      </c>
      <c r="H76" s="47">
        <v>0</v>
      </c>
      <c r="I76" s="268">
        <v>15264</v>
      </c>
      <c r="J76" s="268">
        <v>3583</v>
      </c>
      <c r="K76" s="47">
        <f t="shared" si="31"/>
        <v>426.01172202065305</v>
      </c>
      <c r="L76" s="268">
        <v>0</v>
      </c>
      <c r="M76" s="268">
        <v>0</v>
      </c>
      <c r="N76" s="47">
        <v>0</v>
      </c>
      <c r="O76" s="268">
        <v>31</v>
      </c>
      <c r="P76" s="62">
        <v>40</v>
      </c>
      <c r="Q76" s="268">
        <v>16</v>
      </c>
      <c r="R76" s="45">
        <f t="shared" si="30"/>
        <v>1240</v>
      </c>
    </row>
    <row r="77" spans="1:18" x14ac:dyDescent="0.25">
      <c r="A77" s="315" t="s">
        <v>211</v>
      </c>
      <c r="B77" s="315" t="s">
        <v>69</v>
      </c>
      <c r="C77" s="56">
        <f>SUM(C69:C76)</f>
        <v>1763054</v>
      </c>
      <c r="D77" s="56">
        <f>SUM(D69:D76)</f>
        <v>1431626</v>
      </c>
      <c r="E77" s="57">
        <f>C77/D77*100</f>
        <v>123.15045968709705</v>
      </c>
      <c r="F77" s="56">
        <f>SUM(F69:F76)</f>
        <v>183035</v>
      </c>
      <c r="G77" s="56">
        <f>SUM(G69:G76)</f>
        <v>194812</v>
      </c>
      <c r="H77" s="57">
        <f>F77/G77*100</f>
        <v>93.95468451635422</v>
      </c>
      <c r="I77" s="56">
        <f>SUM(I69:I76)</f>
        <v>1826374</v>
      </c>
      <c r="J77" s="56">
        <f>SUM(J69:J76)</f>
        <v>1567306</v>
      </c>
      <c r="K77" s="57">
        <f>I77/J77*100</f>
        <v>116.52950987235423</v>
      </c>
      <c r="L77" s="56">
        <f>SUM(L69:L76)</f>
        <v>936339</v>
      </c>
      <c r="M77" s="56">
        <f>SUM(M69:M76)</f>
        <v>615487</v>
      </c>
      <c r="N77" s="58">
        <f>L77/M77*100</f>
        <v>152.12977690836686</v>
      </c>
      <c r="O77" s="56">
        <f>SUM(O69:O76)</f>
        <v>558</v>
      </c>
      <c r="P77" s="57">
        <f>R77/O77</f>
        <v>90.365591397849457</v>
      </c>
      <c r="Q77" s="56">
        <f>SUM(Q69:Q76)</f>
        <v>531</v>
      </c>
      <c r="R77" s="59">
        <f>SUM(R69:R76)</f>
        <v>50424</v>
      </c>
    </row>
    <row r="78" spans="1:18" x14ac:dyDescent="0.25">
      <c r="A78" s="352" t="s">
        <v>70</v>
      </c>
      <c r="B78" s="352" t="s">
        <v>70</v>
      </c>
      <c r="C78" s="212">
        <f>C54+C66+C77</f>
        <v>7037639</v>
      </c>
      <c r="D78" s="212">
        <f>D54+D66+D77</f>
        <v>5742297</v>
      </c>
      <c r="E78" s="210">
        <f>C78/D78*100</f>
        <v>122.5579067052784</v>
      </c>
      <c r="F78" s="212">
        <f>F54+F66+F77</f>
        <v>637116</v>
      </c>
      <c r="G78" s="212">
        <f>G54+G66+G77</f>
        <v>586523</v>
      </c>
      <c r="H78" s="210">
        <f>F78/G78*100</f>
        <v>108.62591918816481</v>
      </c>
      <c r="I78" s="212">
        <f>I54+I66+I77</f>
        <v>6577267</v>
      </c>
      <c r="J78" s="212">
        <f>J54+J66+J77</f>
        <v>6011514</v>
      </c>
      <c r="K78" s="210">
        <f>I78/J78*100</f>
        <v>109.4111566570418</v>
      </c>
      <c r="L78" s="212">
        <f>L54+L66+L77</f>
        <v>3715338</v>
      </c>
      <c r="M78" s="212">
        <f>M54+M66+M77</f>
        <v>2988789</v>
      </c>
      <c r="N78" s="210">
        <f>L78/M78*100</f>
        <v>124.309143268394</v>
      </c>
      <c r="O78" s="212">
        <f>O54+O66+O77</f>
        <v>2035</v>
      </c>
      <c r="P78" s="210">
        <f>R78/O78</f>
        <v>88.893857493857496</v>
      </c>
      <c r="Q78" s="212">
        <f>Q54+Q66+Q77</f>
        <v>2011</v>
      </c>
      <c r="R78" s="213">
        <f>R54+R66+R77</f>
        <v>180899</v>
      </c>
    </row>
    <row r="79" spans="1:18" x14ac:dyDescent="0.25">
      <c r="A79" s="268"/>
      <c r="B79" s="61"/>
      <c r="C79" s="268"/>
      <c r="D79" s="268"/>
      <c r="E79" s="268"/>
      <c r="F79" s="268"/>
      <c r="G79" s="268"/>
      <c r="H79" s="268"/>
      <c r="I79" s="268"/>
      <c r="J79" s="268"/>
      <c r="K79" s="34"/>
      <c r="L79" s="268"/>
      <c r="M79" s="268"/>
      <c r="N79" s="268"/>
      <c r="O79" s="268"/>
      <c r="P79" s="62"/>
      <c r="Q79" s="268"/>
      <c r="R79" s="39"/>
    </row>
    <row r="80" spans="1:18" x14ac:dyDescent="0.25">
      <c r="A80" s="316" t="s">
        <v>18</v>
      </c>
      <c r="B80" s="317"/>
      <c r="C80" s="37">
        <v>3</v>
      </c>
      <c r="D80" s="37">
        <v>4</v>
      </c>
      <c r="E80" s="271">
        <v>5</v>
      </c>
      <c r="F80" s="37">
        <v>6</v>
      </c>
      <c r="G80" s="37">
        <v>7</v>
      </c>
      <c r="H80" s="37">
        <v>8</v>
      </c>
      <c r="I80" s="37">
        <v>9</v>
      </c>
      <c r="J80" s="37">
        <v>10</v>
      </c>
      <c r="K80" s="37">
        <v>11</v>
      </c>
      <c r="L80" s="37">
        <v>12</v>
      </c>
      <c r="M80" s="37">
        <v>13</v>
      </c>
      <c r="N80" s="37">
        <v>14</v>
      </c>
      <c r="O80" s="37">
        <v>15</v>
      </c>
      <c r="P80" s="271">
        <v>16</v>
      </c>
      <c r="Q80" s="37">
        <v>15</v>
      </c>
      <c r="R80" s="39"/>
    </row>
    <row r="81" spans="1:18" x14ac:dyDescent="0.25">
      <c r="A81" s="77">
        <v>1</v>
      </c>
      <c r="B81" s="78" t="s">
        <v>71</v>
      </c>
      <c r="C81" s="51">
        <v>12158</v>
      </c>
      <c r="D81" s="51">
        <v>44970</v>
      </c>
      <c r="E81" s="47">
        <f>C81/D81*100</f>
        <v>27.035801645541476</v>
      </c>
      <c r="F81" s="51">
        <v>450</v>
      </c>
      <c r="G81" s="51">
        <v>386</v>
      </c>
      <c r="H81" s="47">
        <f>F81/G81*100</f>
        <v>116.580310880829</v>
      </c>
      <c r="I81" s="51">
        <v>9585</v>
      </c>
      <c r="J81" s="51">
        <v>50871</v>
      </c>
      <c r="K81" s="47">
        <f>I81/J81*100</f>
        <v>18.841776257592734</v>
      </c>
      <c r="L81" s="268">
        <v>0</v>
      </c>
      <c r="M81" s="51">
        <v>5674</v>
      </c>
      <c r="N81" s="47">
        <v>0</v>
      </c>
      <c r="O81" s="268">
        <v>2643</v>
      </c>
      <c r="P81" s="51">
        <v>113</v>
      </c>
      <c r="Q81" s="268">
        <v>2643</v>
      </c>
      <c r="R81" s="45">
        <f t="shared" ref="R81:R91" si="33">O81*P81</f>
        <v>298659</v>
      </c>
    </row>
    <row r="82" spans="1:18" x14ac:dyDescent="0.25">
      <c r="A82" s="79">
        <v>2</v>
      </c>
      <c r="B82" s="78" t="s">
        <v>72</v>
      </c>
      <c r="C82" s="51">
        <v>596837</v>
      </c>
      <c r="D82" s="51">
        <v>632525</v>
      </c>
      <c r="E82" s="47">
        <f>C82/D82*100</f>
        <v>94.357851468321414</v>
      </c>
      <c r="F82" s="51">
        <v>69097</v>
      </c>
      <c r="G82" s="51">
        <v>57552</v>
      </c>
      <c r="H82" s="47">
        <f t="shared" ref="H82:H91" si="34">F82/G82*100</f>
        <v>120.06011954406451</v>
      </c>
      <c r="I82" s="51">
        <v>634424</v>
      </c>
      <c r="J82" s="51">
        <v>627291</v>
      </c>
      <c r="K82" s="47">
        <f>I82/J82*100</f>
        <v>101.13711180297503</v>
      </c>
      <c r="L82" s="51">
        <v>623993</v>
      </c>
      <c r="M82" s="51">
        <v>618982</v>
      </c>
      <c r="N82" s="47">
        <f t="shared" ref="N82:N91" si="35">L82/M82*100</f>
        <v>100.80955504360385</v>
      </c>
      <c r="O82" s="268">
        <v>726</v>
      </c>
      <c r="P82" s="51">
        <v>90</v>
      </c>
      <c r="Q82" s="268">
        <v>726</v>
      </c>
      <c r="R82" s="45">
        <f t="shared" si="33"/>
        <v>65340</v>
      </c>
    </row>
    <row r="83" spans="1:18" x14ac:dyDescent="0.25">
      <c r="A83" s="77">
        <v>3</v>
      </c>
      <c r="B83" s="78" t="s">
        <v>73</v>
      </c>
      <c r="C83" s="51">
        <v>1122409</v>
      </c>
      <c r="D83" s="51">
        <v>829910</v>
      </c>
      <c r="E83" s="47">
        <f>C83/D83*100</f>
        <v>135.24466508416575</v>
      </c>
      <c r="F83" s="51">
        <v>200724</v>
      </c>
      <c r="G83" s="51">
        <v>118566</v>
      </c>
      <c r="H83" s="47">
        <f t="shared" si="34"/>
        <v>169.2930519710541</v>
      </c>
      <c r="I83" s="51">
        <v>2081887</v>
      </c>
      <c r="J83" s="51">
        <v>1410543</v>
      </c>
      <c r="K83" s="47">
        <f>I83/J83*100</f>
        <v>147.59472061468526</v>
      </c>
      <c r="L83" s="51">
        <v>461516</v>
      </c>
      <c r="M83" s="51">
        <v>287579</v>
      </c>
      <c r="N83" s="47">
        <f t="shared" si="35"/>
        <v>160.48320635373236</v>
      </c>
      <c r="O83" s="268">
        <v>24</v>
      </c>
      <c r="P83" s="51">
        <v>306</v>
      </c>
      <c r="Q83" s="268">
        <v>21</v>
      </c>
      <c r="R83" s="45">
        <f t="shared" si="33"/>
        <v>7344</v>
      </c>
    </row>
    <row r="84" spans="1:18" x14ac:dyDescent="0.25">
      <c r="A84" s="79">
        <v>4</v>
      </c>
      <c r="B84" s="78" t="s">
        <v>74</v>
      </c>
      <c r="C84" s="51">
        <v>830464</v>
      </c>
      <c r="D84" s="51">
        <v>747440</v>
      </c>
      <c r="E84" s="47">
        <f t="shared" ref="E84:E91" si="36">C84/D84*100</f>
        <v>111.10778122658675</v>
      </c>
      <c r="F84" s="51">
        <v>80734</v>
      </c>
      <c r="G84" s="51">
        <v>92251</v>
      </c>
      <c r="H84" s="47">
        <f t="shared" si="34"/>
        <v>87.515582486910716</v>
      </c>
      <c r="I84" s="51">
        <v>798249</v>
      </c>
      <c r="J84" s="51">
        <v>717893</v>
      </c>
      <c r="K84" s="47">
        <f t="shared" ref="K84:K91" si="37">I84/J84*100</f>
        <v>111.19331153807043</v>
      </c>
      <c r="L84" s="268">
        <v>557955</v>
      </c>
      <c r="M84" s="51">
        <v>421184</v>
      </c>
      <c r="N84" s="47">
        <f t="shared" si="35"/>
        <v>132.47298092994987</v>
      </c>
      <c r="O84" s="268">
        <v>196</v>
      </c>
      <c r="P84" s="51">
        <v>40</v>
      </c>
      <c r="Q84" s="268">
        <v>196</v>
      </c>
      <c r="R84" s="45">
        <f t="shared" si="33"/>
        <v>7840</v>
      </c>
    </row>
    <row r="85" spans="1:18" x14ac:dyDescent="0.25">
      <c r="A85" s="77">
        <v>5</v>
      </c>
      <c r="B85" s="78" t="s">
        <v>75</v>
      </c>
      <c r="C85" s="62">
        <v>314278</v>
      </c>
      <c r="D85" s="62">
        <v>286648</v>
      </c>
      <c r="E85" s="47">
        <f t="shared" si="36"/>
        <v>109.63899974882085</v>
      </c>
      <c r="F85" s="62">
        <v>23757</v>
      </c>
      <c r="G85" s="62">
        <v>31038</v>
      </c>
      <c r="H85" s="47">
        <f t="shared" si="34"/>
        <v>76.541658612023966</v>
      </c>
      <c r="I85" s="62">
        <v>315782</v>
      </c>
      <c r="J85" s="62">
        <v>269610</v>
      </c>
      <c r="K85" s="47">
        <f t="shared" si="37"/>
        <v>117.12547754163421</v>
      </c>
      <c r="L85" s="268">
        <v>134085</v>
      </c>
      <c r="M85" s="62">
        <v>0</v>
      </c>
      <c r="N85" s="47">
        <v>0</v>
      </c>
      <c r="O85" s="268">
        <v>102</v>
      </c>
      <c r="P85" s="62">
        <v>46</v>
      </c>
      <c r="Q85" s="268">
        <v>98</v>
      </c>
      <c r="R85" s="45">
        <f t="shared" si="33"/>
        <v>4692</v>
      </c>
    </row>
    <row r="86" spans="1:18" x14ac:dyDescent="0.25">
      <c r="A86" s="79">
        <v>6</v>
      </c>
      <c r="B86" s="78" t="s">
        <v>76</v>
      </c>
      <c r="C86" s="268">
        <v>0</v>
      </c>
      <c r="D86" s="268">
        <v>0</v>
      </c>
      <c r="E86" s="47">
        <v>0</v>
      </c>
      <c r="F86" s="268">
        <v>0</v>
      </c>
      <c r="G86" s="268">
        <v>0</v>
      </c>
      <c r="H86" s="43">
        <v>0</v>
      </c>
      <c r="I86" s="268">
        <v>0</v>
      </c>
      <c r="J86" s="268">
        <v>0</v>
      </c>
      <c r="K86" s="43">
        <v>0</v>
      </c>
      <c r="L86" s="268">
        <v>0</v>
      </c>
      <c r="M86" s="268">
        <v>0</v>
      </c>
      <c r="N86" s="47">
        <v>0</v>
      </c>
      <c r="O86" s="268">
        <v>0</v>
      </c>
      <c r="P86" s="44">
        <v>0</v>
      </c>
      <c r="Q86" s="268">
        <v>0</v>
      </c>
      <c r="R86" s="45">
        <f t="shared" si="33"/>
        <v>0</v>
      </c>
    </row>
    <row r="87" spans="1:18" x14ac:dyDescent="0.25">
      <c r="A87" s="77">
        <v>7</v>
      </c>
      <c r="B87" s="78" t="s">
        <v>77</v>
      </c>
      <c r="C87" s="51">
        <v>406</v>
      </c>
      <c r="D87" s="62">
        <v>839</v>
      </c>
      <c r="E87" s="47">
        <f t="shared" si="36"/>
        <v>48.390941597139452</v>
      </c>
      <c r="F87" s="51">
        <v>0</v>
      </c>
      <c r="G87" s="62">
        <v>0</v>
      </c>
      <c r="H87" s="47" t="e">
        <f t="shared" ref="H87:H88" si="38">F87/G87*100</f>
        <v>#DIV/0!</v>
      </c>
      <c r="I87" s="51">
        <v>406</v>
      </c>
      <c r="J87" s="62">
        <v>839</v>
      </c>
      <c r="K87" s="47">
        <f t="shared" ref="K87:K88" si="39">I87/J87*100</f>
        <v>48.390941597139452</v>
      </c>
      <c r="L87" s="268">
        <v>0</v>
      </c>
      <c r="M87" s="62">
        <v>0</v>
      </c>
      <c r="N87" s="47">
        <v>0</v>
      </c>
      <c r="O87" s="268">
        <v>10</v>
      </c>
      <c r="P87" s="51">
        <v>73</v>
      </c>
      <c r="Q87" s="268">
        <v>10</v>
      </c>
      <c r="R87" s="45">
        <f t="shared" si="33"/>
        <v>730</v>
      </c>
    </row>
    <row r="88" spans="1:18" x14ac:dyDescent="0.25">
      <c r="A88" s="79">
        <v>8</v>
      </c>
      <c r="B88" s="81" t="s">
        <v>78</v>
      </c>
      <c r="C88" s="62">
        <v>931498</v>
      </c>
      <c r="D88" s="62">
        <v>991833</v>
      </c>
      <c r="E88" s="47">
        <f t="shared" si="36"/>
        <v>93.916818657979718</v>
      </c>
      <c r="F88" s="62">
        <v>94232</v>
      </c>
      <c r="G88" s="62">
        <v>68628</v>
      </c>
      <c r="H88" s="47">
        <f t="shared" si="38"/>
        <v>137.30838724718774</v>
      </c>
      <c r="I88" s="62">
        <v>1093639</v>
      </c>
      <c r="J88" s="62">
        <v>1072826</v>
      </c>
      <c r="K88" s="47">
        <f t="shared" si="39"/>
        <v>101.94001636798511</v>
      </c>
      <c r="L88" s="268">
        <v>189492</v>
      </c>
      <c r="M88" s="62">
        <v>243430</v>
      </c>
      <c r="N88" s="47">
        <f t="shared" si="35"/>
        <v>77.842500924290349</v>
      </c>
      <c r="O88" s="268">
        <v>84</v>
      </c>
      <c r="P88" s="51">
        <v>85</v>
      </c>
      <c r="Q88" s="268">
        <v>79</v>
      </c>
      <c r="R88" s="45">
        <f t="shared" si="33"/>
        <v>7140</v>
      </c>
    </row>
    <row r="89" spans="1:18" x14ac:dyDescent="0.25">
      <c r="A89" s="77">
        <v>9</v>
      </c>
      <c r="B89" s="81" t="s">
        <v>79</v>
      </c>
      <c r="C89" s="51">
        <v>1873260</v>
      </c>
      <c r="D89" s="51">
        <v>2055073</v>
      </c>
      <c r="E89" s="47">
        <f t="shared" si="36"/>
        <v>91.152966342314841</v>
      </c>
      <c r="F89" s="51">
        <v>227655</v>
      </c>
      <c r="G89" s="51">
        <v>196410</v>
      </c>
      <c r="H89" s="47">
        <f t="shared" si="34"/>
        <v>115.90804948831526</v>
      </c>
      <c r="I89" s="51">
        <v>1949444</v>
      </c>
      <c r="J89" s="51">
        <v>2221064</v>
      </c>
      <c r="K89" s="47">
        <f t="shared" si="37"/>
        <v>87.770726102444598</v>
      </c>
      <c r="L89" s="268">
        <v>0</v>
      </c>
      <c r="M89" s="51">
        <v>0</v>
      </c>
      <c r="N89" s="47">
        <v>0</v>
      </c>
      <c r="O89" s="268">
        <v>128</v>
      </c>
      <c r="P89" s="51">
        <v>145</v>
      </c>
      <c r="Q89" s="268">
        <v>128</v>
      </c>
      <c r="R89" s="45">
        <f t="shared" si="33"/>
        <v>18560</v>
      </c>
    </row>
    <row r="90" spans="1:18" x14ac:dyDescent="0.25">
      <c r="A90" s="79">
        <v>10</v>
      </c>
      <c r="B90" s="78" t="s">
        <v>80</v>
      </c>
      <c r="C90" s="51">
        <v>1187680</v>
      </c>
      <c r="D90" s="51">
        <v>995429</v>
      </c>
      <c r="E90" s="47">
        <f t="shared" si="36"/>
        <v>119.31338146668422</v>
      </c>
      <c r="F90" s="51">
        <v>136788</v>
      </c>
      <c r="G90" s="51">
        <v>110880</v>
      </c>
      <c r="H90" s="47">
        <f t="shared" si="34"/>
        <v>123.36580086580086</v>
      </c>
      <c r="I90" s="51">
        <v>1207258</v>
      </c>
      <c r="J90" s="51">
        <v>868362</v>
      </c>
      <c r="K90" s="47">
        <f t="shared" si="37"/>
        <v>139.02704171762468</v>
      </c>
      <c r="L90" s="268">
        <v>624816</v>
      </c>
      <c r="M90" s="51">
        <v>409145</v>
      </c>
      <c r="N90" s="47">
        <f t="shared" si="35"/>
        <v>152.71260799960896</v>
      </c>
      <c r="O90" s="268">
        <v>124</v>
      </c>
      <c r="P90" s="51">
        <v>185</v>
      </c>
      <c r="Q90" s="268">
        <v>124</v>
      </c>
      <c r="R90" s="45">
        <f t="shared" si="33"/>
        <v>22940</v>
      </c>
    </row>
    <row r="91" spans="1:18" x14ac:dyDescent="0.25">
      <c r="A91" s="77">
        <v>11</v>
      </c>
      <c r="B91" s="78" t="s">
        <v>81</v>
      </c>
      <c r="C91" s="77">
        <v>289887</v>
      </c>
      <c r="D91" s="181">
        <v>222269</v>
      </c>
      <c r="E91" s="47">
        <f t="shared" si="36"/>
        <v>130.42169623294296</v>
      </c>
      <c r="F91" s="51">
        <v>30571</v>
      </c>
      <c r="G91" s="51">
        <v>28730</v>
      </c>
      <c r="H91" s="47">
        <f t="shared" si="34"/>
        <v>106.40793595544726</v>
      </c>
      <c r="I91" s="82">
        <v>3024847</v>
      </c>
      <c r="J91" s="83">
        <v>2925083</v>
      </c>
      <c r="K91" s="47">
        <f t="shared" si="37"/>
        <v>103.41063826223052</v>
      </c>
      <c r="L91" s="82">
        <v>27964</v>
      </c>
      <c r="M91" s="83">
        <v>30527</v>
      </c>
      <c r="N91" s="47">
        <f t="shared" si="35"/>
        <v>91.60415370000328</v>
      </c>
      <c r="O91" s="268">
        <v>51</v>
      </c>
      <c r="P91" s="51">
        <v>250</v>
      </c>
      <c r="Q91" s="268">
        <v>51</v>
      </c>
      <c r="R91" s="45">
        <f t="shared" si="33"/>
        <v>12750</v>
      </c>
    </row>
    <row r="92" spans="1:18" x14ac:dyDescent="0.25">
      <c r="A92" s="315" t="s">
        <v>82</v>
      </c>
      <c r="B92" s="315" t="s">
        <v>83</v>
      </c>
      <c r="C92" s="58">
        <f>SUM(C81:C91)</f>
        <v>7158877</v>
      </c>
      <c r="D92" s="58">
        <f>SUM(D81:D91)</f>
        <v>6806936</v>
      </c>
      <c r="E92" s="57">
        <f>C92/D92*100</f>
        <v>105.17032920538698</v>
      </c>
      <c r="F92" s="58">
        <f>SUM(F81:F91)</f>
        <v>864008</v>
      </c>
      <c r="G92" s="58">
        <f>SUM(G81:G91)</f>
        <v>704441</v>
      </c>
      <c r="H92" s="57">
        <f>F92/G92*100</f>
        <v>122.65157763389696</v>
      </c>
      <c r="I92" s="58">
        <f>SUM(I81:I91)</f>
        <v>11115521</v>
      </c>
      <c r="J92" s="58">
        <f>SUM(J81:J91)</f>
        <v>10164382</v>
      </c>
      <c r="K92" s="57">
        <f>I92/J92*100</f>
        <v>109.35756841881779</v>
      </c>
      <c r="L92" s="58">
        <f>SUM(L81:L91)</f>
        <v>2619821</v>
      </c>
      <c r="M92" s="58">
        <f>SUM(M81:M91)</f>
        <v>2016521</v>
      </c>
      <c r="N92" s="57">
        <f>L92/M92*100</f>
        <v>129.91786348865199</v>
      </c>
      <c r="O92" s="56">
        <f>SUM(O81:O91)</f>
        <v>4088</v>
      </c>
      <c r="P92" s="57">
        <f>R92/O92</f>
        <v>109.09858121330724</v>
      </c>
      <c r="Q92" s="56">
        <f>SUM(Q81:Q91)</f>
        <v>4076</v>
      </c>
      <c r="R92" s="59">
        <f>SUM(R81:R91)</f>
        <v>445995</v>
      </c>
    </row>
    <row r="93" spans="1:18" x14ac:dyDescent="0.25">
      <c r="A93" s="268"/>
      <c r="B93" s="268"/>
      <c r="C93" s="268"/>
      <c r="D93" s="268"/>
      <c r="E93" s="268"/>
      <c r="F93" s="268"/>
      <c r="G93" s="268"/>
      <c r="H93" s="268"/>
      <c r="I93" s="268"/>
      <c r="J93" s="268"/>
      <c r="K93" s="34"/>
      <c r="L93" s="268"/>
      <c r="M93" s="268"/>
      <c r="N93" s="268"/>
      <c r="O93" s="268"/>
      <c r="P93" s="62"/>
      <c r="Q93" s="268"/>
      <c r="R93" s="39"/>
    </row>
    <row r="94" spans="1:18" x14ac:dyDescent="0.25">
      <c r="A94" s="316" t="s">
        <v>19</v>
      </c>
      <c r="B94" s="317"/>
      <c r="C94" s="37">
        <v>3</v>
      </c>
      <c r="D94" s="37">
        <v>4</v>
      </c>
      <c r="E94" s="271">
        <v>5</v>
      </c>
      <c r="F94" s="37">
        <v>6</v>
      </c>
      <c r="G94" s="37">
        <v>7</v>
      </c>
      <c r="H94" s="37">
        <v>8</v>
      </c>
      <c r="I94" s="37">
        <v>9</v>
      </c>
      <c r="J94" s="37">
        <v>10</v>
      </c>
      <c r="K94" s="37">
        <v>11</v>
      </c>
      <c r="L94" s="37">
        <v>12</v>
      </c>
      <c r="M94" s="37">
        <v>13</v>
      </c>
      <c r="N94" s="37">
        <v>14</v>
      </c>
      <c r="O94" s="37">
        <v>15</v>
      </c>
      <c r="P94" s="271">
        <v>16</v>
      </c>
      <c r="Q94" s="37">
        <v>15</v>
      </c>
      <c r="R94" s="39"/>
    </row>
    <row r="95" spans="1:18" x14ac:dyDescent="0.25">
      <c r="A95" s="85">
        <v>1</v>
      </c>
      <c r="B95" s="81" t="s">
        <v>84</v>
      </c>
      <c r="C95" s="87">
        <v>285817</v>
      </c>
      <c r="D95" s="87">
        <v>305727</v>
      </c>
      <c r="E95" s="47">
        <f>C95/D95*100</f>
        <v>93.487654018127287</v>
      </c>
      <c r="F95" s="87">
        <v>36804</v>
      </c>
      <c r="G95" s="87">
        <v>35241</v>
      </c>
      <c r="H95" s="47">
        <f>F95/G95*100</f>
        <v>104.43517493828212</v>
      </c>
      <c r="I95" s="87">
        <v>281120</v>
      </c>
      <c r="J95" s="86">
        <v>299905</v>
      </c>
      <c r="K95" s="47">
        <f>I95/J95*100</f>
        <v>93.736349844117299</v>
      </c>
      <c r="L95" s="87">
        <v>281075</v>
      </c>
      <c r="M95" s="87">
        <v>287614</v>
      </c>
      <c r="N95" s="47">
        <f t="shared" ref="N95" si="40">L95/M95*100</f>
        <v>97.726466722760364</v>
      </c>
      <c r="O95" s="129">
        <v>303</v>
      </c>
      <c r="P95" s="62">
        <v>76</v>
      </c>
      <c r="Q95" s="129">
        <v>303</v>
      </c>
      <c r="R95" s="45">
        <f t="shared" ref="R95:R119" si="41">O95*P95</f>
        <v>23028</v>
      </c>
    </row>
    <row r="96" spans="1:18" x14ac:dyDescent="0.25">
      <c r="A96" s="85">
        <v>2</v>
      </c>
      <c r="B96" s="81" t="s">
        <v>85</v>
      </c>
      <c r="C96" s="268">
        <v>0</v>
      </c>
      <c r="D96" s="268">
        <v>0</v>
      </c>
      <c r="E96" s="47">
        <v>0</v>
      </c>
      <c r="F96" s="268">
        <v>0</v>
      </c>
      <c r="G96" s="268">
        <v>0</v>
      </c>
      <c r="H96" s="43">
        <v>0</v>
      </c>
      <c r="I96" s="268">
        <v>0</v>
      </c>
      <c r="J96" s="268">
        <v>0</v>
      </c>
      <c r="K96" s="43">
        <v>0</v>
      </c>
      <c r="L96" s="268">
        <v>0</v>
      </c>
      <c r="M96" s="268">
        <v>0</v>
      </c>
      <c r="N96" s="47">
        <v>0</v>
      </c>
      <c r="O96" s="268">
        <v>0</v>
      </c>
      <c r="P96" s="44">
        <v>0</v>
      </c>
      <c r="Q96" s="268">
        <v>0</v>
      </c>
      <c r="R96" s="45">
        <f t="shared" si="41"/>
        <v>0</v>
      </c>
    </row>
    <row r="97" spans="1:18" x14ac:dyDescent="0.25">
      <c r="A97" s="85">
        <v>3</v>
      </c>
      <c r="B97" s="78" t="s">
        <v>86</v>
      </c>
      <c r="C97" s="268">
        <v>0</v>
      </c>
      <c r="D97" s="268">
        <v>0</v>
      </c>
      <c r="E97" s="47">
        <v>0</v>
      </c>
      <c r="F97" s="268">
        <v>0</v>
      </c>
      <c r="G97" s="268">
        <v>0</v>
      </c>
      <c r="H97" s="43">
        <v>0</v>
      </c>
      <c r="I97" s="268">
        <v>0</v>
      </c>
      <c r="J97" s="268">
        <v>0</v>
      </c>
      <c r="K97" s="43">
        <v>0</v>
      </c>
      <c r="L97" s="268">
        <v>0</v>
      </c>
      <c r="M97" s="268">
        <v>0</v>
      </c>
      <c r="N97" s="47">
        <v>0</v>
      </c>
      <c r="O97" s="268">
        <v>0</v>
      </c>
      <c r="P97" s="44">
        <v>0</v>
      </c>
      <c r="Q97" s="268">
        <v>0</v>
      </c>
      <c r="R97" s="45">
        <f t="shared" si="41"/>
        <v>0</v>
      </c>
    </row>
    <row r="98" spans="1:18" x14ac:dyDescent="0.25">
      <c r="A98" s="85">
        <v>4</v>
      </c>
      <c r="B98" s="81" t="s">
        <v>87</v>
      </c>
      <c r="C98" s="86">
        <v>0</v>
      </c>
      <c r="D98" s="87">
        <v>27668</v>
      </c>
      <c r="E98" s="47">
        <f t="shared" ref="E98:E119" si="42">C98/D98*100</f>
        <v>0</v>
      </c>
      <c r="F98" s="86">
        <v>0</v>
      </c>
      <c r="G98" s="87">
        <v>0</v>
      </c>
      <c r="H98" s="47">
        <v>0</v>
      </c>
      <c r="I98" s="86">
        <v>0</v>
      </c>
      <c r="J98" s="86">
        <v>23856</v>
      </c>
      <c r="K98" s="47">
        <f t="shared" ref="K98:K119" si="43">I98/J98*100</f>
        <v>0</v>
      </c>
      <c r="L98" s="87">
        <v>0</v>
      </c>
      <c r="M98" s="87">
        <v>0</v>
      </c>
      <c r="N98" s="34">
        <v>0</v>
      </c>
      <c r="O98" s="129">
        <v>6</v>
      </c>
      <c r="P98" s="87">
        <v>68</v>
      </c>
      <c r="Q98" s="129">
        <v>6</v>
      </c>
      <c r="R98" s="45">
        <f t="shared" si="41"/>
        <v>408</v>
      </c>
    </row>
    <row r="99" spans="1:18" x14ac:dyDescent="0.25">
      <c r="A99" s="85">
        <v>5</v>
      </c>
      <c r="B99" s="81" t="s">
        <v>88</v>
      </c>
      <c r="C99" s="87">
        <v>526089</v>
      </c>
      <c r="D99" s="87">
        <v>630167</v>
      </c>
      <c r="E99" s="47">
        <f t="shared" si="42"/>
        <v>83.484060574419161</v>
      </c>
      <c r="F99" s="87">
        <v>27639</v>
      </c>
      <c r="G99" s="87">
        <v>63669</v>
      </c>
      <c r="H99" s="47">
        <f t="shared" ref="H99:H119" si="44">F99/G99*100</f>
        <v>43.410450925882301</v>
      </c>
      <c r="I99" s="87">
        <v>574147</v>
      </c>
      <c r="J99" s="87">
        <v>664566</v>
      </c>
      <c r="K99" s="47">
        <f t="shared" si="43"/>
        <v>86.394278371147479</v>
      </c>
      <c r="L99" s="87">
        <v>574147</v>
      </c>
      <c r="M99" s="87">
        <v>664566</v>
      </c>
      <c r="N99" s="47">
        <f t="shared" ref="N99:N112" si="45">L99/M99*100</f>
        <v>86.394278371147479</v>
      </c>
      <c r="O99" s="129">
        <v>435</v>
      </c>
      <c r="P99" s="87">
        <v>52</v>
      </c>
      <c r="Q99" s="129">
        <v>435</v>
      </c>
      <c r="R99" s="45">
        <f t="shared" si="41"/>
        <v>22620</v>
      </c>
    </row>
    <row r="100" spans="1:18" x14ac:dyDescent="0.25">
      <c r="A100" s="85">
        <v>6</v>
      </c>
      <c r="B100" s="81" t="s">
        <v>89</v>
      </c>
      <c r="C100" s="268">
        <v>0</v>
      </c>
      <c r="D100" s="268">
        <v>0</v>
      </c>
      <c r="E100" s="47">
        <v>0</v>
      </c>
      <c r="F100" s="268">
        <v>0</v>
      </c>
      <c r="G100" s="268">
        <v>0</v>
      </c>
      <c r="H100" s="43">
        <v>0</v>
      </c>
      <c r="I100" s="268">
        <v>0</v>
      </c>
      <c r="J100" s="268">
        <v>0</v>
      </c>
      <c r="K100" s="43">
        <v>0</v>
      </c>
      <c r="L100" s="268">
        <v>0</v>
      </c>
      <c r="M100" s="268">
        <v>0</v>
      </c>
      <c r="N100" s="47">
        <v>0</v>
      </c>
      <c r="O100" s="268">
        <v>0</v>
      </c>
      <c r="P100" s="44">
        <v>0</v>
      </c>
      <c r="Q100" s="268">
        <v>0</v>
      </c>
      <c r="R100" s="45">
        <f t="shared" si="41"/>
        <v>0</v>
      </c>
    </row>
    <row r="101" spans="1:18" x14ac:dyDescent="0.25">
      <c r="A101" s="85">
        <v>7</v>
      </c>
      <c r="B101" s="78" t="s">
        <v>90</v>
      </c>
      <c r="C101" s="268">
        <v>0</v>
      </c>
      <c r="D101" s="268">
        <v>0</v>
      </c>
      <c r="E101" s="47">
        <v>0</v>
      </c>
      <c r="F101" s="268">
        <v>0</v>
      </c>
      <c r="G101" s="268">
        <v>0</v>
      </c>
      <c r="H101" s="43">
        <v>0</v>
      </c>
      <c r="I101" s="268">
        <v>0</v>
      </c>
      <c r="J101" s="268">
        <v>0</v>
      </c>
      <c r="K101" s="43">
        <v>0</v>
      </c>
      <c r="L101" s="268">
        <v>0</v>
      </c>
      <c r="M101" s="268">
        <v>0</v>
      </c>
      <c r="N101" s="47">
        <v>0</v>
      </c>
      <c r="O101" s="268">
        <v>0</v>
      </c>
      <c r="P101" s="44">
        <v>0</v>
      </c>
      <c r="Q101" s="268">
        <v>0</v>
      </c>
      <c r="R101" s="45">
        <f t="shared" si="41"/>
        <v>0</v>
      </c>
    </row>
    <row r="102" spans="1:18" x14ac:dyDescent="0.25">
      <c r="A102" s="85">
        <v>8</v>
      </c>
      <c r="B102" s="81" t="s">
        <v>91</v>
      </c>
      <c r="C102" s="51">
        <v>332311</v>
      </c>
      <c r="D102" s="51">
        <v>303900</v>
      </c>
      <c r="E102" s="190">
        <f t="shared" si="42"/>
        <v>109.34879894702205</v>
      </c>
      <c r="F102" s="51">
        <v>32950</v>
      </c>
      <c r="G102" s="51">
        <v>22125</v>
      </c>
      <c r="H102" s="51">
        <f t="shared" ref="H102:H106" si="46">F102/G102*100</f>
        <v>148.92655367231637</v>
      </c>
      <c r="I102" s="51">
        <v>296678</v>
      </c>
      <c r="J102" s="51">
        <v>201207</v>
      </c>
      <c r="K102" s="51">
        <f t="shared" si="43"/>
        <v>147.44914441346475</v>
      </c>
      <c r="L102" s="51">
        <v>107221</v>
      </c>
      <c r="M102" s="51">
        <v>35151</v>
      </c>
      <c r="N102" s="51">
        <f t="shared" si="45"/>
        <v>305.02972888395777</v>
      </c>
      <c r="O102" s="51">
        <v>120</v>
      </c>
      <c r="P102" s="51">
        <v>66</v>
      </c>
      <c r="Q102" s="51">
        <v>155</v>
      </c>
      <c r="R102" s="45">
        <f t="shared" si="41"/>
        <v>7920</v>
      </c>
    </row>
    <row r="103" spans="1:18" x14ac:dyDescent="0.25">
      <c r="A103" s="85">
        <v>9</v>
      </c>
      <c r="B103" s="81" t="s">
        <v>92</v>
      </c>
      <c r="C103" s="268">
        <v>0</v>
      </c>
      <c r="D103" s="268">
        <v>0</v>
      </c>
      <c r="E103" s="47">
        <v>0</v>
      </c>
      <c r="F103" s="268">
        <v>0</v>
      </c>
      <c r="G103" s="268">
        <v>0</v>
      </c>
      <c r="H103" s="43">
        <v>0</v>
      </c>
      <c r="I103" s="268">
        <v>0</v>
      </c>
      <c r="J103" s="268">
        <v>0</v>
      </c>
      <c r="K103" s="43">
        <v>0</v>
      </c>
      <c r="L103" s="268">
        <v>0</v>
      </c>
      <c r="M103" s="268">
        <v>0</v>
      </c>
      <c r="N103" s="47">
        <v>0</v>
      </c>
      <c r="O103" s="268">
        <v>0</v>
      </c>
      <c r="P103" s="44">
        <v>0</v>
      </c>
      <c r="Q103" s="268">
        <v>0</v>
      </c>
      <c r="R103" s="45">
        <f t="shared" si="41"/>
        <v>0</v>
      </c>
    </row>
    <row r="104" spans="1:18" x14ac:dyDescent="0.25">
      <c r="A104" s="85">
        <v>10</v>
      </c>
      <c r="B104" s="78" t="s">
        <v>93</v>
      </c>
      <c r="C104" s="268">
        <v>125671</v>
      </c>
      <c r="D104" s="268">
        <v>152624</v>
      </c>
      <c r="E104" s="47">
        <f t="shared" ref="E104" si="47">C104/D104*100</f>
        <v>82.340261033651331</v>
      </c>
      <c r="F104" s="268">
        <v>28844</v>
      </c>
      <c r="G104" s="268">
        <v>13886</v>
      </c>
      <c r="H104" s="51">
        <f t="shared" si="46"/>
        <v>207.72000576119831</v>
      </c>
      <c r="I104" s="268">
        <v>125671</v>
      </c>
      <c r="J104" s="268">
        <v>152624</v>
      </c>
      <c r="K104" s="47">
        <f t="shared" ref="K104" si="48">I104/J104*100</f>
        <v>82.340261033651331</v>
      </c>
      <c r="L104" s="268">
        <v>125671</v>
      </c>
      <c r="M104" s="268">
        <v>152624</v>
      </c>
      <c r="N104" s="34">
        <f t="shared" si="45"/>
        <v>82.340261033651331</v>
      </c>
      <c r="O104" s="129">
        <v>75</v>
      </c>
      <c r="P104" s="87">
        <v>36</v>
      </c>
      <c r="Q104" s="129">
        <v>76</v>
      </c>
      <c r="R104" s="45">
        <f t="shared" si="41"/>
        <v>2700</v>
      </c>
    </row>
    <row r="105" spans="1:18" x14ac:dyDescent="0.25">
      <c r="A105" s="85">
        <v>11</v>
      </c>
      <c r="B105" s="81" t="s">
        <v>94</v>
      </c>
      <c r="C105" s="268">
        <v>0</v>
      </c>
      <c r="D105" s="268">
        <v>0</v>
      </c>
      <c r="E105" s="47">
        <v>0</v>
      </c>
      <c r="F105" s="268">
        <v>0</v>
      </c>
      <c r="G105" s="268">
        <v>0</v>
      </c>
      <c r="H105" s="43">
        <v>0</v>
      </c>
      <c r="I105" s="268">
        <v>0</v>
      </c>
      <c r="J105" s="268">
        <v>0</v>
      </c>
      <c r="K105" s="43">
        <v>0</v>
      </c>
      <c r="L105" s="268">
        <v>0</v>
      </c>
      <c r="M105" s="268">
        <v>0</v>
      </c>
      <c r="N105" s="47">
        <v>0</v>
      </c>
      <c r="O105" s="268">
        <v>0</v>
      </c>
      <c r="P105" s="44">
        <v>0</v>
      </c>
      <c r="Q105" s="268">
        <v>0</v>
      </c>
      <c r="R105" s="45">
        <f t="shared" si="41"/>
        <v>0</v>
      </c>
    </row>
    <row r="106" spans="1:18" x14ac:dyDescent="0.25">
      <c r="A106" s="85">
        <v>12</v>
      </c>
      <c r="B106" s="81" t="s">
        <v>95</v>
      </c>
      <c r="C106" s="86">
        <v>86524</v>
      </c>
      <c r="D106" s="87">
        <v>103791</v>
      </c>
      <c r="E106" s="47">
        <f t="shared" si="42"/>
        <v>83.363682785597987</v>
      </c>
      <c r="F106" s="86">
        <v>7500</v>
      </c>
      <c r="G106" s="87">
        <v>10930</v>
      </c>
      <c r="H106" s="47">
        <f t="shared" si="46"/>
        <v>68.618481244281796</v>
      </c>
      <c r="I106" s="86">
        <v>84650</v>
      </c>
      <c r="J106" s="86">
        <v>99850</v>
      </c>
      <c r="K106" s="47">
        <f t="shared" ref="K106" si="49">I106/J106*100</f>
        <v>84.777165748622934</v>
      </c>
      <c r="L106" s="87">
        <v>0</v>
      </c>
      <c r="M106" s="87">
        <v>0</v>
      </c>
      <c r="N106" s="34">
        <v>0</v>
      </c>
      <c r="O106" s="129">
        <v>10</v>
      </c>
      <c r="P106" s="87">
        <v>52</v>
      </c>
      <c r="Q106" s="129">
        <v>10</v>
      </c>
      <c r="R106" s="45">
        <f t="shared" si="41"/>
        <v>520</v>
      </c>
    </row>
    <row r="107" spans="1:18" x14ac:dyDescent="0.25">
      <c r="A107" s="85">
        <v>13</v>
      </c>
      <c r="B107" s="81" t="s">
        <v>96</v>
      </c>
      <c r="C107" s="86">
        <v>48339</v>
      </c>
      <c r="D107" s="87">
        <v>146338</v>
      </c>
      <c r="E107" s="47">
        <f t="shared" si="42"/>
        <v>33.032431767551834</v>
      </c>
      <c r="F107" s="86">
        <v>3706</v>
      </c>
      <c r="G107" s="86">
        <v>17800</v>
      </c>
      <c r="H107" s="47">
        <f t="shared" si="44"/>
        <v>20.820224719101123</v>
      </c>
      <c r="I107" s="86">
        <v>88870</v>
      </c>
      <c r="J107" s="86">
        <v>141986</v>
      </c>
      <c r="K107" s="47">
        <f t="shared" si="43"/>
        <v>62.590677954164498</v>
      </c>
      <c r="L107" s="87">
        <v>75528</v>
      </c>
      <c r="M107" s="87">
        <v>13616</v>
      </c>
      <c r="N107" s="47">
        <f t="shared" si="45"/>
        <v>554.70035252643947</v>
      </c>
      <c r="O107" s="129">
        <v>85</v>
      </c>
      <c r="P107" s="87">
        <v>43</v>
      </c>
      <c r="Q107" s="129">
        <v>85</v>
      </c>
      <c r="R107" s="45">
        <f t="shared" si="41"/>
        <v>3655</v>
      </c>
    </row>
    <row r="108" spans="1:18" x14ac:dyDescent="0.25">
      <c r="A108" s="85">
        <v>14</v>
      </c>
      <c r="B108" s="81" t="s">
        <v>97</v>
      </c>
      <c r="C108" s="268">
        <v>0</v>
      </c>
      <c r="D108" s="268">
        <v>0</v>
      </c>
      <c r="E108" s="47">
        <v>0</v>
      </c>
      <c r="F108" s="268">
        <v>0</v>
      </c>
      <c r="G108" s="268">
        <v>0</v>
      </c>
      <c r="H108" s="43">
        <v>0</v>
      </c>
      <c r="I108" s="268">
        <v>0</v>
      </c>
      <c r="J108" s="268">
        <v>0</v>
      </c>
      <c r="K108" s="43">
        <v>0</v>
      </c>
      <c r="L108" s="268">
        <v>0</v>
      </c>
      <c r="M108" s="268">
        <v>0</v>
      </c>
      <c r="N108" s="47">
        <v>0</v>
      </c>
      <c r="O108" s="268">
        <v>0</v>
      </c>
      <c r="P108" s="44">
        <v>0</v>
      </c>
      <c r="Q108" s="268">
        <v>0</v>
      </c>
      <c r="R108" s="45">
        <f t="shared" si="41"/>
        <v>0</v>
      </c>
    </row>
    <row r="109" spans="1:18" x14ac:dyDescent="0.25">
      <c r="A109" s="85">
        <v>15</v>
      </c>
      <c r="B109" s="81" t="s">
        <v>223</v>
      </c>
      <c r="C109" s="51">
        <v>43921</v>
      </c>
      <c r="D109" s="51">
        <v>7080</v>
      </c>
      <c r="E109" s="47">
        <v>0</v>
      </c>
      <c r="F109" s="51">
        <v>0</v>
      </c>
      <c r="G109" s="51">
        <v>0</v>
      </c>
      <c r="H109" s="47">
        <v>0</v>
      </c>
      <c r="I109" s="51">
        <v>43921</v>
      </c>
      <c r="J109" s="51">
        <v>7080</v>
      </c>
      <c r="K109" s="47">
        <v>0</v>
      </c>
      <c r="L109" s="51">
        <v>43921</v>
      </c>
      <c r="M109" s="51">
        <v>7080</v>
      </c>
      <c r="N109" s="47">
        <v>0</v>
      </c>
      <c r="O109" s="268">
        <v>0</v>
      </c>
      <c r="P109" s="44">
        <v>0</v>
      </c>
      <c r="Q109" s="268">
        <v>0</v>
      </c>
      <c r="R109" s="45">
        <f t="shared" si="41"/>
        <v>0</v>
      </c>
    </row>
    <row r="110" spans="1:18" x14ac:dyDescent="0.25">
      <c r="A110" s="85">
        <v>16</v>
      </c>
      <c r="B110" s="81" t="s">
        <v>99</v>
      </c>
      <c r="C110" s="51">
        <v>435713</v>
      </c>
      <c r="D110" s="51">
        <v>650660</v>
      </c>
      <c r="E110" s="47">
        <f t="shared" si="42"/>
        <v>66.964774229244156</v>
      </c>
      <c r="F110" s="51">
        <v>18486</v>
      </c>
      <c r="G110" s="51">
        <v>10117</v>
      </c>
      <c r="H110" s="47">
        <f t="shared" si="44"/>
        <v>182.72215083522784</v>
      </c>
      <c r="I110" s="51">
        <v>426406</v>
      </c>
      <c r="J110" s="51">
        <v>571166</v>
      </c>
      <c r="K110" s="47">
        <f t="shared" ref="K110" si="50">I110/J110*100</f>
        <v>74.655354135225139</v>
      </c>
      <c r="L110" s="51">
        <v>0</v>
      </c>
      <c r="M110" s="51">
        <v>0</v>
      </c>
      <c r="N110" s="47">
        <v>0</v>
      </c>
      <c r="O110" s="129">
        <v>67</v>
      </c>
      <c r="P110" s="44">
        <v>50</v>
      </c>
      <c r="Q110" s="129">
        <v>67</v>
      </c>
      <c r="R110" s="45">
        <f t="shared" si="41"/>
        <v>3350</v>
      </c>
    </row>
    <row r="111" spans="1:18" x14ac:dyDescent="0.25">
      <c r="A111" s="85">
        <v>17</v>
      </c>
      <c r="B111" s="81" t="s">
        <v>100</v>
      </c>
      <c r="C111" s="86">
        <v>842772</v>
      </c>
      <c r="D111" s="87">
        <v>646357</v>
      </c>
      <c r="E111" s="47">
        <f t="shared" si="42"/>
        <v>130.38800539021005</v>
      </c>
      <c r="F111" s="86">
        <v>82296</v>
      </c>
      <c r="G111" s="86">
        <v>87225</v>
      </c>
      <c r="H111" s="47">
        <f t="shared" si="44"/>
        <v>94.349097162510759</v>
      </c>
      <c r="I111" s="86">
        <v>789185</v>
      </c>
      <c r="J111" s="86">
        <v>668509</v>
      </c>
      <c r="K111" s="47">
        <f t="shared" si="43"/>
        <v>118.05151463929431</v>
      </c>
      <c r="L111" s="87">
        <v>0</v>
      </c>
      <c r="M111" s="87">
        <v>0</v>
      </c>
      <c r="N111" s="47">
        <v>0</v>
      </c>
      <c r="O111" s="129">
        <v>184</v>
      </c>
      <c r="P111" s="87">
        <v>80</v>
      </c>
      <c r="Q111" s="129">
        <v>187</v>
      </c>
      <c r="R111" s="45">
        <f t="shared" si="41"/>
        <v>14720</v>
      </c>
    </row>
    <row r="112" spans="1:18" x14ac:dyDescent="0.25">
      <c r="A112" s="85">
        <v>18</v>
      </c>
      <c r="B112" s="78" t="s">
        <v>101</v>
      </c>
      <c r="C112" s="51">
        <v>366826</v>
      </c>
      <c r="D112" s="51">
        <v>354473</v>
      </c>
      <c r="E112" s="47">
        <f t="shared" si="42"/>
        <v>103.48489165606406</v>
      </c>
      <c r="F112" s="51">
        <v>34729</v>
      </c>
      <c r="G112" s="51">
        <v>123781</v>
      </c>
      <c r="H112" s="47">
        <f t="shared" si="44"/>
        <v>28.056810011229512</v>
      </c>
      <c r="I112" s="51">
        <v>366826</v>
      </c>
      <c r="J112" s="51">
        <v>354473</v>
      </c>
      <c r="K112" s="47">
        <f t="shared" si="43"/>
        <v>103.48489165606406</v>
      </c>
      <c r="L112" s="51">
        <v>366826</v>
      </c>
      <c r="M112" s="51">
        <v>354473</v>
      </c>
      <c r="N112" s="47">
        <f t="shared" si="45"/>
        <v>103.48489165606406</v>
      </c>
      <c r="O112" s="129">
        <v>320</v>
      </c>
      <c r="P112" s="87">
        <v>68</v>
      </c>
      <c r="Q112" s="129">
        <v>287</v>
      </c>
      <c r="R112" s="45">
        <f t="shared" si="41"/>
        <v>21760</v>
      </c>
    </row>
    <row r="113" spans="1:18" x14ac:dyDescent="0.25">
      <c r="A113" s="85">
        <v>19</v>
      </c>
      <c r="B113" s="81" t="s">
        <v>102</v>
      </c>
      <c r="C113" s="268">
        <v>0</v>
      </c>
      <c r="D113" s="268">
        <v>0</v>
      </c>
      <c r="E113" s="47">
        <v>0</v>
      </c>
      <c r="F113" s="268">
        <v>0</v>
      </c>
      <c r="G113" s="268">
        <v>0</v>
      </c>
      <c r="H113" s="43">
        <v>0</v>
      </c>
      <c r="I113" s="268">
        <v>0</v>
      </c>
      <c r="J113" s="268">
        <v>0</v>
      </c>
      <c r="K113" s="43">
        <v>0</v>
      </c>
      <c r="L113" s="268">
        <v>0</v>
      </c>
      <c r="M113" s="268">
        <v>0</v>
      </c>
      <c r="N113" s="47">
        <v>0</v>
      </c>
      <c r="O113" s="268">
        <v>0</v>
      </c>
      <c r="P113" s="44">
        <v>0</v>
      </c>
      <c r="Q113" s="268">
        <v>0</v>
      </c>
      <c r="R113" s="45">
        <f t="shared" si="41"/>
        <v>0</v>
      </c>
    </row>
    <row r="114" spans="1:18" x14ac:dyDescent="0.25">
      <c r="A114" s="85">
        <v>20</v>
      </c>
      <c r="B114" s="81" t="s">
        <v>103</v>
      </c>
      <c r="C114" s="268">
        <v>0</v>
      </c>
      <c r="D114" s="268">
        <v>0</v>
      </c>
      <c r="E114" s="47">
        <v>0</v>
      </c>
      <c r="F114" s="268">
        <v>0</v>
      </c>
      <c r="G114" s="268">
        <v>0</v>
      </c>
      <c r="H114" s="43">
        <v>0</v>
      </c>
      <c r="I114" s="268">
        <v>0</v>
      </c>
      <c r="J114" s="268">
        <v>0</v>
      </c>
      <c r="K114" s="43">
        <v>0</v>
      </c>
      <c r="L114" s="268">
        <v>0</v>
      </c>
      <c r="M114" s="268">
        <v>0</v>
      </c>
      <c r="N114" s="47">
        <v>0</v>
      </c>
      <c r="O114" s="268">
        <v>0</v>
      </c>
      <c r="P114" s="44">
        <v>0</v>
      </c>
      <c r="Q114" s="268">
        <v>0</v>
      </c>
      <c r="R114" s="45">
        <f t="shared" si="41"/>
        <v>0</v>
      </c>
    </row>
    <row r="115" spans="1:18" x14ac:dyDescent="0.25">
      <c r="A115" s="85">
        <v>21</v>
      </c>
      <c r="B115" s="81" t="s">
        <v>104</v>
      </c>
      <c r="C115" s="87">
        <v>43118</v>
      </c>
      <c r="D115" s="87">
        <v>68173</v>
      </c>
      <c r="E115" s="47">
        <f t="shared" si="42"/>
        <v>63.247913396799319</v>
      </c>
      <c r="F115" s="87">
        <v>3847</v>
      </c>
      <c r="G115" s="87">
        <v>2871</v>
      </c>
      <c r="H115" s="47">
        <f t="shared" ref="H115:H116" si="51">F115/G115*100</f>
        <v>133.99512365029608</v>
      </c>
      <c r="I115" s="87">
        <v>43118</v>
      </c>
      <c r="J115" s="87">
        <v>68173</v>
      </c>
      <c r="K115" s="47">
        <f t="shared" ref="K115" si="52">I115/J115*100</f>
        <v>63.247913396799319</v>
      </c>
      <c r="L115" s="87">
        <v>41452</v>
      </c>
      <c r="M115" s="87">
        <v>60733</v>
      </c>
      <c r="N115" s="47">
        <f t="shared" ref="N115" si="53">L115/M115*100</f>
        <v>68.252844417367825</v>
      </c>
      <c r="O115" s="129">
        <v>14</v>
      </c>
      <c r="P115" s="87">
        <v>48</v>
      </c>
      <c r="Q115" s="129">
        <v>14</v>
      </c>
      <c r="R115" s="45">
        <f t="shared" si="41"/>
        <v>672</v>
      </c>
    </row>
    <row r="116" spans="1:18" x14ac:dyDescent="0.25">
      <c r="A116" s="85">
        <v>22</v>
      </c>
      <c r="B116" s="78" t="s">
        <v>105</v>
      </c>
      <c r="C116" s="86">
        <v>20020</v>
      </c>
      <c r="D116" s="86">
        <v>20350</v>
      </c>
      <c r="E116" s="47">
        <f t="shared" si="42"/>
        <v>98.378378378378386</v>
      </c>
      <c r="F116" s="86">
        <v>1680</v>
      </c>
      <c r="G116" s="86">
        <v>2520</v>
      </c>
      <c r="H116" s="47">
        <f t="shared" si="51"/>
        <v>66.666666666666657</v>
      </c>
      <c r="I116" s="86">
        <v>40804</v>
      </c>
      <c r="J116" s="86">
        <v>32662</v>
      </c>
      <c r="K116" s="47">
        <f t="shared" si="43"/>
        <v>124.92805094605353</v>
      </c>
      <c r="L116" s="87">
        <v>0</v>
      </c>
      <c r="M116" s="86">
        <v>0</v>
      </c>
      <c r="N116" s="34">
        <v>0</v>
      </c>
      <c r="O116" s="129">
        <v>12</v>
      </c>
      <c r="P116" s="87">
        <v>63</v>
      </c>
      <c r="Q116" s="129">
        <v>12</v>
      </c>
      <c r="R116" s="45">
        <f t="shared" si="41"/>
        <v>756</v>
      </c>
    </row>
    <row r="117" spans="1:18" x14ac:dyDescent="0.25">
      <c r="A117" s="85">
        <v>23</v>
      </c>
      <c r="B117" s="78" t="s">
        <v>106</v>
      </c>
      <c r="C117" s="86">
        <v>118387</v>
      </c>
      <c r="D117" s="87">
        <v>134685</v>
      </c>
      <c r="E117" s="47">
        <f t="shared" si="42"/>
        <v>87.899172142406357</v>
      </c>
      <c r="F117" s="86">
        <v>7542</v>
      </c>
      <c r="G117" s="86">
        <v>21986</v>
      </c>
      <c r="H117" s="47">
        <f t="shared" si="44"/>
        <v>34.303647775857364</v>
      </c>
      <c r="I117" s="86">
        <v>123383</v>
      </c>
      <c r="J117" s="86">
        <v>137424</v>
      </c>
      <c r="K117" s="47">
        <f t="shared" si="43"/>
        <v>89.7827162649901</v>
      </c>
      <c r="L117" s="87">
        <v>5713</v>
      </c>
      <c r="M117" s="87">
        <v>2114</v>
      </c>
      <c r="N117" s="34">
        <v>0</v>
      </c>
      <c r="O117" s="129">
        <v>38</v>
      </c>
      <c r="P117" s="87">
        <v>47</v>
      </c>
      <c r="Q117" s="129">
        <v>42</v>
      </c>
      <c r="R117" s="45">
        <f t="shared" si="41"/>
        <v>1786</v>
      </c>
    </row>
    <row r="118" spans="1:18" x14ac:dyDescent="0.25">
      <c r="A118" s="85">
        <v>24</v>
      </c>
      <c r="B118" s="81" t="s">
        <v>107</v>
      </c>
      <c r="C118" s="87">
        <v>28863</v>
      </c>
      <c r="D118" s="87">
        <v>12304</v>
      </c>
      <c r="E118" s="47">
        <f t="shared" si="42"/>
        <v>234.58224967490247</v>
      </c>
      <c r="F118" s="87">
        <v>0</v>
      </c>
      <c r="G118" s="86">
        <v>0</v>
      </c>
      <c r="H118" s="47" t="e">
        <f t="shared" si="44"/>
        <v>#DIV/0!</v>
      </c>
      <c r="I118" s="87">
        <v>145414</v>
      </c>
      <c r="J118" s="87">
        <v>15440</v>
      </c>
      <c r="K118" s="47">
        <f t="shared" si="43"/>
        <v>941.80051813471493</v>
      </c>
      <c r="L118" s="88">
        <v>0</v>
      </c>
      <c r="M118" s="87">
        <v>1422</v>
      </c>
      <c r="N118" s="34">
        <v>0</v>
      </c>
      <c r="O118" s="129">
        <v>10</v>
      </c>
      <c r="P118" s="87">
        <v>55</v>
      </c>
      <c r="Q118" s="129">
        <v>52</v>
      </c>
      <c r="R118" s="45">
        <f t="shared" si="41"/>
        <v>550</v>
      </c>
    </row>
    <row r="119" spans="1:18" x14ac:dyDescent="0.25">
      <c r="A119" s="85">
        <v>25</v>
      </c>
      <c r="B119" s="81" t="s">
        <v>108</v>
      </c>
      <c r="C119" s="87">
        <v>28321</v>
      </c>
      <c r="D119" s="87">
        <v>43581</v>
      </c>
      <c r="E119" s="47">
        <f t="shared" si="42"/>
        <v>64.984741056882584</v>
      </c>
      <c r="F119" s="87">
        <v>1216</v>
      </c>
      <c r="G119" s="87">
        <v>2775</v>
      </c>
      <c r="H119" s="47">
        <f t="shared" si="44"/>
        <v>43.81981981981982</v>
      </c>
      <c r="I119" s="87">
        <v>29562</v>
      </c>
      <c r="J119" s="87">
        <v>43628</v>
      </c>
      <c r="K119" s="47">
        <f t="shared" si="43"/>
        <v>67.759237187127525</v>
      </c>
      <c r="L119" s="87">
        <v>0</v>
      </c>
      <c r="M119" s="87">
        <v>0</v>
      </c>
      <c r="N119" s="34">
        <v>0</v>
      </c>
      <c r="O119" s="129">
        <v>22</v>
      </c>
      <c r="P119" s="87">
        <v>33</v>
      </c>
      <c r="Q119" s="129">
        <v>22</v>
      </c>
      <c r="R119" s="45">
        <f t="shared" si="41"/>
        <v>726</v>
      </c>
    </row>
    <row r="120" spans="1:18" x14ac:dyDescent="0.25">
      <c r="A120" s="315" t="s">
        <v>109</v>
      </c>
      <c r="B120" s="315" t="s">
        <v>109</v>
      </c>
      <c r="C120" s="56">
        <f>SUM(C95:C119)</f>
        <v>3332692</v>
      </c>
      <c r="D120" s="56">
        <f>SUM(D95:D119)</f>
        <v>3607878</v>
      </c>
      <c r="E120" s="57">
        <f>C120/D120*100</f>
        <v>92.372635660074977</v>
      </c>
      <c r="F120" s="56">
        <f>SUM(F95:F119)</f>
        <v>287239</v>
      </c>
      <c r="G120" s="56">
        <f>SUM(G95:G119)</f>
        <v>414926</v>
      </c>
      <c r="H120" s="57">
        <f>F120/G120*100</f>
        <v>69.226560880735349</v>
      </c>
      <c r="I120" s="56">
        <f>SUM(I95:I119)</f>
        <v>3459755</v>
      </c>
      <c r="J120" s="56">
        <f>SUM(J95:J119)</f>
        <v>3482549</v>
      </c>
      <c r="K120" s="57">
        <f>I120/J120*100</f>
        <v>99.345479417518604</v>
      </c>
      <c r="L120" s="56">
        <f>SUM(L95:L119)</f>
        <v>1621554</v>
      </c>
      <c r="M120" s="56">
        <f>SUM(M95:M119)</f>
        <v>1579393</v>
      </c>
      <c r="N120" s="57">
        <f>L120/M120*100</f>
        <v>102.66944326079704</v>
      </c>
      <c r="O120" s="56">
        <f>SUM(O95:O119)</f>
        <v>1701</v>
      </c>
      <c r="P120" s="57">
        <f>R120/O120</f>
        <v>61.828924162257493</v>
      </c>
      <c r="Q120" s="56">
        <f>SUM(Q95:Q119)</f>
        <v>1753</v>
      </c>
      <c r="R120" s="59">
        <f>SUM(R95:R119)</f>
        <v>105171</v>
      </c>
    </row>
    <row r="121" spans="1:18" x14ac:dyDescent="0.25">
      <c r="A121" s="85"/>
      <c r="B121" s="81"/>
      <c r="C121" s="268"/>
      <c r="D121" s="268"/>
      <c r="E121" s="268"/>
      <c r="F121" s="268"/>
      <c r="G121" s="268"/>
      <c r="H121" s="268"/>
      <c r="I121" s="268"/>
      <c r="J121" s="268"/>
      <c r="K121" s="268"/>
      <c r="L121" s="268"/>
      <c r="M121" s="268"/>
      <c r="N121" s="86"/>
      <c r="O121" s="268"/>
      <c r="P121" s="44"/>
      <c r="Q121" s="268"/>
      <c r="R121" s="45"/>
    </row>
    <row r="122" spans="1:18" x14ac:dyDescent="0.25">
      <c r="A122" s="117"/>
      <c r="B122" s="117"/>
      <c r="C122" s="103"/>
      <c r="D122" s="103"/>
      <c r="E122" s="142"/>
      <c r="F122" s="103"/>
      <c r="G122" s="103"/>
      <c r="H122" s="142"/>
      <c r="I122" s="103"/>
      <c r="J122" s="103"/>
      <c r="K122" s="142"/>
      <c r="L122" s="103"/>
      <c r="M122" s="103"/>
      <c r="N122" s="142"/>
      <c r="O122" s="103"/>
      <c r="P122" s="142"/>
      <c r="Q122" s="103"/>
      <c r="R122" s="45">
        <f t="shared" ref="R122:R130" si="54">O122*P122</f>
        <v>0</v>
      </c>
    </row>
    <row r="123" spans="1:18" x14ac:dyDescent="0.25">
      <c r="A123" s="37"/>
      <c r="B123" s="37" t="s">
        <v>20</v>
      </c>
      <c r="C123" s="37">
        <v>3</v>
      </c>
      <c r="D123" s="37">
        <v>4</v>
      </c>
      <c r="E123" s="271">
        <v>5</v>
      </c>
      <c r="F123" s="37">
        <v>6</v>
      </c>
      <c r="G123" s="37">
        <v>7</v>
      </c>
      <c r="H123" s="37">
        <v>8</v>
      </c>
      <c r="I123" s="37">
        <v>9</v>
      </c>
      <c r="J123" s="37">
        <v>10</v>
      </c>
      <c r="K123" s="37">
        <v>11</v>
      </c>
      <c r="L123" s="37">
        <v>12</v>
      </c>
      <c r="M123" s="37">
        <v>13</v>
      </c>
      <c r="N123" s="37">
        <v>14</v>
      </c>
      <c r="O123" s="37">
        <v>15</v>
      </c>
      <c r="P123" s="271">
        <v>16</v>
      </c>
      <c r="Q123" s="37">
        <v>15</v>
      </c>
      <c r="R123" s="45">
        <f t="shared" si="54"/>
        <v>240</v>
      </c>
    </row>
    <row r="124" spans="1:18" x14ac:dyDescent="0.25">
      <c r="A124" s="50">
        <v>1</v>
      </c>
      <c r="B124" s="89" t="s">
        <v>110</v>
      </c>
      <c r="C124" s="268">
        <v>0</v>
      </c>
      <c r="D124" s="268">
        <v>0</v>
      </c>
      <c r="E124" s="47">
        <v>0</v>
      </c>
      <c r="F124" s="268">
        <v>0</v>
      </c>
      <c r="G124" s="268">
        <v>0</v>
      </c>
      <c r="H124" s="43">
        <v>0</v>
      </c>
      <c r="I124" s="268">
        <v>0</v>
      </c>
      <c r="J124" s="268">
        <v>0</v>
      </c>
      <c r="K124" s="43">
        <v>0</v>
      </c>
      <c r="L124" s="268">
        <v>0</v>
      </c>
      <c r="M124" s="268">
        <v>0</v>
      </c>
      <c r="N124" s="47">
        <v>0</v>
      </c>
      <c r="O124" s="268">
        <v>0</v>
      </c>
      <c r="P124" s="44">
        <v>0</v>
      </c>
      <c r="Q124" s="268">
        <v>0</v>
      </c>
      <c r="R124" s="45">
        <f t="shared" si="54"/>
        <v>0</v>
      </c>
    </row>
    <row r="125" spans="1:18" x14ac:dyDescent="0.25">
      <c r="A125" s="50">
        <v>2</v>
      </c>
      <c r="B125" s="89" t="s">
        <v>167</v>
      </c>
      <c r="C125" s="268">
        <v>202886</v>
      </c>
      <c r="D125" s="268">
        <v>167833</v>
      </c>
      <c r="E125" s="47">
        <f t="shared" ref="E125" si="55">C125/D125*100</f>
        <v>120.88564227535706</v>
      </c>
      <c r="F125" s="268">
        <v>3786</v>
      </c>
      <c r="G125" s="268">
        <v>30000</v>
      </c>
      <c r="H125" s="34">
        <f t="shared" ref="H125" si="56">F125/G125*100</f>
        <v>12.620000000000001</v>
      </c>
      <c r="I125" s="268">
        <v>228954</v>
      </c>
      <c r="J125" s="268">
        <v>161272</v>
      </c>
      <c r="K125" s="47">
        <f t="shared" ref="K125:K130" si="57">I125/J125*100</f>
        <v>141.9676075202143</v>
      </c>
      <c r="L125" s="268">
        <v>0</v>
      </c>
      <c r="M125" s="268">
        <v>0</v>
      </c>
      <c r="N125" s="34">
        <v>0</v>
      </c>
      <c r="O125" s="62">
        <v>79</v>
      </c>
      <c r="P125" s="44">
        <v>80</v>
      </c>
      <c r="Q125" s="62">
        <v>79</v>
      </c>
      <c r="R125" s="45">
        <f t="shared" si="54"/>
        <v>6320</v>
      </c>
    </row>
    <row r="126" spans="1:18" x14ac:dyDescent="0.25">
      <c r="A126" s="50">
        <v>3</v>
      </c>
      <c r="B126" s="89" t="s">
        <v>166</v>
      </c>
      <c r="C126" s="268">
        <v>0</v>
      </c>
      <c r="D126" s="268">
        <v>0</v>
      </c>
      <c r="E126" s="47">
        <v>0</v>
      </c>
      <c r="F126" s="268">
        <v>0</v>
      </c>
      <c r="G126" s="268">
        <v>0</v>
      </c>
      <c r="H126" s="43">
        <v>0</v>
      </c>
      <c r="I126" s="268">
        <v>0</v>
      </c>
      <c r="J126" s="268">
        <v>0</v>
      </c>
      <c r="K126" s="43">
        <v>0</v>
      </c>
      <c r="L126" s="268">
        <v>0</v>
      </c>
      <c r="M126" s="268">
        <v>0</v>
      </c>
      <c r="N126" s="47">
        <v>0</v>
      </c>
      <c r="O126" s="268">
        <v>0</v>
      </c>
      <c r="P126" s="44">
        <v>0</v>
      </c>
      <c r="Q126" s="268">
        <v>0</v>
      </c>
      <c r="R126" s="45">
        <f t="shared" si="54"/>
        <v>0</v>
      </c>
    </row>
    <row r="127" spans="1:18" x14ac:dyDescent="0.25">
      <c r="A127" s="50">
        <v>4</v>
      </c>
      <c r="B127" s="89" t="s">
        <v>111</v>
      </c>
      <c r="C127" s="268">
        <v>0</v>
      </c>
      <c r="D127" s="268">
        <v>0</v>
      </c>
      <c r="E127" s="47">
        <v>0</v>
      </c>
      <c r="F127" s="268">
        <v>0</v>
      </c>
      <c r="G127" s="268">
        <v>0</v>
      </c>
      <c r="H127" s="43">
        <v>0</v>
      </c>
      <c r="I127" s="268">
        <v>0</v>
      </c>
      <c r="J127" s="268">
        <v>0</v>
      </c>
      <c r="K127" s="43">
        <v>0</v>
      </c>
      <c r="L127" s="268">
        <v>0</v>
      </c>
      <c r="M127" s="268">
        <v>0</v>
      </c>
      <c r="N127" s="47">
        <v>0</v>
      </c>
      <c r="O127" s="268">
        <v>0</v>
      </c>
      <c r="P127" s="44">
        <v>0</v>
      </c>
      <c r="Q127" s="268">
        <v>0</v>
      </c>
      <c r="R127" s="45">
        <f t="shared" si="54"/>
        <v>0</v>
      </c>
    </row>
    <row r="128" spans="1:18" x14ac:dyDescent="0.25">
      <c r="A128" s="50">
        <v>5</v>
      </c>
      <c r="B128" s="93" t="s">
        <v>112</v>
      </c>
      <c r="C128" s="86">
        <v>4782</v>
      </c>
      <c r="D128" s="86">
        <v>3300</v>
      </c>
      <c r="E128" s="47">
        <f t="shared" ref="E128" si="58">C128/D128*100</f>
        <v>144.90909090909091</v>
      </c>
      <c r="F128" s="86">
        <v>162</v>
      </c>
      <c r="G128" s="86">
        <v>1045</v>
      </c>
      <c r="H128" s="34">
        <f t="shared" ref="H128" si="59">F128/G128*100</f>
        <v>15.502392344497606</v>
      </c>
      <c r="I128" s="86">
        <v>9337</v>
      </c>
      <c r="J128" s="86">
        <v>9365</v>
      </c>
      <c r="K128" s="94">
        <f t="shared" ref="K128" si="60">I128/J128*100</f>
        <v>99.701014415376392</v>
      </c>
      <c r="L128" s="86">
        <v>0</v>
      </c>
      <c r="M128" s="86">
        <v>0</v>
      </c>
      <c r="N128" s="86">
        <v>0</v>
      </c>
      <c r="O128" s="62">
        <v>8</v>
      </c>
      <c r="P128" s="92">
        <v>70</v>
      </c>
      <c r="Q128" s="62">
        <v>8</v>
      </c>
      <c r="R128" s="45">
        <f t="shared" si="54"/>
        <v>560</v>
      </c>
    </row>
    <row r="129" spans="1:18" x14ac:dyDescent="0.25">
      <c r="A129" s="50">
        <v>6</v>
      </c>
      <c r="B129" s="93" t="s">
        <v>113</v>
      </c>
      <c r="C129" s="268">
        <v>0</v>
      </c>
      <c r="D129" s="268">
        <v>0</v>
      </c>
      <c r="E129" s="47">
        <v>0</v>
      </c>
      <c r="F129" s="268">
        <v>0</v>
      </c>
      <c r="G129" s="268">
        <v>0</v>
      </c>
      <c r="H129" s="43">
        <v>0</v>
      </c>
      <c r="I129" s="268">
        <v>0</v>
      </c>
      <c r="J129" s="268">
        <v>0</v>
      </c>
      <c r="K129" s="43">
        <v>0</v>
      </c>
      <c r="L129" s="268">
        <v>0</v>
      </c>
      <c r="M129" s="268">
        <v>0</v>
      </c>
      <c r="N129" s="47">
        <v>0</v>
      </c>
      <c r="O129" s="268">
        <v>0</v>
      </c>
      <c r="P129" s="44">
        <v>0</v>
      </c>
      <c r="Q129" s="268">
        <v>0</v>
      </c>
      <c r="R129" s="45">
        <f t="shared" si="54"/>
        <v>0</v>
      </c>
    </row>
    <row r="130" spans="1:18" x14ac:dyDescent="0.25">
      <c r="A130" s="50">
        <v>7</v>
      </c>
      <c r="B130" s="89" t="s">
        <v>114</v>
      </c>
      <c r="C130" s="51">
        <v>21024</v>
      </c>
      <c r="D130" s="51">
        <v>26632</v>
      </c>
      <c r="E130" s="47">
        <f t="shared" ref="E130" si="61">C130/D130*100</f>
        <v>78.94262541303695</v>
      </c>
      <c r="F130" s="51">
        <v>3917</v>
      </c>
      <c r="G130" s="51">
        <v>4035</v>
      </c>
      <c r="H130" s="47">
        <f t="shared" ref="H130" si="62">F130/G130*100</f>
        <v>97.075588599752166</v>
      </c>
      <c r="I130" s="51">
        <v>21024</v>
      </c>
      <c r="J130" s="51">
        <v>26632</v>
      </c>
      <c r="K130" s="94">
        <f t="shared" si="57"/>
        <v>78.94262541303695</v>
      </c>
      <c r="L130" s="51">
        <v>0</v>
      </c>
      <c r="M130" s="51">
        <v>0</v>
      </c>
      <c r="N130" s="34">
        <v>0</v>
      </c>
      <c r="O130" s="62">
        <v>13</v>
      </c>
      <c r="P130" s="87">
        <v>50</v>
      </c>
      <c r="Q130" s="62">
        <v>13</v>
      </c>
      <c r="R130" s="45">
        <f t="shared" si="54"/>
        <v>650</v>
      </c>
    </row>
    <row r="131" spans="1:18" x14ac:dyDescent="0.25">
      <c r="A131" s="315" t="s">
        <v>115</v>
      </c>
      <c r="B131" s="315" t="s">
        <v>115</v>
      </c>
      <c r="C131" s="56">
        <f>SUM(C124:C130)</f>
        <v>228692</v>
      </c>
      <c r="D131" s="56">
        <f>SUM(D124:D130)</f>
        <v>197765</v>
      </c>
      <c r="E131" s="57">
        <f>C131/D131*100</f>
        <v>115.638257527874</v>
      </c>
      <c r="F131" s="56">
        <f>SUM(F124:F130)</f>
        <v>7865</v>
      </c>
      <c r="G131" s="56">
        <f>SUM(G124:G130)</f>
        <v>35080</v>
      </c>
      <c r="H131" s="57">
        <f>F131/G131*100</f>
        <v>22.420182440136831</v>
      </c>
      <c r="I131" s="56">
        <f>SUM(I124:I130)</f>
        <v>259315</v>
      </c>
      <c r="J131" s="56">
        <f>SUM(J124:J130)</f>
        <v>197269</v>
      </c>
      <c r="K131" s="57">
        <f>I131/J131*100</f>
        <v>131.45248366443789</v>
      </c>
      <c r="L131" s="56">
        <f>SUM(L124:L130)</f>
        <v>0</v>
      </c>
      <c r="M131" s="56">
        <f>SUM(M124:M130)</f>
        <v>0</v>
      </c>
      <c r="N131" s="58">
        <v>0</v>
      </c>
      <c r="O131" s="56">
        <f>SUM(O124:O130)</f>
        <v>100</v>
      </c>
      <c r="P131" s="58">
        <f>R131/O131</f>
        <v>75.3</v>
      </c>
      <c r="Q131" s="56">
        <f>SUM(Q124:Q130)</f>
        <v>100</v>
      </c>
      <c r="R131" s="59">
        <f>SUM(R124:R130)</f>
        <v>7530</v>
      </c>
    </row>
    <row r="132" spans="1:18" x14ac:dyDescent="0.25">
      <c r="A132" s="268"/>
      <c r="B132" s="268"/>
      <c r="C132" s="268"/>
      <c r="D132" s="268"/>
      <c r="E132" s="268"/>
      <c r="F132" s="268"/>
      <c r="G132" s="268"/>
      <c r="H132" s="268"/>
      <c r="I132" s="268"/>
      <c r="J132" s="268"/>
      <c r="K132" s="34"/>
      <c r="L132" s="268"/>
      <c r="M132" s="268"/>
      <c r="N132" s="268"/>
      <c r="O132" s="268"/>
      <c r="P132" s="62"/>
      <c r="Q132" s="268"/>
      <c r="R132" s="39"/>
    </row>
    <row r="133" spans="1:18" x14ac:dyDescent="0.25">
      <c r="A133" s="316" t="s">
        <v>208</v>
      </c>
      <c r="B133" s="317"/>
      <c r="C133" s="37">
        <v>3</v>
      </c>
      <c r="D133" s="37">
        <v>4</v>
      </c>
      <c r="E133" s="271">
        <v>5</v>
      </c>
      <c r="F133" s="37">
        <v>6</v>
      </c>
      <c r="G133" s="37">
        <v>7</v>
      </c>
      <c r="H133" s="37">
        <v>8</v>
      </c>
      <c r="I133" s="37">
        <v>9</v>
      </c>
      <c r="J133" s="37">
        <v>10</v>
      </c>
      <c r="K133" s="37">
        <v>11</v>
      </c>
      <c r="L133" s="37">
        <v>12</v>
      </c>
      <c r="M133" s="37">
        <v>13</v>
      </c>
      <c r="N133" s="37">
        <v>14</v>
      </c>
      <c r="O133" s="37">
        <v>15</v>
      </c>
      <c r="P133" s="271">
        <v>16</v>
      </c>
      <c r="Q133" s="37">
        <v>15</v>
      </c>
      <c r="R133" s="31"/>
    </row>
    <row r="134" spans="1:18" x14ac:dyDescent="0.25">
      <c r="A134" s="96">
        <v>1</v>
      </c>
      <c r="B134" s="78" t="s">
        <v>117</v>
      </c>
      <c r="C134" s="62">
        <v>108668305</v>
      </c>
      <c r="D134" s="62">
        <v>93056679</v>
      </c>
      <c r="E134" s="47">
        <f t="shared" ref="E134:E138" si="63">C134/D134*100</f>
        <v>116.77647017684779</v>
      </c>
      <c r="F134" s="62">
        <v>10149830</v>
      </c>
      <c r="G134" s="62">
        <v>8443385</v>
      </c>
      <c r="H134" s="47">
        <f>F134/G134*100</f>
        <v>120.21043692784352</v>
      </c>
      <c r="I134" s="96">
        <v>105976556</v>
      </c>
      <c r="J134" s="96">
        <v>87169106</v>
      </c>
      <c r="K134" s="47">
        <f>I134/J134*100</f>
        <v>121.57582068123997</v>
      </c>
      <c r="L134" s="96">
        <v>49724510</v>
      </c>
      <c r="M134" s="96">
        <v>38944550</v>
      </c>
      <c r="N134" s="47">
        <f>L134/M134*100</f>
        <v>127.68027875530723</v>
      </c>
      <c r="O134" s="268">
        <v>2948</v>
      </c>
      <c r="P134" s="62">
        <v>145</v>
      </c>
      <c r="Q134" s="268">
        <v>2948</v>
      </c>
      <c r="R134" s="45">
        <f t="shared" ref="R134:R138" si="64">O134*P134</f>
        <v>427460</v>
      </c>
    </row>
    <row r="135" spans="1:18" x14ac:dyDescent="0.25">
      <c r="A135" s="96">
        <v>2</v>
      </c>
      <c r="B135" s="78" t="s">
        <v>118</v>
      </c>
      <c r="C135" s="62">
        <v>24076894</v>
      </c>
      <c r="D135" s="62">
        <v>22090060</v>
      </c>
      <c r="E135" s="47">
        <f t="shared" si="63"/>
        <v>108.99424447013726</v>
      </c>
      <c r="F135" s="62">
        <v>2042054</v>
      </c>
      <c r="G135" s="62">
        <v>1892309</v>
      </c>
      <c r="H135" s="47">
        <f t="shared" ref="H135:H138" si="65">F135/G135*100</f>
        <v>107.91334818996263</v>
      </c>
      <c r="I135" s="96">
        <v>20825278</v>
      </c>
      <c r="J135" s="96">
        <v>19210081</v>
      </c>
      <c r="K135" s="47">
        <f t="shared" ref="K135:K138" si="66">I135/J135*100</f>
        <v>108.40806970048695</v>
      </c>
      <c r="L135" s="96">
        <v>20825278</v>
      </c>
      <c r="M135" s="96">
        <v>19210081</v>
      </c>
      <c r="N135" s="47">
        <f t="shared" ref="N135:N138" si="67">L135/M135*100</f>
        <v>108.40806970048695</v>
      </c>
      <c r="O135" s="268">
        <v>957</v>
      </c>
      <c r="P135" s="62">
        <v>120</v>
      </c>
      <c r="Q135" s="268">
        <v>955</v>
      </c>
      <c r="R135" s="45">
        <f t="shared" si="64"/>
        <v>114840</v>
      </c>
    </row>
    <row r="136" spans="1:18" x14ac:dyDescent="0.25">
      <c r="A136" s="96">
        <v>3</v>
      </c>
      <c r="B136" s="78" t="s">
        <v>119</v>
      </c>
      <c r="C136" s="62">
        <v>21410814</v>
      </c>
      <c r="D136" s="62">
        <v>24055583</v>
      </c>
      <c r="E136" s="47">
        <f t="shared" si="63"/>
        <v>89.005591758054663</v>
      </c>
      <c r="F136" s="62">
        <v>2116843</v>
      </c>
      <c r="G136" s="62">
        <v>1833706</v>
      </c>
      <c r="H136" s="47">
        <f t="shared" si="65"/>
        <v>115.44069769090575</v>
      </c>
      <c r="I136" s="96">
        <v>17525066</v>
      </c>
      <c r="J136" s="96">
        <v>24475723</v>
      </c>
      <c r="K136" s="47">
        <f t="shared" si="66"/>
        <v>71.601831741599625</v>
      </c>
      <c r="L136" s="96">
        <v>17752507</v>
      </c>
      <c r="M136" s="96">
        <v>24475723</v>
      </c>
      <c r="N136" s="47">
        <f t="shared" si="67"/>
        <v>72.531083147165859</v>
      </c>
      <c r="O136" s="268">
        <v>1210</v>
      </c>
      <c r="P136" s="76">
        <v>306</v>
      </c>
      <c r="Q136" s="268">
        <v>1210</v>
      </c>
      <c r="R136" s="45">
        <f t="shared" si="64"/>
        <v>370260</v>
      </c>
    </row>
    <row r="137" spans="1:18" x14ac:dyDescent="0.25">
      <c r="A137" s="96">
        <v>4</v>
      </c>
      <c r="B137" s="78" t="s">
        <v>120</v>
      </c>
      <c r="C137" s="76">
        <v>4540156</v>
      </c>
      <c r="D137" s="76">
        <v>6428752</v>
      </c>
      <c r="E137" s="47">
        <f t="shared" si="63"/>
        <v>70.622665176693701</v>
      </c>
      <c r="F137" s="268">
        <v>251168</v>
      </c>
      <c r="G137" s="268">
        <v>439300</v>
      </c>
      <c r="H137" s="47">
        <f t="shared" si="65"/>
        <v>57.174595948099252</v>
      </c>
      <c r="I137" s="268">
        <v>4354761</v>
      </c>
      <c r="J137" s="268">
        <v>5903994</v>
      </c>
      <c r="K137" s="47">
        <f t="shared" si="66"/>
        <v>73.759576991440028</v>
      </c>
      <c r="L137" s="268">
        <v>4354761</v>
      </c>
      <c r="M137" s="268">
        <v>5903994</v>
      </c>
      <c r="N137" s="47">
        <f t="shared" si="67"/>
        <v>73.759576991440028</v>
      </c>
      <c r="O137" s="268">
        <v>556</v>
      </c>
      <c r="P137" s="62">
        <v>150</v>
      </c>
      <c r="Q137" s="268">
        <v>555</v>
      </c>
      <c r="R137" s="45">
        <f t="shared" si="64"/>
        <v>83400</v>
      </c>
    </row>
    <row r="138" spans="1:18" x14ac:dyDescent="0.25">
      <c r="A138" s="96">
        <v>5</v>
      </c>
      <c r="B138" s="78" t="s">
        <v>203</v>
      </c>
      <c r="C138" s="268">
        <v>4505071</v>
      </c>
      <c r="D138" s="268">
        <v>0</v>
      </c>
      <c r="E138" s="47" t="e">
        <f t="shared" si="63"/>
        <v>#DIV/0!</v>
      </c>
      <c r="F138" s="268">
        <v>4327108</v>
      </c>
      <c r="G138" s="268">
        <v>0</v>
      </c>
      <c r="H138" s="47" t="e">
        <f t="shared" si="65"/>
        <v>#DIV/0!</v>
      </c>
      <c r="I138" s="268">
        <v>3888869</v>
      </c>
      <c r="J138" s="268">
        <v>0</v>
      </c>
      <c r="K138" s="47" t="e">
        <f t="shared" si="66"/>
        <v>#DIV/0!</v>
      </c>
      <c r="L138" s="268">
        <v>3888869</v>
      </c>
      <c r="M138" s="268">
        <v>0</v>
      </c>
      <c r="N138" s="47" t="e">
        <f t="shared" si="67"/>
        <v>#DIV/0!</v>
      </c>
      <c r="O138" s="268">
        <v>386</v>
      </c>
      <c r="P138" s="44">
        <v>191</v>
      </c>
      <c r="Q138" s="268">
        <v>386</v>
      </c>
      <c r="R138" s="45">
        <f t="shared" si="64"/>
        <v>73726</v>
      </c>
    </row>
    <row r="139" spans="1:18" x14ac:dyDescent="0.25">
      <c r="A139" s="315" t="s">
        <v>207</v>
      </c>
      <c r="B139" s="315" t="s">
        <v>133</v>
      </c>
      <c r="C139" s="58">
        <f>SUM(C134:C138)</f>
        <v>163201240</v>
      </c>
      <c r="D139" s="58">
        <f>SUM(D134:D138)</f>
        <v>145631074</v>
      </c>
      <c r="E139" s="57">
        <f>C139/D139*100</f>
        <v>112.06484681971102</v>
      </c>
      <c r="F139" s="58">
        <f t="shared" ref="F139:G139" si="68">SUM(F134:F138)</f>
        <v>18887003</v>
      </c>
      <c r="G139" s="58">
        <f t="shared" si="68"/>
        <v>12608700</v>
      </c>
      <c r="H139" s="57">
        <f>F139/G139*100</f>
        <v>149.79342041606191</v>
      </c>
      <c r="I139" s="58">
        <f t="shared" ref="I139" si="69">SUM(I134:I138)</f>
        <v>152570530</v>
      </c>
      <c r="J139" s="58">
        <f t="shared" ref="J139" si="70">SUM(J134:J138)</f>
        <v>136758904</v>
      </c>
      <c r="K139" s="57">
        <f>I139/J139*100</f>
        <v>111.5616793770152</v>
      </c>
      <c r="L139" s="58">
        <f t="shared" ref="L139:M139" si="71">SUM(L134:L138)</f>
        <v>96545925</v>
      </c>
      <c r="M139" s="58">
        <f t="shared" si="71"/>
        <v>88534348</v>
      </c>
      <c r="N139" s="57">
        <f>L139/M139*100</f>
        <v>109.04911729852012</v>
      </c>
      <c r="O139" s="58">
        <f t="shared" ref="O139" si="72">SUM(O134:O138)</f>
        <v>6057</v>
      </c>
      <c r="P139" s="58">
        <f>R139/O139</f>
        <v>176.60326894502228</v>
      </c>
      <c r="Q139" s="58">
        <f t="shared" ref="Q139" si="73">SUM(Q134:Q138)</f>
        <v>6054</v>
      </c>
      <c r="R139" s="58">
        <f t="shared" ref="R139" si="74">SUM(R134:R138)</f>
        <v>1069686</v>
      </c>
    </row>
    <row r="140" spans="1:18" x14ac:dyDescent="0.25">
      <c r="A140" s="203"/>
      <c r="B140" s="203"/>
      <c r="C140" s="204"/>
      <c r="D140" s="204"/>
      <c r="E140" s="205"/>
      <c r="F140" s="206"/>
      <c r="G140" s="206"/>
      <c r="H140" s="205"/>
      <c r="I140" s="206"/>
      <c r="J140" s="206"/>
      <c r="K140" s="205"/>
      <c r="L140" s="206"/>
      <c r="M140" s="206"/>
      <c r="N140" s="205"/>
      <c r="O140" s="206"/>
      <c r="P140" s="204"/>
      <c r="Q140" s="206"/>
      <c r="R140" s="207"/>
    </row>
    <row r="141" spans="1:18" x14ac:dyDescent="0.25">
      <c r="A141" s="203"/>
      <c r="B141" s="203" t="s">
        <v>204</v>
      </c>
      <c r="C141" s="37">
        <v>3</v>
      </c>
      <c r="D141" s="37">
        <v>4</v>
      </c>
      <c r="E141" s="271">
        <v>5</v>
      </c>
      <c r="F141" s="37">
        <v>6</v>
      </c>
      <c r="G141" s="37">
        <v>7</v>
      </c>
      <c r="H141" s="37">
        <v>8</v>
      </c>
      <c r="I141" s="37">
        <v>9</v>
      </c>
      <c r="J141" s="37">
        <v>10</v>
      </c>
      <c r="K141" s="37">
        <v>11</v>
      </c>
      <c r="L141" s="37">
        <v>12</v>
      </c>
      <c r="M141" s="37">
        <v>13</v>
      </c>
      <c r="N141" s="37">
        <v>14</v>
      </c>
      <c r="O141" s="37">
        <v>15</v>
      </c>
      <c r="P141" s="271">
        <v>16</v>
      </c>
      <c r="Q141" s="37">
        <v>15</v>
      </c>
      <c r="R141" s="207"/>
    </row>
    <row r="142" spans="1:18" x14ac:dyDescent="0.25">
      <c r="A142" s="96">
        <v>6</v>
      </c>
      <c r="B142" s="78" t="s">
        <v>122</v>
      </c>
      <c r="C142" s="62">
        <v>18972185</v>
      </c>
      <c r="D142" s="62">
        <v>20256398</v>
      </c>
      <c r="E142" s="47">
        <f t="shared" ref="E142:E147" si="75">C142/D142*100</f>
        <v>93.660210467823546</v>
      </c>
      <c r="F142" s="62">
        <v>1701811</v>
      </c>
      <c r="G142" s="62">
        <v>1306053</v>
      </c>
      <c r="H142" s="47">
        <f t="shared" ref="H142:H147" si="76">F142/G142*100</f>
        <v>130.3018330802808</v>
      </c>
      <c r="I142" s="96">
        <v>18562751</v>
      </c>
      <c r="J142" s="96">
        <v>19591239</v>
      </c>
      <c r="K142" s="47">
        <f t="shared" ref="K142:K147" si="77">I142/J142*100</f>
        <v>94.750265667219921</v>
      </c>
      <c r="L142" s="96">
        <v>18562751</v>
      </c>
      <c r="M142" s="96">
        <v>19591239</v>
      </c>
      <c r="N142" s="47">
        <f>L142/M142*100</f>
        <v>94.750265667219921</v>
      </c>
      <c r="O142" s="268">
        <v>478</v>
      </c>
      <c r="P142" s="76">
        <v>150</v>
      </c>
      <c r="Q142" s="268">
        <v>478</v>
      </c>
      <c r="R142" s="45">
        <f t="shared" ref="R142:R148" si="78">O142*P142</f>
        <v>71700</v>
      </c>
    </row>
    <row r="143" spans="1:18" x14ac:dyDescent="0.25">
      <c r="A143" s="96">
        <v>10</v>
      </c>
      <c r="B143" s="78" t="s">
        <v>126</v>
      </c>
      <c r="C143" s="76">
        <v>38869984</v>
      </c>
      <c r="D143" s="76">
        <v>39592304</v>
      </c>
      <c r="E143" s="47">
        <f t="shared" si="75"/>
        <v>98.175605036776844</v>
      </c>
      <c r="F143" s="76">
        <v>3654468</v>
      </c>
      <c r="G143" s="76">
        <v>3680376</v>
      </c>
      <c r="H143" s="47">
        <f t="shared" si="76"/>
        <v>99.296050186176629</v>
      </c>
      <c r="I143" s="268">
        <v>38685849</v>
      </c>
      <c r="J143" s="268">
        <v>42030286</v>
      </c>
      <c r="K143" s="47">
        <f t="shared" si="77"/>
        <v>92.042792666221686</v>
      </c>
      <c r="L143" s="268">
        <v>38555190</v>
      </c>
      <c r="M143" s="268">
        <v>41967685</v>
      </c>
      <c r="N143" s="47">
        <f>L143/M143*100</f>
        <v>91.868755686667015</v>
      </c>
      <c r="O143" s="268">
        <v>676</v>
      </c>
      <c r="P143" s="62">
        <v>134</v>
      </c>
      <c r="Q143" s="268">
        <v>676</v>
      </c>
      <c r="R143" s="45">
        <f t="shared" si="78"/>
        <v>90584</v>
      </c>
    </row>
    <row r="144" spans="1:18" x14ac:dyDescent="0.25">
      <c r="A144" s="96">
        <v>11</v>
      </c>
      <c r="B144" s="78" t="s">
        <v>127</v>
      </c>
      <c r="C144" s="62">
        <v>27268921</v>
      </c>
      <c r="D144" s="62">
        <v>27621840</v>
      </c>
      <c r="E144" s="47">
        <f t="shared" si="75"/>
        <v>98.722319005540555</v>
      </c>
      <c r="F144" s="268">
        <v>2419352</v>
      </c>
      <c r="G144" s="268">
        <v>2105894</v>
      </c>
      <c r="H144" s="47">
        <f t="shared" si="76"/>
        <v>114.8847947712468</v>
      </c>
      <c r="I144" s="268">
        <v>26685199</v>
      </c>
      <c r="J144" s="268">
        <v>26755680</v>
      </c>
      <c r="K144" s="47">
        <f t="shared" si="77"/>
        <v>99.736575560778121</v>
      </c>
      <c r="L144" s="268">
        <v>26685199</v>
      </c>
      <c r="M144" s="268">
        <v>26755680</v>
      </c>
      <c r="N144" s="47">
        <f>L144/M144*100</f>
        <v>99.736575560778121</v>
      </c>
      <c r="O144" s="268">
        <v>561</v>
      </c>
      <c r="P144" s="62">
        <v>180</v>
      </c>
      <c r="Q144" s="268">
        <v>561</v>
      </c>
      <c r="R144" s="45">
        <f t="shared" si="78"/>
        <v>100980</v>
      </c>
    </row>
    <row r="145" spans="1:18" x14ac:dyDescent="0.25">
      <c r="A145" s="96">
        <v>14</v>
      </c>
      <c r="B145" s="78" t="s">
        <v>130</v>
      </c>
      <c r="C145" s="76">
        <v>3766203</v>
      </c>
      <c r="D145" s="76">
        <v>2539095</v>
      </c>
      <c r="E145" s="47">
        <f t="shared" si="75"/>
        <v>148.32855800984208</v>
      </c>
      <c r="F145" s="96">
        <v>369983</v>
      </c>
      <c r="G145" s="96">
        <v>263620</v>
      </c>
      <c r="H145" s="47">
        <f t="shared" si="76"/>
        <v>140.34709050906608</v>
      </c>
      <c r="I145" s="96">
        <v>3858377</v>
      </c>
      <c r="J145" s="96">
        <v>2558921</v>
      </c>
      <c r="K145" s="47">
        <f t="shared" si="77"/>
        <v>150.78140356814453</v>
      </c>
      <c r="L145" s="96">
        <v>0</v>
      </c>
      <c r="M145" s="96">
        <v>0</v>
      </c>
      <c r="N145" s="47">
        <v>0</v>
      </c>
      <c r="O145" s="268">
        <v>314</v>
      </c>
      <c r="P145" s="76">
        <v>58</v>
      </c>
      <c r="Q145" s="268">
        <v>314</v>
      </c>
      <c r="R145" s="45">
        <f t="shared" si="78"/>
        <v>18212</v>
      </c>
    </row>
    <row r="146" spans="1:18" x14ac:dyDescent="0.25">
      <c r="A146" s="96">
        <v>9</v>
      </c>
      <c r="B146" s="78" t="s">
        <v>125</v>
      </c>
      <c r="C146" s="76">
        <v>27656019</v>
      </c>
      <c r="D146" s="76">
        <v>21805968</v>
      </c>
      <c r="E146" s="47">
        <f t="shared" si="75"/>
        <v>126.82775192552791</v>
      </c>
      <c r="F146" s="268">
        <v>2840006</v>
      </c>
      <c r="G146" s="268">
        <v>2887201</v>
      </c>
      <c r="H146" s="47">
        <f t="shared" si="76"/>
        <v>98.365371860151058</v>
      </c>
      <c r="I146" s="268">
        <v>29099704</v>
      </c>
      <c r="J146" s="268">
        <v>21786057</v>
      </c>
      <c r="K146" s="47">
        <f t="shared" si="77"/>
        <v>133.57031058901572</v>
      </c>
      <c r="L146" s="268">
        <v>29099704</v>
      </c>
      <c r="M146" s="268">
        <v>21786057</v>
      </c>
      <c r="N146" s="47">
        <f>L146/M146*100</f>
        <v>133.57031058901572</v>
      </c>
      <c r="O146" s="268">
        <v>910</v>
      </c>
      <c r="P146" s="62">
        <v>100</v>
      </c>
      <c r="Q146" s="268">
        <v>910</v>
      </c>
      <c r="R146" s="45">
        <f>O146*P146</f>
        <v>91000</v>
      </c>
    </row>
    <row r="147" spans="1:18" x14ac:dyDescent="0.25">
      <c r="A147" s="96">
        <v>15</v>
      </c>
      <c r="B147" s="78" t="s">
        <v>131</v>
      </c>
      <c r="C147" s="62">
        <v>29966406</v>
      </c>
      <c r="D147" s="62">
        <v>29996447</v>
      </c>
      <c r="E147" s="47">
        <f t="shared" si="75"/>
        <v>99.899851472409381</v>
      </c>
      <c r="F147" s="268">
        <v>2880583</v>
      </c>
      <c r="G147" s="268">
        <v>2744640</v>
      </c>
      <c r="H147" s="47">
        <f t="shared" si="76"/>
        <v>104.9530357351055</v>
      </c>
      <c r="I147" s="268">
        <v>28982998</v>
      </c>
      <c r="J147" s="268">
        <v>29753080</v>
      </c>
      <c r="K147" s="47">
        <f t="shared" si="77"/>
        <v>97.411757034901939</v>
      </c>
      <c r="L147" s="268">
        <v>28895898</v>
      </c>
      <c r="M147" s="268">
        <v>29650320</v>
      </c>
      <c r="N147" s="47">
        <f>L147/M147*100</f>
        <v>97.455602502772308</v>
      </c>
      <c r="O147" s="268">
        <v>646</v>
      </c>
      <c r="P147" s="62">
        <v>130</v>
      </c>
      <c r="Q147" s="268">
        <v>646</v>
      </c>
      <c r="R147" s="45">
        <f t="shared" si="78"/>
        <v>83980</v>
      </c>
    </row>
    <row r="148" spans="1:18" x14ac:dyDescent="0.25">
      <c r="A148" s="96">
        <v>13</v>
      </c>
      <c r="B148" s="78" t="s">
        <v>129</v>
      </c>
      <c r="C148" s="268">
        <v>0</v>
      </c>
      <c r="D148" s="268">
        <v>0</v>
      </c>
      <c r="E148" s="47">
        <v>0</v>
      </c>
      <c r="F148" s="268">
        <v>0</v>
      </c>
      <c r="G148" s="268">
        <v>0</v>
      </c>
      <c r="H148" s="43">
        <v>0</v>
      </c>
      <c r="I148" s="268">
        <v>0</v>
      </c>
      <c r="J148" s="268">
        <v>0</v>
      </c>
      <c r="K148" s="43">
        <v>0</v>
      </c>
      <c r="L148" s="268">
        <v>0</v>
      </c>
      <c r="M148" s="268">
        <v>0</v>
      </c>
      <c r="N148" s="47">
        <v>0</v>
      </c>
      <c r="O148" s="268">
        <v>0</v>
      </c>
      <c r="P148" s="44">
        <v>0</v>
      </c>
      <c r="Q148" s="268">
        <v>0</v>
      </c>
      <c r="R148" s="45">
        <f t="shared" si="78"/>
        <v>0</v>
      </c>
    </row>
    <row r="149" spans="1:18" x14ac:dyDescent="0.25">
      <c r="A149" s="315" t="s">
        <v>205</v>
      </c>
      <c r="B149" s="315" t="s">
        <v>133</v>
      </c>
      <c r="C149" s="58">
        <f>SUM(C142:C148)</f>
        <v>146499718</v>
      </c>
      <c r="D149" s="58">
        <f>SUM(D142:D148)</f>
        <v>141812052</v>
      </c>
      <c r="E149" s="57">
        <f>C149/D149*100</f>
        <v>103.3055483887928</v>
      </c>
      <c r="F149" s="58">
        <f>SUM(F142:F148)</f>
        <v>13866203</v>
      </c>
      <c r="G149" s="58">
        <f>SUM(G142:G148)</f>
        <v>12987784</v>
      </c>
      <c r="H149" s="57">
        <f>F149/G149*100</f>
        <v>106.76342476899832</v>
      </c>
      <c r="I149" s="58">
        <f>SUM(I142:I148)</f>
        <v>145874878</v>
      </c>
      <c r="J149" s="58">
        <f>SUM(J142:J148)</f>
        <v>142475263</v>
      </c>
      <c r="K149" s="57">
        <f>I149/J149*100</f>
        <v>102.38610894861095</v>
      </c>
      <c r="L149" s="58">
        <f>SUM(L142:L148)</f>
        <v>141798742</v>
      </c>
      <c r="M149" s="58">
        <f>SUM(M142:M148)</f>
        <v>139750981</v>
      </c>
      <c r="N149" s="57">
        <f>L149/M149*100</f>
        <v>101.4652927552616</v>
      </c>
      <c r="O149" s="56">
        <f>SUM(O142:O148)</f>
        <v>3585</v>
      </c>
      <c r="P149" s="58">
        <f>R149/O149</f>
        <v>127.32384937238494</v>
      </c>
      <c r="Q149" s="56">
        <f>SUM(Q142:Q148)</f>
        <v>3585</v>
      </c>
      <c r="R149" s="59">
        <f>SUM(R142:R148)</f>
        <v>456456</v>
      </c>
    </row>
    <row r="150" spans="1:18" x14ac:dyDescent="0.25">
      <c r="A150" s="353" t="s">
        <v>206</v>
      </c>
      <c r="B150" s="353" t="s">
        <v>70</v>
      </c>
      <c r="C150" s="209">
        <f>C139+C149</f>
        <v>309700958</v>
      </c>
      <c r="D150" s="209">
        <f>D139+D149</f>
        <v>287443126</v>
      </c>
      <c r="E150" s="210">
        <f>C150/D150*100</f>
        <v>107.74338642559852</v>
      </c>
      <c r="F150" s="209">
        <f>F139+F149</f>
        <v>32753206</v>
      </c>
      <c r="G150" s="209">
        <f>G139+G149</f>
        <v>25596484</v>
      </c>
      <c r="H150" s="210">
        <f>F150/G150*100</f>
        <v>127.95978541427799</v>
      </c>
      <c r="I150" s="209">
        <f>I139+I149</f>
        <v>298445408</v>
      </c>
      <c r="J150" s="209">
        <f>J139+J149</f>
        <v>279234167</v>
      </c>
      <c r="K150" s="210">
        <f>I150/J150*100</f>
        <v>106.8799750425957</v>
      </c>
      <c r="L150" s="209">
        <f>L139+L149</f>
        <v>238344667</v>
      </c>
      <c r="M150" s="209">
        <f>M139+M149</f>
        <v>228285329</v>
      </c>
      <c r="N150" s="210">
        <f>L150/M150*100</f>
        <v>104.40647589753786</v>
      </c>
      <c r="O150" s="209">
        <f>O139+O149</f>
        <v>9642</v>
      </c>
      <c r="P150" s="210">
        <f>R150/O150</f>
        <v>158.28064716863722</v>
      </c>
      <c r="Q150" s="209">
        <f>Q139+Q149</f>
        <v>9639</v>
      </c>
      <c r="R150" s="209">
        <f>R139+R149</f>
        <v>1526142</v>
      </c>
    </row>
    <row r="151" spans="1:18" x14ac:dyDescent="0.25">
      <c r="A151" s="203"/>
      <c r="B151" s="203"/>
      <c r="C151" s="204"/>
      <c r="D151" s="204"/>
      <c r="E151" s="205"/>
      <c r="F151" s="206"/>
      <c r="G151" s="206"/>
      <c r="H151" s="205"/>
      <c r="I151" s="206"/>
      <c r="J151" s="206"/>
      <c r="K151" s="205"/>
      <c r="L151" s="206"/>
      <c r="M151" s="206"/>
      <c r="N151" s="205"/>
      <c r="O151" s="206"/>
      <c r="P151" s="204"/>
      <c r="Q151" s="206"/>
      <c r="R151" s="207"/>
    </row>
    <row r="152" spans="1:18" x14ac:dyDescent="0.25">
      <c r="A152" s="23"/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31"/>
    </row>
    <row r="153" spans="1:18" x14ac:dyDescent="0.25">
      <c r="A153" s="99"/>
      <c r="B153" s="99" t="s">
        <v>13</v>
      </c>
      <c r="C153" s="37">
        <v>3</v>
      </c>
      <c r="D153" s="37">
        <v>4</v>
      </c>
      <c r="E153" s="271">
        <v>5</v>
      </c>
      <c r="F153" s="37">
        <v>6</v>
      </c>
      <c r="G153" s="37">
        <v>7</v>
      </c>
      <c r="H153" s="37">
        <v>8</v>
      </c>
      <c r="I153" s="37">
        <v>9</v>
      </c>
      <c r="J153" s="37">
        <v>10</v>
      </c>
      <c r="K153" s="37">
        <v>11</v>
      </c>
      <c r="L153" s="37">
        <v>12</v>
      </c>
      <c r="M153" s="37">
        <v>13</v>
      </c>
      <c r="N153" s="37">
        <v>14</v>
      </c>
      <c r="O153" s="37">
        <v>15</v>
      </c>
      <c r="P153" s="271">
        <v>16</v>
      </c>
      <c r="Q153" s="37">
        <v>15</v>
      </c>
      <c r="R153" s="100"/>
    </row>
    <row r="154" spans="1:18" x14ac:dyDescent="0.25">
      <c r="A154" s="96">
        <v>1</v>
      </c>
      <c r="B154" s="84" t="s">
        <v>134</v>
      </c>
      <c r="C154" s="96">
        <v>62905</v>
      </c>
      <c r="D154" s="96">
        <v>112368</v>
      </c>
      <c r="E154" s="47">
        <f>C154/D154*100</f>
        <v>55.981240210736146</v>
      </c>
      <c r="F154" s="34">
        <v>5416</v>
      </c>
      <c r="G154" s="96">
        <v>12774</v>
      </c>
      <c r="H154" s="47">
        <f>F154/G154*100</f>
        <v>42.398622201346484</v>
      </c>
      <c r="I154" s="96">
        <v>62905</v>
      </c>
      <c r="J154" s="96">
        <v>112368</v>
      </c>
      <c r="K154" s="47">
        <f t="shared" ref="K154:K158" si="79">I154/J154*100</f>
        <v>55.981240210736146</v>
      </c>
      <c r="L154" s="96">
        <v>0</v>
      </c>
      <c r="M154" s="96">
        <v>0</v>
      </c>
      <c r="N154" s="47">
        <v>0</v>
      </c>
      <c r="O154" s="96">
        <v>57</v>
      </c>
      <c r="P154" s="76">
        <v>72</v>
      </c>
      <c r="Q154" s="96">
        <v>58</v>
      </c>
      <c r="R154" s="45">
        <f t="shared" ref="R154:R158" si="80">O154*P154</f>
        <v>4104</v>
      </c>
    </row>
    <row r="155" spans="1:18" x14ac:dyDescent="0.25">
      <c r="A155" s="96">
        <v>2</v>
      </c>
      <c r="B155" s="84" t="s">
        <v>135</v>
      </c>
      <c r="C155" s="51">
        <v>5411058</v>
      </c>
      <c r="D155" s="51">
        <v>5928297</v>
      </c>
      <c r="E155" s="47">
        <f t="shared" ref="E155:E158" si="81">C155/D155*100</f>
        <v>91.275082877932732</v>
      </c>
      <c r="F155" s="51">
        <v>686171</v>
      </c>
      <c r="G155" s="51">
        <v>688336</v>
      </c>
      <c r="H155" s="47">
        <f t="shared" ref="H155:H158" si="82">F155/G155*100</f>
        <v>99.685473373468767</v>
      </c>
      <c r="I155" s="51">
        <v>5665902</v>
      </c>
      <c r="J155" s="51">
        <v>6050968</v>
      </c>
      <c r="K155" s="47">
        <f t="shared" si="79"/>
        <v>93.636290920725401</v>
      </c>
      <c r="L155" s="51">
        <v>1709706</v>
      </c>
      <c r="M155" s="51">
        <v>2365988</v>
      </c>
      <c r="N155" s="47">
        <f t="shared" ref="N155:N157" si="83">L155/M155*100</f>
        <v>72.26182043188723</v>
      </c>
      <c r="O155" s="96">
        <v>520</v>
      </c>
      <c r="P155" s="76">
        <v>110</v>
      </c>
      <c r="Q155" s="96">
        <v>520</v>
      </c>
      <c r="R155" s="45">
        <f t="shared" si="80"/>
        <v>57200</v>
      </c>
    </row>
    <row r="156" spans="1:18" x14ac:dyDescent="0.25">
      <c r="A156" s="96">
        <v>3</v>
      </c>
      <c r="B156" s="84" t="s">
        <v>136</v>
      </c>
      <c r="C156" s="268">
        <v>0</v>
      </c>
      <c r="D156" s="268">
        <v>0</v>
      </c>
      <c r="E156" s="47">
        <v>0</v>
      </c>
      <c r="F156" s="268">
        <v>0</v>
      </c>
      <c r="G156" s="268">
        <v>0</v>
      </c>
      <c r="H156" s="43">
        <v>0</v>
      </c>
      <c r="I156" s="268">
        <v>0</v>
      </c>
      <c r="J156" s="268">
        <v>0</v>
      </c>
      <c r="K156" s="43">
        <v>0</v>
      </c>
      <c r="L156" s="268">
        <v>0</v>
      </c>
      <c r="M156" s="268">
        <v>0</v>
      </c>
      <c r="N156" s="47">
        <v>0</v>
      </c>
      <c r="O156" s="268">
        <v>0</v>
      </c>
      <c r="P156" s="44">
        <v>0</v>
      </c>
      <c r="Q156" s="268">
        <v>0</v>
      </c>
      <c r="R156" s="45">
        <f t="shared" si="80"/>
        <v>0</v>
      </c>
    </row>
    <row r="157" spans="1:18" x14ac:dyDescent="0.25">
      <c r="A157" s="96">
        <v>4</v>
      </c>
      <c r="B157" s="84" t="s">
        <v>137</v>
      </c>
      <c r="C157" s="96">
        <v>2855537</v>
      </c>
      <c r="D157" s="96">
        <v>3271816</v>
      </c>
      <c r="E157" s="47">
        <f t="shared" si="81"/>
        <v>87.276821190433694</v>
      </c>
      <c r="F157" s="96">
        <v>217488</v>
      </c>
      <c r="G157" s="101">
        <v>325110</v>
      </c>
      <c r="H157" s="47">
        <f t="shared" si="82"/>
        <v>66.896742640952283</v>
      </c>
      <c r="I157" s="101">
        <v>3152716</v>
      </c>
      <c r="J157" s="101">
        <v>2729446</v>
      </c>
      <c r="K157" s="47">
        <f t="shared" ref="K157" si="84">I157/J157*100</f>
        <v>115.50754255625502</v>
      </c>
      <c r="L157" s="101">
        <v>1953429</v>
      </c>
      <c r="M157" s="101">
        <v>713406</v>
      </c>
      <c r="N157" s="47">
        <f t="shared" si="83"/>
        <v>273.81729337852499</v>
      </c>
      <c r="O157" s="96">
        <v>310</v>
      </c>
      <c r="P157" s="76">
        <v>80</v>
      </c>
      <c r="Q157" s="96">
        <v>289</v>
      </c>
      <c r="R157" s="45">
        <f t="shared" si="80"/>
        <v>24800</v>
      </c>
    </row>
    <row r="158" spans="1:18" x14ac:dyDescent="0.25">
      <c r="A158" s="96">
        <v>5</v>
      </c>
      <c r="B158" s="84" t="s">
        <v>138</v>
      </c>
      <c r="C158" s="96">
        <v>2360611</v>
      </c>
      <c r="D158" s="96">
        <v>3644434</v>
      </c>
      <c r="E158" s="47">
        <f t="shared" si="81"/>
        <v>64.773048434955882</v>
      </c>
      <c r="F158" s="96">
        <v>0</v>
      </c>
      <c r="G158" s="96">
        <v>348722</v>
      </c>
      <c r="H158" s="47">
        <f t="shared" si="82"/>
        <v>0</v>
      </c>
      <c r="I158" s="96">
        <v>2347982</v>
      </c>
      <c r="J158" s="96">
        <v>3858444</v>
      </c>
      <c r="K158" s="47">
        <f t="shared" si="79"/>
        <v>60.853079635210463</v>
      </c>
      <c r="L158" s="96">
        <v>0</v>
      </c>
      <c r="M158" s="96">
        <v>0</v>
      </c>
      <c r="N158" s="47">
        <v>0</v>
      </c>
      <c r="O158" s="96">
        <v>422</v>
      </c>
      <c r="P158" s="76">
        <v>51</v>
      </c>
      <c r="Q158" s="96">
        <v>422</v>
      </c>
      <c r="R158" s="45">
        <f t="shared" si="80"/>
        <v>21522</v>
      </c>
    </row>
    <row r="159" spans="1:18" x14ac:dyDescent="0.25">
      <c r="A159" s="315" t="s">
        <v>174</v>
      </c>
      <c r="B159" s="315" t="s">
        <v>139</v>
      </c>
      <c r="C159" s="56">
        <f>SUM(C154:C158)</f>
        <v>10690111</v>
      </c>
      <c r="D159" s="56">
        <f>SUM(D154:D158)</f>
        <v>12956915</v>
      </c>
      <c r="E159" s="57">
        <f>C159/D159*100</f>
        <v>82.505063898312216</v>
      </c>
      <c r="F159" s="56">
        <f>SUM(F154:F158)</f>
        <v>909075</v>
      </c>
      <c r="G159" s="56">
        <f>SUM(G154:G158)</f>
        <v>1374942</v>
      </c>
      <c r="H159" s="57">
        <f>F159/G159*100</f>
        <v>66.117334403923948</v>
      </c>
      <c r="I159" s="56">
        <f>SUM(I154:I158)</f>
        <v>11229505</v>
      </c>
      <c r="J159" s="56">
        <f>SUM(J154:J158)</f>
        <v>12751226</v>
      </c>
      <c r="K159" s="57">
        <f>I159/J159*100</f>
        <v>88.066080861557936</v>
      </c>
      <c r="L159" s="56">
        <f>SUM(L154:L158)</f>
        <v>3663135</v>
      </c>
      <c r="M159" s="56">
        <f>SUM(M154:M158)</f>
        <v>3079394</v>
      </c>
      <c r="N159" s="57">
        <f>L159/M159*100</f>
        <v>118.9563595954269</v>
      </c>
      <c r="O159" s="56">
        <f>SUM(O154:O158)</f>
        <v>1309</v>
      </c>
      <c r="P159" s="57">
        <f>R159/O159</f>
        <v>82.220015278838815</v>
      </c>
      <c r="Q159" s="56">
        <f>SUM(Q154:Q158)</f>
        <v>1289</v>
      </c>
      <c r="R159" s="59">
        <f>SUM(R154:R158)</f>
        <v>107626</v>
      </c>
    </row>
    <row r="160" spans="1:18" x14ac:dyDescent="0.25">
      <c r="A160" s="102"/>
      <c r="B160" s="103"/>
      <c r="C160" s="104"/>
      <c r="D160" s="104"/>
      <c r="E160" s="105"/>
      <c r="F160" s="104"/>
      <c r="G160" s="104"/>
      <c r="H160" s="105"/>
      <c r="I160" s="104"/>
      <c r="J160" s="104"/>
      <c r="K160" s="105"/>
      <c r="L160" s="104"/>
      <c r="M160" s="176"/>
      <c r="N160" s="177"/>
      <c r="O160" s="176"/>
      <c r="P160" s="104"/>
      <c r="Q160" s="176"/>
      <c r="R160" s="106"/>
    </row>
    <row r="161" spans="1:18" x14ac:dyDescent="0.25">
      <c r="A161" s="350" t="s">
        <v>177</v>
      </c>
      <c r="B161" s="350"/>
      <c r="C161" s="37">
        <v>3</v>
      </c>
      <c r="D161" s="37">
        <v>4</v>
      </c>
      <c r="E161" s="271">
        <v>5</v>
      </c>
      <c r="F161" s="37">
        <v>6</v>
      </c>
      <c r="G161" s="37">
        <v>7</v>
      </c>
      <c r="H161" s="37">
        <v>8</v>
      </c>
      <c r="I161" s="37">
        <v>9</v>
      </c>
      <c r="J161" s="37">
        <v>10</v>
      </c>
      <c r="K161" s="37">
        <v>11</v>
      </c>
      <c r="L161" s="37">
        <v>12</v>
      </c>
      <c r="M161" s="37">
        <v>13</v>
      </c>
      <c r="N161" s="37">
        <v>14</v>
      </c>
      <c r="O161" s="37">
        <v>15</v>
      </c>
      <c r="P161" s="271">
        <v>16</v>
      </c>
      <c r="Q161" s="37">
        <v>15</v>
      </c>
      <c r="R161" s="45"/>
    </row>
    <row r="162" spans="1:18" x14ac:dyDescent="0.25">
      <c r="A162" s="268">
        <v>1</v>
      </c>
      <c r="B162" s="78" t="s">
        <v>191</v>
      </c>
      <c r="C162" s="268">
        <v>1188421</v>
      </c>
      <c r="D162" s="268">
        <v>618459</v>
      </c>
      <c r="E162" s="47">
        <f>C162/D162*100</f>
        <v>192.1584130880139</v>
      </c>
      <c r="F162" s="268">
        <v>133360</v>
      </c>
      <c r="G162" s="268">
        <v>61496</v>
      </c>
      <c r="H162" s="47">
        <f>F162/G162*100</f>
        <v>216.85963314687135</v>
      </c>
      <c r="I162" s="268">
        <v>1077734</v>
      </c>
      <c r="J162" s="268">
        <v>530712</v>
      </c>
      <c r="K162" s="47">
        <f>I162/J162*100</f>
        <v>203.07322992508179</v>
      </c>
      <c r="L162" s="268">
        <v>330618</v>
      </c>
      <c r="M162" s="268">
        <v>168397</v>
      </c>
      <c r="N162" s="47">
        <f t="shared" ref="N162" si="85">L162/M162*100</f>
        <v>196.33247623176183</v>
      </c>
      <c r="O162" s="268">
        <v>53</v>
      </c>
      <c r="P162" s="268">
        <v>71</v>
      </c>
      <c r="Q162" s="268">
        <v>53</v>
      </c>
      <c r="R162" s="45">
        <f>O162*P162</f>
        <v>3763</v>
      </c>
    </row>
    <row r="163" spans="1:18" x14ac:dyDescent="0.25">
      <c r="A163" s="268">
        <v>2</v>
      </c>
      <c r="B163" s="146" t="s">
        <v>192</v>
      </c>
      <c r="C163" s="268">
        <v>1306059</v>
      </c>
      <c r="D163" s="268">
        <v>0</v>
      </c>
      <c r="E163" s="47">
        <v>0</v>
      </c>
      <c r="F163" s="268">
        <v>196526</v>
      </c>
      <c r="G163" s="268">
        <v>0</v>
      </c>
      <c r="H163" s="47">
        <v>0</v>
      </c>
      <c r="I163" s="268">
        <v>1318850</v>
      </c>
      <c r="J163" s="268">
        <v>0</v>
      </c>
      <c r="K163" s="47">
        <v>0</v>
      </c>
      <c r="L163" s="268">
        <v>17776</v>
      </c>
      <c r="M163" s="268">
        <v>0</v>
      </c>
      <c r="N163" s="34">
        <v>0</v>
      </c>
      <c r="O163" s="268">
        <v>30</v>
      </c>
      <c r="P163" s="268">
        <v>85</v>
      </c>
      <c r="Q163" s="268">
        <v>30</v>
      </c>
      <c r="R163" s="45">
        <f>O163*P163</f>
        <v>2550</v>
      </c>
    </row>
    <row r="164" spans="1:18" x14ac:dyDescent="0.25">
      <c r="A164" s="268">
        <v>3</v>
      </c>
      <c r="B164" s="146" t="s">
        <v>193</v>
      </c>
      <c r="C164" s="268">
        <v>2300167</v>
      </c>
      <c r="D164" s="268">
        <v>1758350</v>
      </c>
      <c r="E164" s="47">
        <f>C164/D164*100</f>
        <v>130.81394489151762</v>
      </c>
      <c r="F164" s="268">
        <v>354972</v>
      </c>
      <c r="G164" s="268">
        <v>353710</v>
      </c>
      <c r="H164" s="47">
        <f>F164/G164*100</f>
        <v>100.35678946029233</v>
      </c>
      <c r="I164" s="268">
        <v>2094507</v>
      </c>
      <c r="J164" s="268">
        <v>1644297</v>
      </c>
      <c r="K164" s="47">
        <f>I164/J164*100</f>
        <v>127.3800900932131</v>
      </c>
      <c r="L164" s="268">
        <v>0</v>
      </c>
      <c r="M164" s="268">
        <v>0</v>
      </c>
      <c r="N164" s="34">
        <v>0</v>
      </c>
      <c r="O164" s="268">
        <v>481</v>
      </c>
      <c r="P164" s="268">
        <v>100</v>
      </c>
      <c r="Q164" s="268">
        <v>481</v>
      </c>
      <c r="R164" s="45">
        <f>O164*P164</f>
        <v>48100</v>
      </c>
    </row>
    <row r="165" spans="1:18" x14ac:dyDescent="0.25">
      <c r="A165" s="315" t="s">
        <v>190</v>
      </c>
      <c r="B165" s="315" t="s">
        <v>109</v>
      </c>
      <c r="C165" s="56">
        <f>SUM(C162:C164)</f>
        <v>4794647</v>
      </c>
      <c r="D165" s="56">
        <f>SUM(D162:D164)</f>
        <v>2376809</v>
      </c>
      <c r="E165" s="57">
        <f>C165/D165*100</f>
        <v>201.72622200605937</v>
      </c>
      <c r="F165" s="56">
        <f>SUM(F162:F164)</f>
        <v>684858</v>
      </c>
      <c r="G165" s="56">
        <f>SUM(G162:G164)</f>
        <v>415206</v>
      </c>
      <c r="H165" s="57">
        <f>F165/G165*100</f>
        <v>164.94414820595077</v>
      </c>
      <c r="I165" s="56">
        <f>SUM(I162:I164)</f>
        <v>4491091</v>
      </c>
      <c r="J165" s="56">
        <f>SUM(J162:J164)</f>
        <v>2175009</v>
      </c>
      <c r="K165" s="57">
        <f>I165/J165*100</f>
        <v>206.48608810354347</v>
      </c>
      <c r="L165" s="56">
        <f>SUM(L162:L164)</f>
        <v>348394</v>
      </c>
      <c r="M165" s="56">
        <f>SUM(M162:M164)</f>
        <v>168397</v>
      </c>
      <c r="N165" s="57">
        <v>0</v>
      </c>
      <c r="O165" s="56">
        <f>SUM(O162:O164)</f>
        <v>564</v>
      </c>
      <c r="P165" s="58">
        <f>R165/O165</f>
        <v>96.476950354609926</v>
      </c>
      <c r="Q165" s="56">
        <f>SUM(Q162:Q164)</f>
        <v>564</v>
      </c>
      <c r="R165" s="59">
        <f>SUM(R162:R164)</f>
        <v>54413</v>
      </c>
    </row>
    <row r="166" spans="1:18" x14ac:dyDescent="0.25">
      <c r="A166" s="102"/>
      <c r="B166" s="103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6"/>
    </row>
    <row r="167" spans="1:18" x14ac:dyDescent="0.25">
      <c r="A167" s="319" t="s">
        <v>140</v>
      </c>
      <c r="B167" s="320"/>
      <c r="C167" s="37">
        <v>3</v>
      </c>
      <c r="D167" s="37">
        <v>4</v>
      </c>
      <c r="E167" s="271">
        <v>5</v>
      </c>
      <c r="F167" s="37">
        <v>6</v>
      </c>
      <c r="G167" s="37">
        <v>7</v>
      </c>
      <c r="H167" s="37">
        <v>8</v>
      </c>
      <c r="I167" s="37">
        <v>9</v>
      </c>
      <c r="J167" s="37">
        <v>10</v>
      </c>
      <c r="K167" s="37">
        <v>11</v>
      </c>
      <c r="L167" s="37">
        <v>12</v>
      </c>
      <c r="M167" s="27">
        <v>13</v>
      </c>
      <c r="N167" s="27">
        <v>14</v>
      </c>
      <c r="O167" s="27">
        <v>15</v>
      </c>
      <c r="P167" s="271">
        <v>16</v>
      </c>
      <c r="Q167" s="27">
        <v>15</v>
      </c>
      <c r="R167" s="23"/>
    </row>
    <row r="168" spans="1:18" x14ac:dyDescent="0.25">
      <c r="A168" s="102">
        <v>1</v>
      </c>
      <c r="B168" s="113" t="s">
        <v>141</v>
      </c>
      <c r="C168" s="96">
        <v>703</v>
      </c>
      <c r="D168" s="96">
        <v>9109</v>
      </c>
      <c r="E168" s="97">
        <f t="shared" ref="E168:E177" si="86">C168/D168*100</f>
        <v>7.717641892633659</v>
      </c>
      <c r="F168" s="96">
        <v>229</v>
      </c>
      <c r="G168" s="96">
        <v>245</v>
      </c>
      <c r="H168" s="97">
        <f t="shared" ref="H168:H169" si="87">F168/G168*100</f>
        <v>93.469387755102034</v>
      </c>
      <c r="I168" s="96">
        <v>40661</v>
      </c>
      <c r="J168" s="96">
        <v>30956</v>
      </c>
      <c r="K168" s="97">
        <f t="shared" ref="K168:K177" si="88">I168/J168*100</f>
        <v>131.35094973510789</v>
      </c>
      <c r="L168" s="96">
        <v>0</v>
      </c>
      <c r="M168" s="96">
        <v>0</v>
      </c>
      <c r="N168" s="96">
        <v>0</v>
      </c>
      <c r="O168" s="96">
        <v>89</v>
      </c>
      <c r="P168" s="96">
        <v>100</v>
      </c>
      <c r="Q168" s="96">
        <v>89</v>
      </c>
      <c r="R168" s="45">
        <f t="shared" ref="R168:R177" si="89">O168*P168</f>
        <v>8900</v>
      </c>
    </row>
    <row r="169" spans="1:18" x14ac:dyDescent="0.25">
      <c r="A169" s="112">
        <v>2</v>
      </c>
      <c r="B169" s="113" t="s">
        <v>142</v>
      </c>
      <c r="C169" s="96">
        <v>1049651</v>
      </c>
      <c r="D169" s="96">
        <v>994032</v>
      </c>
      <c r="E169" s="97">
        <f t="shared" si="86"/>
        <v>105.59529270687462</v>
      </c>
      <c r="F169" s="96">
        <v>53703</v>
      </c>
      <c r="G169" s="96">
        <v>268363</v>
      </c>
      <c r="H169" s="97">
        <f t="shared" si="87"/>
        <v>20.011327940140781</v>
      </c>
      <c r="I169" s="96">
        <v>1049651</v>
      </c>
      <c r="J169" s="96">
        <v>994032</v>
      </c>
      <c r="K169" s="96">
        <f t="shared" si="88"/>
        <v>105.59529270687462</v>
      </c>
      <c r="L169" s="96">
        <v>1049651</v>
      </c>
      <c r="M169" s="96">
        <v>994032</v>
      </c>
      <c r="N169" s="96">
        <f t="shared" ref="N169:N177" si="90">L169/M169*100</f>
        <v>105.59529270687462</v>
      </c>
      <c r="O169" s="96">
        <v>125</v>
      </c>
      <c r="P169" s="96">
        <v>115</v>
      </c>
      <c r="Q169" s="96">
        <v>125</v>
      </c>
      <c r="R169" s="45">
        <f t="shared" si="89"/>
        <v>14375</v>
      </c>
    </row>
    <row r="170" spans="1:18" x14ac:dyDescent="0.25">
      <c r="A170" s="102">
        <v>3</v>
      </c>
      <c r="B170" s="113" t="s">
        <v>143</v>
      </c>
      <c r="C170" s="96">
        <v>0</v>
      </c>
      <c r="D170" s="96">
        <v>122150</v>
      </c>
      <c r="E170" s="97">
        <f t="shared" si="86"/>
        <v>0</v>
      </c>
      <c r="F170" s="96">
        <v>0</v>
      </c>
      <c r="G170" s="96">
        <v>17952</v>
      </c>
      <c r="H170" s="97">
        <v>0</v>
      </c>
      <c r="I170" s="96">
        <v>0</v>
      </c>
      <c r="J170" s="96">
        <v>116068</v>
      </c>
      <c r="K170" s="97">
        <f t="shared" si="88"/>
        <v>0</v>
      </c>
      <c r="L170" s="96">
        <v>0</v>
      </c>
      <c r="M170" s="96">
        <v>108978</v>
      </c>
      <c r="N170" s="97">
        <f t="shared" si="90"/>
        <v>0</v>
      </c>
      <c r="O170" s="96">
        <v>10</v>
      </c>
      <c r="P170" s="96">
        <v>46</v>
      </c>
      <c r="Q170" s="96">
        <v>10</v>
      </c>
      <c r="R170" s="45">
        <f t="shared" si="89"/>
        <v>460</v>
      </c>
    </row>
    <row r="171" spans="1:18" x14ac:dyDescent="0.25">
      <c r="A171" s="112">
        <v>4</v>
      </c>
      <c r="B171" s="113" t="s">
        <v>144</v>
      </c>
      <c r="C171" s="96">
        <v>4651497</v>
      </c>
      <c r="D171" s="96">
        <v>5157925</v>
      </c>
      <c r="E171" s="114">
        <f t="shared" si="86"/>
        <v>90.181555567403564</v>
      </c>
      <c r="F171" s="96">
        <v>376165</v>
      </c>
      <c r="G171" s="96">
        <v>943210</v>
      </c>
      <c r="H171" s="114">
        <f t="shared" ref="H171:H177" si="91">F171/G171*100</f>
        <v>39.881362580973487</v>
      </c>
      <c r="I171" s="96">
        <v>4651497</v>
      </c>
      <c r="J171" s="96">
        <v>5157925</v>
      </c>
      <c r="K171" s="114">
        <f t="shared" si="88"/>
        <v>90.181555567403564</v>
      </c>
      <c r="L171" s="96">
        <v>4651497</v>
      </c>
      <c r="M171" s="96">
        <v>5157925</v>
      </c>
      <c r="N171" s="47">
        <f t="shared" si="90"/>
        <v>90.181555567403564</v>
      </c>
      <c r="O171" s="96">
        <v>143</v>
      </c>
      <c r="P171" s="115">
        <v>134</v>
      </c>
      <c r="Q171" s="96">
        <v>140</v>
      </c>
      <c r="R171" s="45">
        <f t="shared" si="89"/>
        <v>19162</v>
      </c>
    </row>
    <row r="172" spans="1:18" x14ac:dyDescent="0.25">
      <c r="A172" s="102">
        <v>5</v>
      </c>
      <c r="B172" s="113" t="s">
        <v>145</v>
      </c>
      <c r="C172" s="96">
        <v>727362</v>
      </c>
      <c r="D172" s="96">
        <v>1700133</v>
      </c>
      <c r="E172" s="114">
        <f t="shared" si="86"/>
        <v>42.782652886568286</v>
      </c>
      <c r="F172" s="96">
        <v>22877</v>
      </c>
      <c r="G172" s="96">
        <v>66352</v>
      </c>
      <c r="H172" s="114">
        <f t="shared" si="91"/>
        <v>34.478237279961412</v>
      </c>
      <c r="I172" s="96">
        <v>942752</v>
      </c>
      <c r="J172" s="96">
        <v>1700133</v>
      </c>
      <c r="K172" s="114">
        <f t="shared" si="88"/>
        <v>55.451661722935796</v>
      </c>
      <c r="L172" s="96">
        <v>942752</v>
      </c>
      <c r="M172" s="96">
        <v>1700133</v>
      </c>
      <c r="N172" s="47">
        <f t="shared" si="90"/>
        <v>55.451661722935796</v>
      </c>
      <c r="O172" s="96">
        <v>47</v>
      </c>
      <c r="P172" s="96">
        <v>54</v>
      </c>
      <c r="Q172" s="96">
        <v>48</v>
      </c>
      <c r="R172" s="45">
        <f t="shared" si="89"/>
        <v>2538</v>
      </c>
    </row>
    <row r="173" spans="1:18" x14ac:dyDescent="0.25">
      <c r="A173" s="112">
        <v>6</v>
      </c>
      <c r="B173" s="113" t="s">
        <v>146</v>
      </c>
      <c r="C173" s="268">
        <v>0</v>
      </c>
      <c r="D173" s="268">
        <v>0</v>
      </c>
      <c r="E173" s="47">
        <v>0</v>
      </c>
      <c r="F173" s="268">
        <v>0</v>
      </c>
      <c r="G173" s="268">
        <v>0</v>
      </c>
      <c r="H173" s="43">
        <v>0</v>
      </c>
      <c r="I173" s="268">
        <v>0</v>
      </c>
      <c r="J173" s="268">
        <v>0</v>
      </c>
      <c r="K173" s="43">
        <v>0</v>
      </c>
      <c r="L173" s="268">
        <v>0</v>
      </c>
      <c r="M173" s="268">
        <v>0</v>
      </c>
      <c r="N173" s="47">
        <v>0</v>
      </c>
      <c r="O173" s="268">
        <v>0</v>
      </c>
      <c r="P173" s="44">
        <v>0</v>
      </c>
      <c r="Q173" s="268">
        <v>0</v>
      </c>
      <c r="R173" s="45">
        <f t="shared" si="89"/>
        <v>0</v>
      </c>
    </row>
    <row r="174" spans="1:18" x14ac:dyDescent="0.25">
      <c r="A174" s="102">
        <v>7</v>
      </c>
      <c r="B174" s="113" t="s">
        <v>147</v>
      </c>
      <c r="C174" s="96">
        <v>2626260</v>
      </c>
      <c r="D174" s="96">
        <v>3786384</v>
      </c>
      <c r="E174" s="114">
        <f t="shared" si="86"/>
        <v>69.360635371372794</v>
      </c>
      <c r="F174" s="96">
        <v>453053</v>
      </c>
      <c r="G174" s="96">
        <v>105336</v>
      </c>
      <c r="H174" s="47">
        <f t="shared" si="91"/>
        <v>430.1027189185084</v>
      </c>
      <c r="I174" s="96">
        <v>2643181</v>
      </c>
      <c r="J174" s="96">
        <v>3722401</v>
      </c>
      <c r="K174" s="47">
        <f t="shared" si="88"/>
        <v>71.007422359923069</v>
      </c>
      <c r="L174" s="96">
        <v>2626733</v>
      </c>
      <c r="M174" s="96">
        <v>3721774</v>
      </c>
      <c r="N174" s="47">
        <f t="shared" si="90"/>
        <v>70.577445057115241</v>
      </c>
      <c r="O174" s="96">
        <v>43</v>
      </c>
      <c r="P174" s="96">
        <v>98</v>
      </c>
      <c r="Q174" s="96">
        <v>51</v>
      </c>
      <c r="R174" s="45">
        <f t="shared" si="89"/>
        <v>4214</v>
      </c>
    </row>
    <row r="175" spans="1:18" x14ac:dyDescent="0.25">
      <c r="A175" s="112">
        <v>8</v>
      </c>
      <c r="B175" s="113" t="s">
        <v>148</v>
      </c>
      <c r="C175" s="96">
        <v>754767</v>
      </c>
      <c r="D175" s="96">
        <v>1436160</v>
      </c>
      <c r="E175" s="76">
        <f t="shared" si="86"/>
        <v>52.554520387700535</v>
      </c>
      <c r="F175" s="96">
        <v>25413</v>
      </c>
      <c r="G175" s="96">
        <v>364686</v>
      </c>
      <c r="H175" s="76">
        <f t="shared" si="91"/>
        <v>6.9684605386551715</v>
      </c>
      <c r="I175" s="96">
        <v>754767</v>
      </c>
      <c r="J175" s="96">
        <v>1436160</v>
      </c>
      <c r="K175" s="76">
        <f t="shared" si="88"/>
        <v>52.554520387700535</v>
      </c>
      <c r="L175" s="96">
        <v>754767</v>
      </c>
      <c r="M175" s="96">
        <v>1436160</v>
      </c>
      <c r="N175" s="76">
        <f t="shared" si="90"/>
        <v>52.554520387700535</v>
      </c>
      <c r="O175" s="76">
        <v>38</v>
      </c>
      <c r="P175" s="76">
        <v>102</v>
      </c>
      <c r="Q175" s="76">
        <v>38</v>
      </c>
      <c r="R175" s="45">
        <f t="shared" si="89"/>
        <v>3876</v>
      </c>
    </row>
    <row r="176" spans="1:18" x14ac:dyDescent="0.25">
      <c r="A176" s="102">
        <v>9</v>
      </c>
      <c r="B176" s="113" t="s">
        <v>149</v>
      </c>
      <c r="C176" s="96">
        <v>223410</v>
      </c>
      <c r="D176" s="96">
        <v>210139</v>
      </c>
      <c r="E176" s="47">
        <f t="shared" si="86"/>
        <v>106.31534365348649</v>
      </c>
      <c r="F176" s="96">
        <v>0</v>
      </c>
      <c r="G176" s="96">
        <v>37997</v>
      </c>
      <c r="H176" s="47">
        <f t="shared" si="91"/>
        <v>0</v>
      </c>
      <c r="I176" s="96">
        <v>223410</v>
      </c>
      <c r="J176" s="96">
        <v>210139</v>
      </c>
      <c r="K176" s="47">
        <f t="shared" si="88"/>
        <v>106.31534365348649</v>
      </c>
      <c r="L176" s="96">
        <v>223410</v>
      </c>
      <c r="M176" s="96">
        <v>210139</v>
      </c>
      <c r="N176" s="47">
        <f t="shared" si="90"/>
        <v>106.31534365348649</v>
      </c>
      <c r="O176" s="96">
        <v>2</v>
      </c>
      <c r="P176" s="96">
        <v>85</v>
      </c>
      <c r="Q176" s="96">
        <v>2</v>
      </c>
      <c r="R176" s="45">
        <f t="shared" si="89"/>
        <v>170</v>
      </c>
    </row>
    <row r="177" spans="1:18" x14ac:dyDescent="0.25">
      <c r="A177" s="112">
        <v>10</v>
      </c>
      <c r="B177" s="113" t="s">
        <v>150</v>
      </c>
      <c r="C177" s="96">
        <v>482389</v>
      </c>
      <c r="D177" s="96">
        <v>392747</v>
      </c>
      <c r="E177" s="47">
        <f t="shared" si="86"/>
        <v>122.82436275770408</v>
      </c>
      <c r="F177" s="96">
        <v>116952</v>
      </c>
      <c r="G177" s="96">
        <v>17007</v>
      </c>
      <c r="H177" s="47">
        <f t="shared" si="91"/>
        <v>687.6697830305169</v>
      </c>
      <c r="I177" s="96">
        <v>482389</v>
      </c>
      <c r="J177" s="96">
        <v>392747</v>
      </c>
      <c r="K177" s="47">
        <f t="shared" si="88"/>
        <v>122.82436275770408</v>
      </c>
      <c r="L177" s="96">
        <v>482389</v>
      </c>
      <c r="M177" s="96">
        <v>392747</v>
      </c>
      <c r="N177" s="47">
        <f t="shared" si="90"/>
        <v>122.82436275770408</v>
      </c>
      <c r="O177" s="96">
        <v>24</v>
      </c>
      <c r="P177" s="96">
        <v>50</v>
      </c>
      <c r="Q177" s="96">
        <v>24</v>
      </c>
      <c r="R177" s="45">
        <f t="shared" si="89"/>
        <v>1200</v>
      </c>
    </row>
    <row r="178" spans="1:18" x14ac:dyDescent="0.25">
      <c r="A178" s="315" t="s">
        <v>173</v>
      </c>
      <c r="B178" s="315" t="s">
        <v>139</v>
      </c>
      <c r="C178" s="58">
        <f>SUM(C168:C177)</f>
        <v>10516039</v>
      </c>
      <c r="D178" s="58">
        <f>SUM(D168:D177)</f>
        <v>13808779</v>
      </c>
      <c r="E178" s="57">
        <f>C178/D178*100</f>
        <v>76.154734607599991</v>
      </c>
      <c r="F178" s="58">
        <f>SUM(F168:F177)</f>
        <v>1048392</v>
      </c>
      <c r="G178" s="58">
        <f>SUM(G168:G177)</f>
        <v>1821148</v>
      </c>
      <c r="H178" s="57">
        <f>F178/G178*100</f>
        <v>57.567644145341291</v>
      </c>
      <c r="I178" s="58">
        <f>SUM(I168:I177)</f>
        <v>10788308</v>
      </c>
      <c r="J178" s="58">
        <f>SUM(J168:J177)</f>
        <v>13760561</v>
      </c>
      <c r="K178" s="57">
        <f>I178/J178*100</f>
        <v>78.400204759093768</v>
      </c>
      <c r="L178" s="58">
        <f>SUM(L168:L177)</f>
        <v>10731199</v>
      </c>
      <c r="M178" s="56">
        <f>SUM(M168:M177)</f>
        <v>13721888</v>
      </c>
      <c r="N178" s="57">
        <f>L178/M178*100</f>
        <v>78.204974417514563</v>
      </c>
      <c r="O178" s="58">
        <f>SUM(O168:O177)</f>
        <v>521</v>
      </c>
      <c r="P178" s="57">
        <f>R178/O178</f>
        <v>105.36468330134358</v>
      </c>
      <c r="Q178" s="58">
        <f>SUM(Q168:Q177)</f>
        <v>527</v>
      </c>
      <c r="R178" s="59">
        <f>SUM(R168:R177)</f>
        <v>54895</v>
      </c>
    </row>
    <row r="179" spans="1:18" x14ac:dyDescent="0.25">
      <c r="A179" s="117"/>
      <c r="B179" s="117"/>
      <c r="C179" s="98"/>
      <c r="D179" s="98"/>
      <c r="E179" s="97"/>
      <c r="F179" s="118"/>
      <c r="G179" s="118"/>
      <c r="H179" s="97"/>
      <c r="I179" s="268"/>
      <c r="J179" s="268"/>
      <c r="K179" s="119"/>
      <c r="L179" s="268"/>
      <c r="M179" s="268"/>
      <c r="N179" s="268"/>
      <c r="O179" s="268"/>
      <c r="P179" s="62"/>
      <c r="Q179" s="268"/>
      <c r="R179" s="31"/>
    </row>
    <row r="180" spans="1:18" x14ac:dyDescent="0.25">
      <c r="A180" s="321" t="s">
        <v>151</v>
      </c>
      <c r="B180" s="322"/>
      <c r="C180" s="37">
        <v>3</v>
      </c>
      <c r="D180" s="37">
        <v>4</v>
      </c>
      <c r="E180" s="271">
        <v>5</v>
      </c>
      <c r="F180" s="37">
        <v>6</v>
      </c>
      <c r="G180" s="37">
        <v>7</v>
      </c>
      <c r="H180" s="37">
        <v>8</v>
      </c>
      <c r="I180" s="37">
        <v>9</v>
      </c>
      <c r="J180" s="37">
        <v>10</v>
      </c>
      <c r="K180" s="37">
        <v>11</v>
      </c>
      <c r="L180" s="37">
        <v>12</v>
      </c>
      <c r="M180" s="37">
        <v>13</v>
      </c>
      <c r="N180" s="37">
        <v>14</v>
      </c>
      <c r="O180" s="37">
        <v>15</v>
      </c>
      <c r="P180" s="271">
        <v>16</v>
      </c>
      <c r="Q180" s="37">
        <v>15</v>
      </c>
      <c r="R180" s="31"/>
    </row>
    <row r="181" spans="1:18" x14ac:dyDescent="0.25">
      <c r="A181" s="118">
        <v>1</v>
      </c>
      <c r="B181" s="120" t="s">
        <v>152</v>
      </c>
      <c r="C181" s="96">
        <v>770294</v>
      </c>
      <c r="D181" s="96">
        <v>672005.7</v>
      </c>
      <c r="E181" s="156">
        <f t="shared" ref="E181:E191" si="92">IF(OR(C181=0,D181=0),0,C181/D181*100)</f>
        <v>114.6261110582842</v>
      </c>
      <c r="F181" s="96">
        <v>72660</v>
      </c>
      <c r="G181" s="96">
        <v>49218</v>
      </c>
      <c r="H181" s="156">
        <f t="shared" ref="H181:H191" si="93">IF(OR(F181=0,G181=0),0,F181/G181*100)</f>
        <v>147.62891625015237</v>
      </c>
      <c r="I181" s="96">
        <v>576175.1</v>
      </c>
      <c r="J181" s="96">
        <v>657455.30000000005</v>
      </c>
      <c r="K181" s="156">
        <f t="shared" ref="K181:K191" si="94">IF(OR(I181=0,J181=0),0,I181/J181*100)</f>
        <v>87.637151909795236</v>
      </c>
      <c r="L181" s="96">
        <v>0</v>
      </c>
      <c r="M181" s="96">
        <v>0</v>
      </c>
      <c r="N181" s="49">
        <f t="shared" ref="N181:N191" si="95">IF(OR(L181=0,M181=0),0,L181/M181*100)</f>
        <v>0</v>
      </c>
      <c r="O181" s="76">
        <v>327</v>
      </c>
      <c r="P181" s="76">
        <v>241.2</v>
      </c>
      <c r="Q181" s="76">
        <v>327</v>
      </c>
      <c r="R181" s="74">
        <f t="shared" ref="R181:R191" si="96">O181*P181</f>
        <v>78872.399999999994</v>
      </c>
    </row>
    <row r="182" spans="1:18" x14ac:dyDescent="0.25">
      <c r="A182" s="118">
        <v>2</v>
      </c>
      <c r="B182" s="120" t="s">
        <v>154</v>
      </c>
      <c r="C182" s="96">
        <v>102318</v>
      </c>
      <c r="D182" s="96">
        <v>404188</v>
      </c>
      <c r="E182" s="156">
        <f t="shared" si="92"/>
        <v>25.314457628628261</v>
      </c>
      <c r="F182" s="96">
        <v>1167</v>
      </c>
      <c r="G182" s="96">
        <v>4664</v>
      </c>
      <c r="H182" s="156">
        <f t="shared" si="93"/>
        <v>25.021440823327616</v>
      </c>
      <c r="I182" s="96">
        <v>106796</v>
      </c>
      <c r="J182" s="96">
        <v>371225</v>
      </c>
      <c r="K182" s="156">
        <f t="shared" si="94"/>
        <v>28.768536601791368</v>
      </c>
      <c r="L182" s="96">
        <v>106796</v>
      </c>
      <c r="M182" s="96">
        <v>371225</v>
      </c>
      <c r="N182" s="156">
        <f t="shared" si="95"/>
        <v>28.768536601791368</v>
      </c>
      <c r="O182" s="76">
        <v>38</v>
      </c>
      <c r="P182" s="96">
        <v>130</v>
      </c>
      <c r="Q182" s="76">
        <v>38</v>
      </c>
      <c r="R182" s="74">
        <f t="shared" si="96"/>
        <v>4940</v>
      </c>
    </row>
    <row r="183" spans="1:18" x14ac:dyDescent="0.25">
      <c r="A183" s="245">
        <v>3</v>
      </c>
      <c r="B183" s="246" t="s">
        <v>155</v>
      </c>
      <c r="C183" s="96"/>
      <c r="D183" s="96"/>
      <c r="E183" s="248"/>
      <c r="F183" s="96"/>
      <c r="G183" s="96"/>
      <c r="H183" s="248"/>
      <c r="I183" s="96"/>
      <c r="J183" s="96"/>
      <c r="K183" s="248"/>
      <c r="L183" s="96"/>
      <c r="M183" s="96"/>
      <c r="N183" s="249"/>
      <c r="O183" s="251"/>
      <c r="P183" s="247"/>
      <c r="Q183" s="251"/>
      <c r="R183" s="250">
        <f t="shared" si="96"/>
        <v>0</v>
      </c>
    </row>
    <row r="184" spans="1:18" ht="34.5" customHeight="1" x14ac:dyDescent="0.25">
      <c r="A184" s="118">
        <v>4</v>
      </c>
      <c r="B184" s="121" t="s">
        <v>218</v>
      </c>
      <c r="C184" s="49">
        <v>128095</v>
      </c>
      <c r="D184" s="49">
        <v>122391</v>
      </c>
      <c r="E184" s="156">
        <f t="shared" si="92"/>
        <v>104.66047340082196</v>
      </c>
      <c r="F184" s="49">
        <v>14183</v>
      </c>
      <c r="G184" s="49">
        <v>14119</v>
      </c>
      <c r="H184" s="156">
        <f t="shared" si="93"/>
        <v>100.45328989305192</v>
      </c>
      <c r="I184" s="49">
        <v>0</v>
      </c>
      <c r="J184" s="49">
        <v>0</v>
      </c>
      <c r="K184" s="49">
        <f t="shared" si="94"/>
        <v>0</v>
      </c>
      <c r="L184" s="49">
        <v>0</v>
      </c>
      <c r="M184" s="49">
        <v>0</v>
      </c>
      <c r="N184" s="49">
        <f t="shared" si="95"/>
        <v>0</v>
      </c>
      <c r="O184" s="65">
        <v>85</v>
      </c>
      <c r="P184" s="49">
        <v>87</v>
      </c>
      <c r="Q184" s="76">
        <v>85</v>
      </c>
      <c r="R184" s="45">
        <f t="shared" si="96"/>
        <v>7395</v>
      </c>
    </row>
    <row r="185" spans="1:18" x14ac:dyDescent="0.25">
      <c r="A185" s="118">
        <v>5</v>
      </c>
      <c r="B185" s="122" t="s">
        <v>157</v>
      </c>
      <c r="C185" s="96">
        <v>1039</v>
      </c>
      <c r="D185" s="96">
        <v>7186</v>
      </c>
      <c r="E185" s="156">
        <f>IF(OR(C185=0,D185=0),0,C185/D185*100)</f>
        <v>14.458669635402172</v>
      </c>
      <c r="F185" s="96">
        <v>0</v>
      </c>
      <c r="G185" s="96">
        <v>6707</v>
      </c>
      <c r="H185" s="49">
        <f t="shared" si="93"/>
        <v>0</v>
      </c>
      <c r="I185" s="96">
        <v>1039</v>
      </c>
      <c r="J185" s="96">
        <v>7186</v>
      </c>
      <c r="K185" s="49">
        <f t="shared" si="94"/>
        <v>14.458669635402172</v>
      </c>
      <c r="L185" s="96">
        <v>0</v>
      </c>
      <c r="M185" s="96">
        <v>0</v>
      </c>
      <c r="N185" s="49">
        <f t="shared" si="95"/>
        <v>0</v>
      </c>
      <c r="O185" s="76">
        <v>30</v>
      </c>
      <c r="P185" s="76">
        <v>15.8</v>
      </c>
      <c r="Q185" s="76">
        <v>30</v>
      </c>
      <c r="R185" s="45">
        <f t="shared" si="96"/>
        <v>474</v>
      </c>
    </row>
    <row r="186" spans="1:18" x14ac:dyDescent="0.25">
      <c r="A186" s="118">
        <v>6</v>
      </c>
      <c r="B186" s="120" t="s">
        <v>158</v>
      </c>
      <c r="C186" s="96">
        <v>18634</v>
      </c>
      <c r="D186" s="96">
        <v>20295</v>
      </c>
      <c r="E186" s="156">
        <f t="shared" si="92"/>
        <v>91.815718157181564</v>
      </c>
      <c r="F186" s="96">
        <v>5608</v>
      </c>
      <c r="G186" s="96">
        <v>0</v>
      </c>
      <c r="H186" s="156">
        <f t="shared" si="93"/>
        <v>0</v>
      </c>
      <c r="I186" s="96">
        <v>18634</v>
      </c>
      <c r="J186" s="96">
        <v>20295</v>
      </c>
      <c r="K186" s="156">
        <f t="shared" si="94"/>
        <v>91.815718157181564</v>
      </c>
      <c r="L186" s="96">
        <v>0</v>
      </c>
      <c r="M186" s="96">
        <v>0</v>
      </c>
      <c r="N186" s="49">
        <f t="shared" si="95"/>
        <v>0</v>
      </c>
      <c r="O186" s="76">
        <v>15</v>
      </c>
      <c r="P186" s="76">
        <v>34.1</v>
      </c>
      <c r="Q186" s="76">
        <v>15</v>
      </c>
      <c r="R186" s="45">
        <f t="shared" si="96"/>
        <v>511.5</v>
      </c>
    </row>
    <row r="187" spans="1:18" x14ac:dyDescent="0.25">
      <c r="A187" s="245">
        <v>7</v>
      </c>
      <c r="B187" s="246" t="s">
        <v>159</v>
      </c>
      <c r="C187" s="96"/>
      <c r="D187" s="96"/>
      <c r="E187" s="248"/>
      <c r="F187" s="96"/>
      <c r="G187" s="96"/>
      <c r="H187" s="248"/>
      <c r="I187" s="96"/>
      <c r="J187" s="96"/>
      <c r="K187" s="248"/>
      <c r="L187" s="96"/>
      <c r="M187" s="96"/>
      <c r="N187" s="249"/>
      <c r="O187" s="251"/>
      <c r="P187" s="251"/>
      <c r="Q187" s="251"/>
      <c r="R187" s="250">
        <f t="shared" si="96"/>
        <v>0</v>
      </c>
    </row>
    <row r="188" spans="1:18" x14ac:dyDescent="0.25">
      <c r="A188" s="118">
        <v>8</v>
      </c>
      <c r="B188" s="120" t="s">
        <v>160</v>
      </c>
      <c r="C188" s="96">
        <v>11170</v>
      </c>
      <c r="D188" s="96">
        <v>9145</v>
      </c>
      <c r="E188" s="156">
        <f t="shared" si="92"/>
        <v>122.14324767632586</v>
      </c>
      <c r="F188" s="96">
        <v>1010</v>
      </c>
      <c r="G188" s="96">
        <v>1025</v>
      </c>
      <c r="H188" s="156">
        <f t="shared" si="93"/>
        <v>98.536585365853654</v>
      </c>
      <c r="I188" s="96">
        <v>0</v>
      </c>
      <c r="J188" s="96">
        <v>0</v>
      </c>
      <c r="K188" s="49">
        <f t="shared" si="94"/>
        <v>0</v>
      </c>
      <c r="L188" s="96">
        <v>0</v>
      </c>
      <c r="M188" s="96">
        <v>0</v>
      </c>
      <c r="N188" s="49">
        <f t="shared" si="95"/>
        <v>0</v>
      </c>
      <c r="O188" s="76">
        <v>12</v>
      </c>
      <c r="P188" s="76">
        <v>69.5</v>
      </c>
      <c r="Q188" s="76">
        <v>12</v>
      </c>
      <c r="R188" s="45">
        <f t="shared" si="96"/>
        <v>834</v>
      </c>
    </row>
    <row r="189" spans="1:18" x14ac:dyDescent="0.25">
      <c r="A189" s="118">
        <v>9</v>
      </c>
      <c r="B189" s="120" t="s">
        <v>161</v>
      </c>
      <c r="C189" s="96">
        <v>52430</v>
      </c>
      <c r="D189" s="96">
        <v>85600</v>
      </c>
      <c r="E189" s="156">
        <f t="shared" si="92"/>
        <v>61.250000000000007</v>
      </c>
      <c r="F189" s="96">
        <v>4000</v>
      </c>
      <c r="G189" s="96">
        <v>10700</v>
      </c>
      <c r="H189" s="156">
        <f t="shared" si="93"/>
        <v>37.383177570093459</v>
      </c>
      <c r="I189" s="96">
        <v>31254</v>
      </c>
      <c r="J189" s="96">
        <v>88475</v>
      </c>
      <c r="K189" s="156">
        <f t="shared" si="94"/>
        <v>35.325233116699636</v>
      </c>
      <c r="L189" s="96">
        <v>0</v>
      </c>
      <c r="M189" s="96">
        <v>0</v>
      </c>
      <c r="N189" s="49">
        <f t="shared" si="95"/>
        <v>0</v>
      </c>
      <c r="O189" s="76">
        <v>23</v>
      </c>
      <c r="P189" s="76">
        <v>79.8</v>
      </c>
      <c r="Q189" s="76">
        <v>23</v>
      </c>
      <c r="R189" s="45">
        <f t="shared" si="96"/>
        <v>1835.3999999999999</v>
      </c>
    </row>
    <row r="190" spans="1:18" x14ac:dyDescent="0.25">
      <c r="A190" s="118">
        <v>10</v>
      </c>
      <c r="B190" s="120" t="s">
        <v>162</v>
      </c>
      <c r="C190" s="96">
        <v>20720</v>
      </c>
      <c r="D190" s="96">
        <v>22264</v>
      </c>
      <c r="E190" s="156">
        <f t="shared" si="92"/>
        <v>93.065037729069346</v>
      </c>
      <c r="F190" s="96">
        <v>1748</v>
      </c>
      <c r="G190" s="96">
        <v>1313</v>
      </c>
      <c r="H190" s="156">
        <f t="shared" si="93"/>
        <v>133.13023610053312</v>
      </c>
      <c r="I190" s="96">
        <v>20720</v>
      </c>
      <c r="J190" s="96">
        <v>22264</v>
      </c>
      <c r="K190" s="49">
        <f t="shared" si="94"/>
        <v>93.065037729069346</v>
      </c>
      <c r="L190" s="96">
        <v>0</v>
      </c>
      <c r="M190" s="96">
        <v>0</v>
      </c>
      <c r="N190" s="49">
        <f t="shared" si="95"/>
        <v>0</v>
      </c>
      <c r="O190" s="76">
        <v>23</v>
      </c>
      <c r="P190" s="76">
        <v>52.4</v>
      </c>
      <c r="Q190" s="76">
        <v>23</v>
      </c>
      <c r="R190" s="74">
        <f t="shared" si="96"/>
        <v>1205.2</v>
      </c>
    </row>
    <row r="191" spans="1:18" x14ac:dyDescent="0.25">
      <c r="A191" s="118">
        <v>11</v>
      </c>
      <c r="B191" s="123" t="s">
        <v>163</v>
      </c>
      <c r="C191" s="96">
        <v>6756</v>
      </c>
      <c r="D191" s="96">
        <v>7045</v>
      </c>
      <c r="E191" s="156">
        <f t="shared" si="92"/>
        <v>95.89779985805535</v>
      </c>
      <c r="F191" s="96">
        <v>637</v>
      </c>
      <c r="G191" s="96">
        <v>780</v>
      </c>
      <c r="H191" s="156">
        <f t="shared" si="93"/>
        <v>81.666666666666671</v>
      </c>
      <c r="I191" s="96">
        <v>5897</v>
      </c>
      <c r="J191" s="96">
        <v>6753</v>
      </c>
      <c r="K191" s="156">
        <f t="shared" si="94"/>
        <v>87.324152228639122</v>
      </c>
      <c r="L191" s="96">
        <v>0</v>
      </c>
      <c r="M191" s="96">
        <v>0</v>
      </c>
      <c r="N191" s="49">
        <f t="shared" si="95"/>
        <v>0</v>
      </c>
      <c r="O191" s="76">
        <v>26</v>
      </c>
      <c r="P191" s="96">
        <v>54</v>
      </c>
      <c r="Q191" s="76">
        <v>26</v>
      </c>
      <c r="R191" s="45">
        <f t="shared" si="96"/>
        <v>1404</v>
      </c>
    </row>
    <row r="192" spans="1:18" x14ac:dyDescent="0.25">
      <c r="A192" s="315" t="s">
        <v>173</v>
      </c>
      <c r="B192" s="315" t="s">
        <v>139</v>
      </c>
      <c r="C192" s="124">
        <f>SUM(C181:C191)</f>
        <v>1111456</v>
      </c>
      <c r="D192" s="124">
        <f>SUM(D181:D191)</f>
        <v>1350119.7</v>
      </c>
      <c r="E192" s="57">
        <f t="shared" ref="E192" si="97">C192/D192*100</f>
        <v>82.322774788042878</v>
      </c>
      <c r="F192" s="124">
        <f>SUM(F181:F191)</f>
        <v>101013</v>
      </c>
      <c r="G192" s="124">
        <f>SUM(G181:G191)</f>
        <v>88526</v>
      </c>
      <c r="H192" s="57">
        <f t="shared" ref="H192" si="98">F192/G192*100</f>
        <v>114.10546054266544</v>
      </c>
      <c r="I192" s="124">
        <f>SUM(I181:I191)</f>
        <v>760515.1</v>
      </c>
      <c r="J192" s="124">
        <f>SUM(J181:J191)</f>
        <v>1173653.3</v>
      </c>
      <c r="K192" s="57">
        <f>I192/J192*100</f>
        <v>64.798957238905217</v>
      </c>
      <c r="L192" s="124">
        <f>SUM(L181:L191)</f>
        <v>106796</v>
      </c>
      <c r="M192" s="124">
        <f>SUM(M181:M191)</f>
        <v>371225</v>
      </c>
      <c r="N192" s="57">
        <f>L192/M192*100</f>
        <v>28.768536601791368</v>
      </c>
      <c r="O192" s="124">
        <f>SUM(O181:O191)</f>
        <v>579</v>
      </c>
      <c r="P192" s="57">
        <f>R192/O192</f>
        <v>168.34455958549219</v>
      </c>
      <c r="Q192" s="124">
        <f>SUM(Q181:Q191)</f>
        <v>579</v>
      </c>
      <c r="R192" s="59">
        <f>SUM(R181:R191)</f>
        <v>97471.499999999985</v>
      </c>
    </row>
    <row r="193" spans="1:18" x14ac:dyDescent="0.25">
      <c r="A193" s="125"/>
      <c r="B193" s="37"/>
      <c r="C193" s="125"/>
      <c r="D193" s="125"/>
      <c r="E193" s="125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26"/>
    </row>
    <row r="194" spans="1:18" x14ac:dyDescent="0.25">
      <c r="A194" s="323" t="s">
        <v>22</v>
      </c>
      <c r="B194" s="324"/>
      <c r="C194" s="37">
        <v>3</v>
      </c>
      <c r="D194" s="37">
        <v>4</v>
      </c>
      <c r="E194" s="271">
        <v>5</v>
      </c>
      <c r="F194" s="37">
        <v>6</v>
      </c>
      <c r="G194" s="37">
        <v>7</v>
      </c>
      <c r="H194" s="37">
        <v>8</v>
      </c>
      <c r="I194" s="37">
        <v>9</v>
      </c>
      <c r="J194" s="37">
        <v>10</v>
      </c>
      <c r="K194" s="37">
        <v>11</v>
      </c>
      <c r="L194" s="37">
        <v>12</v>
      </c>
      <c r="M194" s="37">
        <v>13</v>
      </c>
      <c r="N194" s="37">
        <v>14</v>
      </c>
      <c r="O194" s="37">
        <v>15</v>
      </c>
      <c r="P194" s="271">
        <v>16</v>
      </c>
      <c r="Q194" s="37">
        <v>15</v>
      </c>
      <c r="R194" s="23"/>
    </row>
    <row r="195" spans="1:18" x14ac:dyDescent="0.25">
      <c r="A195" s="96">
        <v>1</v>
      </c>
      <c r="B195" s="127" t="s">
        <v>164</v>
      </c>
      <c r="C195" s="49">
        <v>97146</v>
      </c>
      <c r="D195" s="49">
        <v>108912</v>
      </c>
      <c r="E195" s="119">
        <f t="shared" ref="E195:E196" si="99">C195/D195*100</f>
        <v>89.196782723666814</v>
      </c>
      <c r="F195" s="49">
        <v>8944</v>
      </c>
      <c r="G195" s="49">
        <v>6010</v>
      </c>
      <c r="H195" s="119">
        <f t="shared" ref="H195:H196" si="100">F195/G195*100</f>
        <v>148.81863560732114</v>
      </c>
      <c r="I195" s="49">
        <v>97146</v>
      </c>
      <c r="J195" s="49">
        <v>108912</v>
      </c>
      <c r="K195" s="97">
        <f t="shared" ref="K195:K196" si="101">IF(OR(I195=0,J195=0),0,I195/J195*100)</f>
        <v>89.196782723666814</v>
      </c>
      <c r="L195" s="49">
        <v>97146</v>
      </c>
      <c r="M195" s="49">
        <v>108912</v>
      </c>
      <c r="N195" s="47">
        <f t="shared" ref="N195:N196" si="102">L195/M195*100</f>
        <v>89.196782723666814</v>
      </c>
      <c r="O195" s="34">
        <v>49</v>
      </c>
      <c r="P195" s="96">
        <v>45</v>
      </c>
      <c r="Q195" s="34">
        <v>49</v>
      </c>
      <c r="R195" s="74">
        <f t="shared" ref="R195:R196" si="103">O195*P195</f>
        <v>2205</v>
      </c>
    </row>
    <row r="196" spans="1:18" x14ac:dyDescent="0.25">
      <c r="A196" s="96">
        <v>2</v>
      </c>
      <c r="B196" s="127" t="s">
        <v>165</v>
      </c>
      <c r="C196" s="49">
        <v>301113</v>
      </c>
      <c r="D196" s="49">
        <v>441746</v>
      </c>
      <c r="E196" s="119">
        <f t="shared" si="99"/>
        <v>68.164284453056737</v>
      </c>
      <c r="F196" s="49">
        <v>31895</v>
      </c>
      <c r="G196" s="49">
        <v>92788</v>
      </c>
      <c r="H196" s="119">
        <f t="shared" si="100"/>
        <v>34.374056990128032</v>
      </c>
      <c r="I196" s="49">
        <v>299147</v>
      </c>
      <c r="J196" s="49">
        <v>417637</v>
      </c>
      <c r="K196" s="97">
        <f t="shared" si="101"/>
        <v>71.628471615302274</v>
      </c>
      <c r="L196" s="49">
        <v>6831</v>
      </c>
      <c r="M196" s="49">
        <v>7811</v>
      </c>
      <c r="N196" s="47">
        <f t="shared" si="102"/>
        <v>87.45359108948918</v>
      </c>
      <c r="O196" s="34">
        <v>187</v>
      </c>
      <c r="P196" s="96">
        <v>60</v>
      </c>
      <c r="Q196" s="34">
        <v>187</v>
      </c>
      <c r="R196" s="74">
        <f t="shared" si="103"/>
        <v>11220</v>
      </c>
    </row>
    <row r="197" spans="1:18" x14ac:dyDescent="0.25">
      <c r="A197" s="315" t="s">
        <v>173</v>
      </c>
      <c r="B197" s="315" t="s">
        <v>139</v>
      </c>
      <c r="C197" s="56">
        <f>SUM(C195:C196)</f>
        <v>398259</v>
      </c>
      <c r="D197" s="56">
        <f>SUM(D195:D196)</f>
        <v>550658</v>
      </c>
      <c r="E197" s="57">
        <f>C197/D197*100</f>
        <v>72.324201228348628</v>
      </c>
      <c r="F197" s="56">
        <f>SUM(F195:F196)</f>
        <v>40839</v>
      </c>
      <c r="G197" s="56">
        <f>SUM(G195:G196)</f>
        <v>98798</v>
      </c>
      <c r="H197" s="57">
        <f>F197/G197*100</f>
        <v>41.335857001153869</v>
      </c>
      <c r="I197" s="57">
        <f>SUM(I195:I196)</f>
        <v>396293</v>
      </c>
      <c r="J197" s="56">
        <f>SUM(J195:J196)</f>
        <v>526549</v>
      </c>
      <c r="K197" s="57">
        <f>I197/J197*100</f>
        <v>75.262321265447284</v>
      </c>
      <c r="L197" s="58">
        <f>SUM(L195:L196)</f>
        <v>103977</v>
      </c>
      <c r="M197" s="56">
        <f>SUM(M195:M196)</f>
        <v>116723</v>
      </c>
      <c r="N197" s="57">
        <f>L197/M197*100</f>
        <v>89.080129880143588</v>
      </c>
      <c r="O197" s="58">
        <f>SUM(O195:O196)</f>
        <v>236</v>
      </c>
      <c r="P197" s="58">
        <f>R197/O197</f>
        <v>56.885593220338983</v>
      </c>
      <c r="Q197" s="58">
        <f>SUM(Q195:Q196)</f>
        <v>236</v>
      </c>
      <c r="R197" s="59">
        <f>SUM(R195:R196)</f>
        <v>13425</v>
      </c>
    </row>
    <row r="198" spans="1:18" x14ac:dyDescent="0.25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6"/>
    </row>
  </sheetData>
  <mergeCells count="54">
    <mergeCell ref="A1:Q2"/>
    <mergeCell ref="A3:A8"/>
    <mergeCell ref="B3:B8"/>
    <mergeCell ref="C3:H3"/>
    <mergeCell ref="I3:K3"/>
    <mergeCell ref="L3:N3"/>
    <mergeCell ref="O3:O8"/>
    <mergeCell ref="P3:P8"/>
    <mergeCell ref="Q3:Q8"/>
    <mergeCell ref="C4:C8"/>
    <mergeCell ref="A30:Q32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A68:B68"/>
    <mergeCell ref="A33:A34"/>
    <mergeCell ref="B33:B34"/>
    <mergeCell ref="C33:G33"/>
    <mergeCell ref="H33:K33"/>
    <mergeCell ref="Q33:Q34"/>
    <mergeCell ref="A36:B36"/>
    <mergeCell ref="A54:B54"/>
    <mergeCell ref="A56:B56"/>
    <mergeCell ref="A66:B66"/>
    <mergeCell ref="O33:O34"/>
    <mergeCell ref="P33:P34"/>
    <mergeCell ref="A159:B159"/>
    <mergeCell ref="A77:B77"/>
    <mergeCell ref="A78:B78"/>
    <mergeCell ref="A80:B80"/>
    <mergeCell ref="A92:B92"/>
    <mergeCell ref="A94:B94"/>
    <mergeCell ref="A120:B120"/>
    <mergeCell ref="A131:B131"/>
    <mergeCell ref="A133:B133"/>
    <mergeCell ref="A139:B139"/>
    <mergeCell ref="A149:B149"/>
    <mergeCell ref="A150:B150"/>
    <mergeCell ref="A194:B194"/>
    <mergeCell ref="A197:B197"/>
    <mergeCell ref="A161:B161"/>
    <mergeCell ref="A165:B165"/>
    <mergeCell ref="A167:B167"/>
    <mergeCell ref="A178:B178"/>
    <mergeCell ref="A180:B180"/>
    <mergeCell ref="A192:B192"/>
  </mergeCells>
  <printOptions horizontalCentered="1"/>
  <pageMargins left="0.25" right="0.25" top="0.25" bottom="0.25" header="0" footer="0"/>
  <pageSetup paperSize="9" scale="7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6"/>
  <sheetViews>
    <sheetView topLeftCell="A35" workbookViewId="0">
      <selection activeCell="C52" sqref="C52"/>
    </sheetView>
  </sheetViews>
  <sheetFormatPr defaultRowHeight="15" x14ac:dyDescent="0.25"/>
  <cols>
    <col min="1" max="1" width="4.5703125" customWidth="1"/>
    <col min="2" max="2" width="22.7109375" customWidth="1"/>
    <col min="3" max="3" width="11.5703125" customWidth="1"/>
    <col min="4" max="4" width="12.140625" customWidth="1"/>
    <col min="5" max="5" width="6.42578125" customWidth="1"/>
    <col min="6" max="6" width="10.42578125" customWidth="1"/>
    <col min="7" max="7" width="10.5703125" customWidth="1"/>
    <col min="8" max="8" width="6.7109375" customWidth="1"/>
    <col min="9" max="9" width="11.5703125" customWidth="1"/>
    <col min="10" max="10" width="11.42578125" customWidth="1"/>
    <col min="11" max="11" width="6.28515625" customWidth="1"/>
    <col min="12" max="12" width="11.28515625" customWidth="1"/>
    <col min="13" max="13" width="12.42578125" customWidth="1"/>
    <col min="14" max="14" width="6" customWidth="1"/>
    <col min="15" max="15" width="8.28515625" customWidth="1"/>
    <col min="16" max="16" width="6.85546875" customWidth="1"/>
    <col min="17" max="17" width="7.5703125" customWidth="1"/>
  </cols>
  <sheetData>
    <row r="1" spans="1:18" x14ac:dyDescent="0.25">
      <c r="A1" s="337" t="s">
        <v>225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</row>
    <row r="2" spans="1:18" x14ac:dyDescent="0.25">
      <c r="A2" s="338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1"/>
    </row>
    <row r="3" spans="1:18" x14ac:dyDescent="0.25">
      <c r="A3" s="339" t="s">
        <v>0</v>
      </c>
      <c r="B3" s="340" t="s">
        <v>1</v>
      </c>
      <c r="C3" s="341" t="s">
        <v>172</v>
      </c>
      <c r="D3" s="341"/>
      <c r="E3" s="341"/>
      <c r="F3" s="341"/>
      <c r="G3" s="341"/>
      <c r="H3" s="341"/>
      <c r="I3" s="342" t="s">
        <v>2</v>
      </c>
      <c r="J3" s="343"/>
      <c r="K3" s="344"/>
      <c r="L3" s="345" t="s">
        <v>3</v>
      </c>
      <c r="M3" s="346"/>
      <c r="N3" s="347"/>
      <c r="O3" s="340" t="s">
        <v>4</v>
      </c>
      <c r="P3" s="348" t="s">
        <v>5</v>
      </c>
      <c r="Q3" s="340" t="s">
        <v>6</v>
      </c>
      <c r="R3" s="2"/>
    </row>
    <row r="4" spans="1:18" x14ac:dyDescent="0.25">
      <c r="A4" s="339"/>
      <c r="B4" s="340"/>
      <c r="C4" s="340" t="s">
        <v>7</v>
      </c>
      <c r="D4" s="340" t="s">
        <v>8</v>
      </c>
      <c r="E4" s="349" t="s">
        <v>9</v>
      </c>
      <c r="F4" s="340" t="s">
        <v>10</v>
      </c>
      <c r="G4" s="340" t="s">
        <v>8</v>
      </c>
      <c r="H4" s="349" t="s">
        <v>9</v>
      </c>
      <c r="I4" s="340" t="s">
        <v>11</v>
      </c>
      <c r="J4" s="340" t="s">
        <v>8</v>
      </c>
      <c r="K4" s="349" t="s">
        <v>9</v>
      </c>
      <c r="L4" s="340" t="s">
        <v>11</v>
      </c>
      <c r="M4" s="340" t="s">
        <v>8</v>
      </c>
      <c r="N4" s="349" t="s">
        <v>9</v>
      </c>
      <c r="O4" s="340"/>
      <c r="P4" s="348"/>
      <c r="Q4" s="340"/>
      <c r="R4" s="2"/>
    </row>
    <row r="5" spans="1:18" x14ac:dyDescent="0.25">
      <c r="A5" s="339"/>
      <c r="B5" s="340"/>
      <c r="C5" s="340"/>
      <c r="D5" s="340"/>
      <c r="E5" s="349"/>
      <c r="F5" s="340"/>
      <c r="G5" s="340"/>
      <c r="H5" s="349"/>
      <c r="I5" s="340"/>
      <c r="J5" s="340"/>
      <c r="K5" s="349"/>
      <c r="L5" s="340"/>
      <c r="M5" s="340"/>
      <c r="N5" s="349"/>
      <c r="O5" s="340"/>
      <c r="P5" s="348"/>
      <c r="Q5" s="340"/>
      <c r="R5" s="2"/>
    </row>
    <row r="6" spans="1:18" x14ac:dyDescent="0.25">
      <c r="A6" s="339"/>
      <c r="B6" s="340"/>
      <c r="C6" s="340"/>
      <c r="D6" s="340"/>
      <c r="E6" s="349"/>
      <c r="F6" s="340"/>
      <c r="G6" s="340"/>
      <c r="H6" s="349"/>
      <c r="I6" s="340"/>
      <c r="J6" s="340"/>
      <c r="K6" s="349"/>
      <c r="L6" s="340"/>
      <c r="M6" s="340"/>
      <c r="N6" s="349"/>
      <c r="O6" s="340"/>
      <c r="P6" s="348"/>
      <c r="Q6" s="340"/>
      <c r="R6" s="2"/>
    </row>
    <row r="7" spans="1:18" x14ac:dyDescent="0.25">
      <c r="A7" s="339"/>
      <c r="B7" s="340"/>
      <c r="C7" s="340"/>
      <c r="D7" s="340"/>
      <c r="E7" s="349"/>
      <c r="F7" s="340"/>
      <c r="G7" s="340"/>
      <c r="H7" s="349"/>
      <c r="I7" s="340"/>
      <c r="J7" s="340"/>
      <c r="K7" s="349"/>
      <c r="L7" s="340"/>
      <c r="M7" s="340"/>
      <c r="N7" s="349"/>
      <c r="O7" s="340"/>
      <c r="P7" s="348"/>
      <c r="Q7" s="340"/>
      <c r="R7" s="2"/>
    </row>
    <row r="8" spans="1:18" x14ac:dyDescent="0.25">
      <c r="A8" s="339"/>
      <c r="B8" s="340"/>
      <c r="C8" s="340"/>
      <c r="D8" s="340"/>
      <c r="E8" s="349"/>
      <c r="F8" s="340"/>
      <c r="G8" s="340"/>
      <c r="H8" s="349"/>
      <c r="I8" s="340"/>
      <c r="J8" s="340"/>
      <c r="K8" s="349"/>
      <c r="L8" s="340"/>
      <c r="M8" s="340"/>
      <c r="N8" s="349"/>
      <c r="O8" s="340"/>
      <c r="P8" s="348"/>
      <c r="Q8" s="340"/>
      <c r="R8" s="2"/>
    </row>
    <row r="9" spans="1:18" x14ac:dyDescent="0.25">
      <c r="A9" s="274">
        <v>1</v>
      </c>
      <c r="B9" s="274">
        <v>2</v>
      </c>
      <c r="C9" s="275">
        <v>3</v>
      </c>
      <c r="D9" s="275">
        <v>4</v>
      </c>
      <c r="E9" s="5">
        <v>5</v>
      </c>
      <c r="F9" s="275">
        <v>6</v>
      </c>
      <c r="G9" s="275">
        <v>7</v>
      </c>
      <c r="H9" s="275">
        <v>8</v>
      </c>
      <c r="I9" s="275">
        <v>11</v>
      </c>
      <c r="J9" s="275">
        <v>12</v>
      </c>
      <c r="K9" s="275">
        <v>13</v>
      </c>
      <c r="L9" s="275">
        <v>17</v>
      </c>
      <c r="M9" s="275">
        <v>18</v>
      </c>
      <c r="N9" s="275">
        <v>19</v>
      </c>
      <c r="O9" s="275">
        <v>20</v>
      </c>
      <c r="P9" s="5">
        <v>21</v>
      </c>
      <c r="Q9" s="275">
        <v>22</v>
      </c>
      <c r="R9" s="6"/>
    </row>
    <row r="10" spans="1:18" ht="28.5" customHeight="1" x14ac:dyDescent="0.25">
      <c r="A10" s="7">
        <v>1</v>
      </c>
      <c r="B10" s="309" t="s">
        <v>232</v>
      </c>
      <c r="C10" s="5">
        <f t="shared" ref="C10:P10" si="0">C139</f>
        <v>178508469</v>
      </c>
      <c r="D10" s="5">
        <f t="shared" si="0"/>
        <v>158839008</v>
      </c>
      <c r="E10" s="9">
        <f t="shared" si="0"/>
        <v>112.38326859860518</v>
      </c>
      <c r="F10" s="5">
        <f t="shared" si="0"/>
        <v>15484993</v>
      </c>
      <c r="G10" s="10">
        <f t="shared" si="0"/>
        <v>13206762</v>
      </c>
      <c r="H10" s="11">
        <f t="shared" si="0"/>
        <v>117.25048880263004</v>
      </c>
      <c r="I10" s="10">
        <f t="shared" si="0"/>
        <v>151666354</v>
      </c>
      <c r="J10" s="10">
        <f t="shared" si="0"/>
        <v>148981698</v>
      </c>
      <c r="K10" s="11">
        <f t="shared" si="0"/>
        <v>101.80200389446495</v>
      </c>
      <c r="L10" s="5">
        <f t="shared" si="0"/>
        <v>85298751</v>
      </c>
      <c r="M10" s="5">
        <f t="shared" si="0"/>
        <v>98607073</v>
      </c>
      <c r="N10" s="9">
        <f t="shared" si="0"/>
        <v>86.503684172838192</v>
      </c>
      <c r="O10" s="5">
        <f t="shared" si="0"/>
        <v>6077</v>
      </c>
      <c r="P10" s="9">
        <f t="shared" si="0"/>
        <v>175.85107783445778</v>
      </c>
      <c r="Q10" s="5">
        <f>Q139</f>
        <v>6057</v>
      </c>
      <c r="R10" s="12">
        <f t="shared" ref="R10:R22" si="1">O10*P10</f>
        <v>1068647</v>
      </c>
    </row>
    <row r="11" spans="1:18" ht="33.75" customHeight="1" x14ac:dyDescent="0.25">
      <c r="A11" s="7"/>
      <c r="B11" s="309" t="s">
        <v>210</v>
      </c>
      <c r="C11" s="5">
        <f>C149</f>
        <v>160162997</v>
      </c>
      <c r="D11" s="5">
        <f>D149</f>
        <v>153808030</v>
      </c>
      <c r="E11" s="9">
        <f t="shared" ref="E11:Q11" si="2">E149</f>
        <v>104.13175241890818</v>
      </c>
      <c r="F11" s="5">
        <f t="shared" si="2"/>
        <v>13663278</v>
      </c>
      <c r="G11" s="5">
        <f t="shared" si="2"/>
        <v>13302031</v>
      </c>
      <c r="H11" s="9">
        <f t="shared" si="2"/>
        <v>102.7157281470777</v>
      </c>
      <c r="I11" s="5">
        <f t="shared" si="2"/>
        <v>159845997</v>
      </c>
      <c r="J11" s="5">
        <f t="shared" si="2"/>
        <v>152576685</v>
      </c>
      <c r="K11" s="9">
        <f t="shared" si="2"/>
        <v>104.76436619395683</v>
      </c>
      <c r="L11" s="5">
        <f t="shared" si="2"/>
        <v>155258407</v>
      </c>
      <c r="M11" s="5">
        <f t="shared" si="2"/>
        <v>149608424</v>
      </c>
      <c r="N11" s="9">
        <f t="shared" si="2"/>
        <v>103.7765139481718</v>
      </c>
      <c r="O11" s="5">
        <f t="shared" si="2"/>
        <v>3622</v>
      </c>
      <c r="P11" s="5">
        <f t="shared" si="2"/>
        <v>126.77967973495306</v>
      </c>
      <c r="Q11" s="5">
        <f t="shared" si="2"/>
        <v>3585</v>
      </c>
      <c r="R11" s="12">
        <f t="shared" si="1"/>
        <v>459196</v>
      </c>
    </row>
    <row r="12" spans="1:18" ht="30.75" customHeight="1" x14ac:dyDescent="0.25">
      <c r="A12" s="7">
        <v>2</v>
      </c>
      <c r="B12" s="309" t="s">
        <v>212</v>
      </c>
      <c r="C12" s="5">
        <f t="shared" ref="C12:P12" si="3">C159</f>
        <v>11737973</v>
      </c>
      <c r="D12" s="5">
        <f t="shared" si="3"/>
        <v>13940022</v>
      </c>
      <c r="E12" s="9">
        <f t="shared" si="3"/>
        <v>84.203403696206507</v>
      </c>
      <c r="F12" s="5">
        <f t="shared" si="3"/>
        <v>1047867</v>
      </c>
      <c r="G12" s="10">
        <f t="shared" si="3"/>
        <v>983107</v>
      </c>
      <c r="H12" s="11">
        <f t="shared" si="3"/>
        <v>106.58727890249993</v>
      </c>
      <c r="I12" s="10">
        <f t="shared" si="3"/>
        <v>12126185</v>
      </c>
      <c r="J12" s="10">
        <f t="shared" si="3"/>
        <v>13946967</v>
      </c>
      <c r="K12" s="11">
        <f t="shared" si="3"/>
        <v>86.944960864967996</v>
      </c>
      <c r="L12" s="5">
        <f t="shared" si="3"/>
        <v>3938098</v>
      </c>
      <c r="M12" s="5">
        <f t="shared" si="3"/>
        <v>3343162</v>
      </c>
      <c r="N12" s="9">
        <f t="shared" si="3"/>
        <v>117.79560787063265</v>
      </c>
      <c r="O12" s="5">
        <f t="shared" si="3"/>
        <v>1331</v>
      </c>
      <c r="P12" s="9">
        <f t="shared" si="3"/>
        <v>82.679188580015023</v>
      </c>
      <c r="Q12" s="5">
        <f>Q159</f>
        <v>1309</v>
      </c>
      <c r="R12" s="12">
        <f t="shared" si="1"/>
        <v>110046</v>
      </c>
    </row>
    <row r="13" spans="1:18" ht="39.75" customHeight="1" x14ac:dyDescent="0.25">
      <c r="A13" s="7">
        <v>3</v>
      </c>
      <c r="B13" s="309" t="s">
        <v>180</v>
      </c>
      <c r="C13" s="5">
        <f t="shared" ref="C13:P13" si="4">C178</f>
        <v>11859476</v>
      </c>
      <c r="D13" s="5">
        <f t="shared" si="4"/>
        <v>14303896</v>
      </c>
      <c r="E13" s="9">
        <f t="shared" si="4"/>
        <v>82.910809754209623</v>
      </c>
      <c r="F13" s="5">
        <f t="shared" si="4"/>
        <v>1513732</v>
      </c>
      <c r="G13" s="10">
        <f t="shared" si="4"/>
        <v>569680</v>
      </c>
      <c r="H13" s="11">
        <f t="shared" si="4"/>
        <v>265.71619154613114</v>
      </c>
      <c r="I13" s="10">
        <f t="shared" si="4"/>
        <v>12115193</v>
      </c>
      <c r="J13" s="10">
        <f t="shared" si="4"/>
        <v>14575157</v>
      </c>
      <c r="K13" s="11">
        <f t="shared" si="4"/>
        <v>83.122212680110408</v>
      </c>
      <c r="L13" s="5">
        <f t="shared" si="4"/>
        <v>12058320</v>
      </c>
      <c r="M13" s="5">
        <f t="shared" si="4"/>
        <v>14546572</v>
      </c>
      <c r="N13" s="9">
        <f t="shared" si="4"/>
        <v>82.894581623766754</v>
      </c>
      <c r="O13" s="5">
        <f t="shared" si="4"/>
        <v>462</v>
      </c>
      <c r="P13" s="9">
        <f t="shared" si="4"/>
        <v>104.36796536796537</v>
      </c>
      <c r="Q13" s="5">
        <f>Q178</f>
        <v>521</v>
      </c>
      <c r="R13" s="12">
        <f t="shared" si="1"/>
        <v>48218</v>
      </c>
    </row>
    <row r="14" spans="1:18" ht="45" customHeight="1" x14ac:dyDescent="0.25">
      <c r="A14" s="7">
        <v>4</v>
      </c>
      <c r="B14" s="309" t="s">
        <v>231</v>
      </c>
      <c r="C14" s="5">
        <f t="shared" ref="C14:Q14" si="5">C54</f>
        <v>4216953</v>
      </c>
      <c r="D14" s="10">
        <f t="shared" si="5"/>
        <v>2723320</v>
      </c>
      <c r="E14" s="11">
        <f t="shared" si="5"/>
        <v>154.84603351791196</v>
      </c>
      <c r="F14" s="10">
        <f t="shared" si="5"/>
        <v>536494</v>
      </c>
      <c r="G14" s="10">
        <f t="shared" si="5"/>
        <v>193424</v>
      </c>
      <c r="H14" s="11">
        <f t="shared" si="5"/>
        <v>277.36682107701216</v>
      </c>
      <c r="I14" s="10">
        <f t="shared" si="5"/>
        <v>3339597</v>
      </c>
      <c r="J14" s="10">
        <f t="shared" si="5"/>
        <v>2851777</v>
      </c>
      <c r="K14" s="11">
        <f t="shared" si="5"/>
        <v>117.10582559576012</v>
      </c>
      <c r="L14" s="10">
        <f t="shared" si="5"/>
        <v>1815550</v>
      </c>
      <c r="M14" s="10">
        <f t="shared" si="5"/>
        <v>1415820</v>
      </c>
      <c r="N14" s="11">
        <f t="shared" si="5"/>
        <v>128.23310872851067</v>
      </c>
      <c r="O14" s="10">
        <f t="shared" si="5"/>
        <v>906</v>
      </c>
      <c r="P14" s="11">
        <f t="shared" si="5"/>
        <v>92.007726269315668</v>
      </c>
      <c r="Q14" s="10">
        <f t="shared" si="5"/>
        <v>894</v>
      </c>
      <c r="R14" s="12">
        <f t="shared" si="1"/>
        <v>83359</v>
      </c>
    </row>
    <row r="15" spans="1:18" ht="34.5" customHeight="1" x14ac:dyDescent="0.25">
      <c r="A15" s="7">
        <v>5</v>
      </c>
      <c r="B15" s="309" t="s">
        <v>182</v>
      </c>
      <c r="C15" s="5">
        <f t="shared" ref="C15:Q15" si="6">C66</f>
        <v>1699595</v>
      </c>
      <c r="D15" s="10">
        <f t="shared" si="6"/>
        <v>1911441</v>
      </c>
      <c r="E15" s="11">
        <f t="shared" si="6"/>
        <v>88.91694799891809</v>
      </c>
      <c r="F15" s="10">
        <f t="shared" si="6"/>
        <v>112636</v>
      </c>
      <c r="G15" s="10">
        <f t="shared" si="6"/>
        <v>139790</v>
      </c>
      <c r="H15" s="11">
        <f t="shared" si="6"/>
        <v>80.57514843694112</v>
      </c>
      <c r="I15" s="10">
        <f t="shared" si="6"/>
        <v>1846737</v>
      </c>
      <c r="J15" s="10">
        <f t="shared" si="6"/>
        <v>1943991</v>
      </c>
      <c r="K15" s="11">
        <f t="shared" si="6"/>
        <v>94.99719906110677</v>
      </c>
      <c r="L15" s="10">
        <f t="shared" si="6"/>
        <v>1204362</v>
      </c>
      <c r="M15" s="10">
        <f t="shared" si="6"/>
        <v>1173899</v>
      </c>
      <c r="N15" s="11">
        <f t="shared" si="6"/>
        <v>102.59502734051227</v>
      </c>
      <c r="O15" s="10">
        <f t="shared" si="6"/>
        <v>511</v>
      </c>
      <c r="P15" s="11">
        <f t="shared" si="6"/>
        <v>75.935420743639924</v>
      </c>
      <c r="Q15" s="10">
        <f t="shared" si="6"/>
        <v>583</v>
      </c>
      <c r="R15" s="12">
        <f t="shared" si="1"/>
        <v>38803</v>
      </c>
    </row>
    <row r="16" spans="1:18" ht="36.75" customHeight="1" x14ac:dyDescent="0.25">
      <c r="A16" s="7">
        <v>6</v>
      </c>
      <c r="B16" s="309" t="s">
        <v>183</v>
      </c>
      <c r="C16" s="5">
        <f t="shared" ref="C16:Q16" si="7">C77</f>
        <v>1899066</v>
      </c>
      <c r="D16" s="10">
        <f t="shared" si="7"/>
        <v>1555641</v>
      </c>
      <c r="E16" s="11">
        <f t="shared" si="7"/>
        <v>122.07610881945128</v>
      </c>
      <c r="F16" s="10">
        <f t="shared" si="7"/>
        <v>136012</v>
      </c>
      <c r="G16" s="10">
        <f t="shared" si="7"/>
        <v>123408</v>
      </c>
      <c r="H16" s="11">
        <f t="shared" si="7"/>
        <v>110.21327628678854</v>
      </c>
      <c r="I16" s="10">
        <f t="shared" si="7"/>
        <v>2045045</v>
      </c>
      <c r="J16" s="10">
        <f t="shared" si="7"/>
        <v>1713005</v>
      </c>
      <c r="K16" s="11">
        <f t="shared" si="7"/>
        <v>119.38348107565359</v>
      </c>
      <c r="L16" s="10">
        <f t="shared" si="7"/>
        <v>1007325</v>
      </c>
      <c r="M16" s="10">
        <f t="shared" si="7"/>
        <v>665328</v>
      </c>
      <c r="N16" s="11">
        <f t="shared" si="7"/>
        <v>151.40276675564536</v>
      </c>
      <c r="O16" s="10">
        <f t="shared" si="7"/>
        <v>536</v>
      </c>
      <c r="P16" s="11">
        <f t="shared" si="7"/>
        <v>96.386194029850742</v>
      </c>
      <c r="Q16" s="10">
        <f t="shared" si="7"/>
        <v>558</v>
      </c>
      <c r="R16" s="12">
        <f t="shared" si="1"/>
        <v>51663</v>
      </c>
    </row>
    <row r="17" spans="1:18" ht="40.5" customHeight="1" x14ac:dyDescent="0.25">
      <c r="A17" s="7">
        <v>7</v>
      </c>
      <c r="B17" s="309" t="s">
        <v>184</v>
      </c>
      <c r="C17" s="5">
        <f t="shared" ref="C17:Q17" si="8">C92</f>
        <v>7852722</v>
      </c>
      <c r="D17" s="10">
        <f t="shared" si="8"/>
        <v>7386948</v>
      </c>
      <c r="E17" s="11">
        <f t="shared" si="8"/>
        <v>106.30536454297498</v>
      </c>
      <c r="F17" s="10">
        <f t="shared" si="8"/>
        <v>624388</v>
      </c>
      <c r="G17" s="10">
        <f t="shared" si="8"/>
        <v>607791</v>
      </c>
      <c r="H17" s="11">
        <f t="shared" si="8"/>
        <v>102.73070841786074</v>
      </c>
      <c r="I17" s="10">
        <f t="shared" si="8"/>
        <v>12164920</v>
      </c>
      <c r="J17" s="10">
        <f t="shared" si="8"/>
        <v>11019641</v>
      </c>
      <c r="K17" s="11">
        <f t="shared" si="8"/>
        <v>110.39306997387664</v>
      </c>
      <c r="L17" s="10">
        <f t="shared" si="8"/>
        <v>3235832</v>
      </c>
      <c r="M17" s="10">
        <f t="shared" si="8"/>
        <v>1712366</v>
      </c>
      <c r="N17" s="11">
        <f t="shared" si="8"/>
        <v>188.96847986937374</v>
      </c>
      <c r="O17" s="10">
        <f t="shared" si="8"/>
        <v>4164</v>
      </c>
      <c r="P17" s="11">
        <f t="shared" si="8"/>
        <v>113.33021133525456</v>
      </c>
      <c r="Q17" s="10">
        <f t="shared" si="8"/>
        <v>4088</v>
      </c>
      <c r="R17" s="12">
        <f t="shared" si="1"/>
        <v>471907</v>
      </c>
    </row>
    <row r="18" spans="1:18" ht="42.75" customHeight="1" x14ac:dyDescent="0.25">
      <c r="A18" s="7">
        <v>8</v>
      </c>
      <c r="B18" s="309" t="s">
        <v>177</v>
      </c>
      <c r="C18" s="5">
        <f t="shared" ref="C18:Q18" si="9">C165</f>
        <v>5618661</v>
      </c>
      <c r="D18" s="10">
        <f t="shared" si="9"/>
        <v>2623218</v>
      </c>
      <c r="E18" s="11">
        <f t="shared" si="9"/>
        <v>214.18963273353566</v>
      </c>
      <c r="F18" s="10">
        <f t="shared" si="9"/>
        <v>824014</v>
      </c>
      <c r="G18" s="10">
        <f t="shared" si="9"/>
        <v>353000</v>
      </c>
      <c r="H18" s="11">
        <f t="shared" si="9"/>
        <v>233.4317280453258</v>
      </c>
      <c r="I18" s="10">
        <f t="shared" si="9"/>
        <v>5299887</v>
      </c>
      <c r="J18" s="10">
        <f t="shared" si="9"/>
        <v>3367533</v>
      </c>
      <c r="K18" s="11">
        <f t="shared" si="9"/>
        <v>157.38188757170309</v>
      </c>
      <c r="L18" s="10">
        <f t="shared" si="9"/>
        <v>393485</v>
      </c>
      <c r="M18" s="10">
        <f t="shared" si="9"/>
        <v>176296</v>
      </c>
      <c r="N18" s="11">
        <f t="shared" si="9"/>
        <v>0</v>
      </c>
      <c r="O18" s="10">
        <f t="shared" si="9"/>
        <v>565</v>
      </c>
      <c r="P18" s="11">
        <f t="shared" si="9"/>
        <v>96.585840707964607</v>
      </c>
      <c r="Q18" s="10">
        <f t="shared" si="9"/>
        <v>564</v>
      </c>
      <c r="R18" s="12">
        <f t="shared" si="1"/>
        <v>54571</v>
      </c>
    </row>
    <row r="19" spans="1:18" ht="43.5" customHeight="1" x14ac:dyDescent="0.25">
      <c r="A19" s="7">
        <v>9</v>
      </c>
      <c r="B19" s="309" t="s">
        <v>185</v>
      </c>
      <c r="C19" s="5">
        <f t="shared" ref="C19:Q19" si="10">C120</f>
        <v>3625835</v>
      </c>
      <c r="D19" s="10">
        <f t="shared" si="10"/>
        <v>3861570</v>
      </c>
      <c r="E19" s="11">
        <f t="shared" si="10"/>
        <v>93.895358623565031</v>
      </c>
      <c r="F19" s="10">
        <f t="shared" si="10"/>
        <v>290531</v>
      </c>
      <c r="G19" s="10">
        <f t="shared" si="10"/>
        <v>279886</v>
      </c>
      <c r="H19" s="11">
        <f t="shared" si="10"/>
        <v>103.80333421464454</v>
      </c>
      <c r="I19" s="10">
        <f t="shared" si="10"/>
        <v>3833163</v>
      </c>
      <c r="J19" s="10">
        <f t="shared" si="10"/>
        <v>3939886</v>
      </c>
      <c r="K19" s="11">
        <f t="shared" si="10"/>
        <v>97.291216040261062</v>
      </c>
      <c r="L19" s="10">
        <f t="shared" si="10"/>
        <v>1787521</v>
      </c>
      <c r="M19" s="10">
        <f t="shared" si="10"/>
        <v>1868165</v>
      </c>
      <c r="N19" s="11">
        <f t="shared" si="10"/>
        <v>95.683250676465946</v>
      </c>
      <c r="O19" s="10">
        <f t="shared" si="10"/>
        <v>1811</v>
      </c>
      <c r="P19" s="11">
        <f t="shared" si="10"/>
        <v>54.007730535615678</v>
      </c>
      <c r="Q19" s="10">
        <f t="shared" si="10"/>
        <v>1781</v>
      </c>
      <c r="R19" s="12">
        <f t="shared" si="1"/>
        <v>97808</v>
      </c>
    </row>
    <row r="20" spans="1:18" ht="23.25" customHeight="1" x14ac:dyDescent="0.25">
      <c r="A20" s="7">
        <v>10</v>
      </c>
      <c r="B20" s="309" t="s">
        <v>186</v>
      </c>
      <c r="C20" s="5">
        <f t="shared" ref="C20:Q20" si="11">C131</f>
        <v>223668</v>
      </c>
      <c r="D20" s="10">
        <f t="shared" si="11"/>
        <v>276653</v>
      </c>
      <c r="E20" s="11">
        <f t="shared" si="11"/>
        <v>80.847849110618725</v>
      </c>
      <c r="F20" s="10">
        <f t="shared" si="11"/>
        <v>34029</v>
      </c>
      <c r="G20" s="10">
        <f t="shared" si="11"/>
        <v>51361</v>
      </c>
      <c r="H20" s="11">
        <f t="shared" si="11"/>
        <v>66.254551118552982</v>
      </c>
      <c r="I20" s="10">
        <f t="shared" si="11"/>
        <v>203199</v>
      </c>
      <c r="J20" s="10">
        <f t="shared" si="11"/>
        <v>247826</v>
      </c>
      <c r="K20" s="11">
        <f t="shared" si="11"/>
        <v>81.992607716704455</v>
      </c>
      <c r="L20" s="10">
        <f>L131</f>
        <v>0</v>
      </c>
      <c r="M20" s="10">
        <f t="shared" si="11"/>
        <v>112893</v>
      </c>
      <c r="N20" s="11">
        <f t="shared" si="11"/>
        <v>0</v>
      </c>
      <c r="O20" s="10">
        <f t="shared" si="11"/>
        <v>99</v>
      </c>
      <c r="P20" s="11">
        <f t="shared" si="11"/>
        <v>75.252525252525245</v>
      </c>
      <c r="Q20" s="10">
        <f t="shared" si="11"/>
        <v>100</v>
      </c>
      <c r="R20" s="12">
        <f t="shared" si="1"/>
        <v>7449.9999999999991</v>
      </c>
    </row>
    <row r="21" spans="1:18" ht="39" customHeight="1" x14ac:dyDescent="0.25">
      <c r="A21" s="7">
        <v>11</v>
      </c>
      <c r="B21" s="309" t="s">
        <v>187</v>
      </c>
      <c r="C21" s="5">
        <f>C190</f>
        <v>1177317</v>
      </c>
      <c r="D21" s="5">
        <f>D190</f>
        <v>1433376.9</v>
      </c>
      <c r="E21" s="5">
        <f t="shared" ref="E21:R21" si="12">E190</f>
        <v>82.135898799541138</v>
      </c>
      <c r="F21" s="5">
        <f t="shared" si="12"/>
        <v>86119</v>
      </c>
      <c r="G21" s="5">
        <f t="shared" si="12"/>
        <v>93466.2</v>
      </c>
      <c r="H21" s="5">
        <f t="shared" si="12"/>
        <v>92.139190423917952</v>
      </c>
      <c r="I21" s="5">
        <f t="shared" si="12"/>
        <v>810491.79999999993</v>
      </c>
      <c r="J21" s="5">
        <f t="shared" si="12"/>
        <v>1216967.7</v>
      </c>
      <c r="K21" s="5">
        <f t="shared" si="12"/>
        <v>66.599286078011772</v>
      </c>
      <c r="L21" s="5">
        <f t="shared" si="12"/>
        <v>106796</v>
      </c>
      <c r="M21" s="5">
        <f t="shared" si="12"/>
        <v>375815</v>
      </c>
      <c r="N21" s="5">
        <f t="shared" si="12"/>
        <v>28.417173343267301</v>
      </c>
      <c r="O21" s="5">
        <f t="shared" si="12"/>
        <v>544</v>
      </c>
      <c r="P21" s="5">
        <f t="shared" si="12"/>
        <v>197.43455882352941</v>
      </c>
      <c r="Q21" s="5">
        <f t="shared" si="12"/>
        <v>547</v>
      </c>
      <c r="R21" s="5">
        <f t="shared" si="12"/>
        <v>107404.4</v>
      </c>
    </row>
    <row r="22" spans="1:18" ht="39.75" customHeight="1" x14ac:dyDescent="0.25">
      <c r="A22" s="7">
        <v>12</v>
      </c>
      <c r="B22" s="309" t="s">
        <v>188</v>
      </c>
      <c r="C22" s="5">
        <f t="shared" ref="C22:P22" si="13">C195</f>
        <v>436601</v>
      </c>
      <c r="D22" s="10">
        <f t="shared" si="13"/>
        <v>594753</v>
      </c>
      <c r="E22" s="11">
        <f t="shared" si="13"/>
        <v>73.408793230130826</v>
      </c>
      <c r="F22" s="10">
        <f t="shared" si="13"/>
        <v>38342</v>
      </c>
      <c r="G22" s="10">
        <f t="shared" si="13"/>
        <v>23962</v>
      </c>
      <c r="H22" s="11">
        <f>H195</f>
        <v>160.01168516818296</v>
      </c>
      <c r="I22" s="10">
        <f t="shared" si="13"/>
        <v>434665</v>
      </c>
      <c r="J22" s="10">
        <f t="shared" si="13"/>
        <v>602129</v>
      </c>
      <c r="K22" s="11">
        <f t="shared" si="13"/>
        <v>72.18801951076928</v>
      </c>
      <c r="L22" s="10">
        <f t="shared" si="13"/>
        <v>116770</v>
      </c>
      <c r="M22" s="10">
        <f t="shared" si="13"/>
        <v>139093</v>
      </c>
      <c r="N22" s="11">
        <f t="shared" si="13"/>
        <v>83.951025572818182</v>
      </c>
      <c r="O22" s="10">
        <f>O195</f>
        <v>64</v>
      </c>
      <c r="P22" s="11">
        <f t="shared" si="13"/>
        <v>185</v>
      </c>
      <c r="Q22" s="10">
        <f>Q195</f>
        <v>236</v>
      </c>
      <c r="R22" s="12">
        <f t="shared" si="1"/>
        <v>11840</v>
      </c>
    </row>
    <row r="23" spans="1:18" x14ac:dyDescent="0.25">
      <c r="A23" s="214"/>
      <c r="B23" s="214" t="s">
        <v>189</v>
      </c>
      <c r="C23" s="215">
        <f>SUM(C10:C22)</f>
        <v>389019333</v>
      </c>
      <c r="D23" s="215">
        <f>SUM(D10:D22)</f>
        <v>363257876.89999998</v>
      </c>
      <c r="E23" s="216">
        <f>C23/D23*100</f>
        <v>107.09178182723669</v>
      </c>
      <c r="F23" s="215">
        <f>SUM(F10:F22)</f>
        <v>34392435</v>
      </c>
      <c r="G23" s="215">
        <f>SUM(G10:G22)</f>
        <v>29927668.199999999</v>
      </c>
      <c r="H23" s="216">
        <f>F23/G23*100</f>
        <v>114.91852545999559</v>
      </c>
      <c r="I23" s="215">
        <f>SUM(I10:I22)</f>
        <v>365731433.80000001</v>
      </c>
      <c r="J23" s="215">
        <f>SUM(J10:J22)</f>
        <v>356983262.69999999</v>
      </c>
      <c r="K23" s="216">
        <f>I23/J23*100</f>
        <v>102.4505829863939</v>
      </c>
      <c r="L23" s="215">
        <f>SUM(L10:L22)</f>
        <v>266221217</v>
      </c>
      <c r="M23" s="215">
        <f>SUM(M10:M22)</f>
        <v>273744906</v>
      </c>
      <c r="N23" s="216">
        <f>L23/M23*100</f>
        <v>97.251569313220386</v>
      </c>
      <c r="O23" s="215">
        <f>SUM(O10:O22)</f>
        <v>20692</v>
      </c>
      <c r="P23" s="216">
        <f>R23/O23</f>
        <v>126.1797989561183</v>
      </c>
      <c r="Q23" s="215">
        <f>SUM(Q10:Q22)</f>
        <v>20823</v>
      </c>
      <c r="R23" s="217">
        <f>SUM(R10:R22)</f>
        <v>2610912.4</v>
      </c>
    </row>
    <row r="24" spans="1:18" x14ac:dyDescent="0.2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7"/>
      <c r="Q24" s="17"/>
      <c r="R24" s="18"/>
    </row>
    <row r="25" spans="1:18" ht="15.75" customHeight="1" x14ac:dyDescent="0.25">
      <c r="A25" s="19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20"/>
      <c r="Q25" s="20"/>
      <c r="R25" s="21"/>
    </row>
    <row r="26" spans="1:18" hidden="1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18" ht="78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hidden="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 ht="0.75" customHeight="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x14ac:dyDescent="0.25">
      <c r="A30" s="325" t="s">
        <v>226</v>
      </c>
      <c r="B30" s="325"/>
      <c r="C30" s="325"/>
      <c r="D30" s="325"/>
      <c r="E30" s="325"/>
      <c r="F30" s="325"/>
      <c r="G30" s="325"/>
      <c r="H30" s="325"/>
      <c r="I30" s="325"/>
      <c r="J30" s="325"/>
      <c r="K30" s="325"/>
      <c r="L30" s="325"/>
      <c r="M30" s="325"/>
      <c r="N30" s="325"/>
      <c r="O30" s="325"/>
      <c r="P30" s="325"/>
      <c r="Q30" s="325"/>
      <c r="R30" s="23"/>
    </row>
    <row r="31" spans="1:18" x14ac:dyDescent="0.25">
      <c r="A31" s="325"/>
      <c r="B31" s="325"/>
      <c r="C31" s="325"/>
      <c r="D31" s="325"/>
      <c r="E31" s="325"/>
      <c r="F31" s="325"/>
      <c r="G31" s="325"/>
      <c r="H31" s="325"/>
      <c r="I31" s="325"/>
      <c r="J31" s="325"/>
      <c r="K31" s="325"/>
      <c r="L31" s="325"/>
      <c r="M31" s="325"/>
      <c r="N31" s="325"/>
      <c r="O31" s="325"/>
      <c r="P31" s="325"/>
      <c r="Q31" s="325"/>
      <c r="R31" s="23"/>
    </row>
    <row r="32" spans="1:18" ht="15.75" x14ac:dyDescent="0.25">
      <c r="A32" s="326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6"/>
      <c r="M32" s="326"/>
      <c r="N32" s="326"/>
      <c r="O32" s="326"/>
      <c r="P32" s="326"/>
      <c r="Q32" s="326"/>
      <c r="R32" s="25"/>
    </row>
    <row r="33" spans="1:18" x14ac:dyDescent="0.25">
      <c r="A33" s="327" t="s">
        <v>0</v>
      </c>
      <c r="B33" s="329" t="s">
        <v>24</v>
      </c>
      <c r="C33" s="331" t="s">
        <v>172</v>
      </c>
      <c r="D33" s="331"/>
      <c r="E33" s="331"/>
      <c r="F33" s="331"/>
      <c r="G33" s="331"/>
      <c r="H33" s="331" t="s">
        <v>2</v>
      </c>
      <c r="I33" s="331"/>
      <c r="J33" s="331"/>
      <c r="K33" s="331"/>
      <c r="L33" s="278"/>
      <c r="M33" s="278" t="s">
        <v>3</v>
      </c>
      <c r="N33" s="27"/>
      <c r="O33" s="329" t="s">
        <v>25</v>
      </c>
      <c r="P33" s="332" t="s">
        <v>26</v>
      </c>
      <c r="Q33" s="329" t="s">
        <v>27</v>
      </c>
      <c r="R33" s="28"/>
    </row>
    <row r="34" spans="1:18" ht="60" x14ac:dyDescent="0.25">
      <c r="A34" s="328"/>
      <c r="B34" s="330"/>
      <c r="C34" s="277" t="s">
        <v>7</v>
      </c>
      <c r="D34" s="277" t="s">
        <v>28</v>
      </c>
      <c r="E34" s="30" t="s">
        <v>29</v>
      </c>
      <c r="F34" s="277" t="s">
        <v>10</v>
      </c>
      <c r="G34" s="277" t="s">
        <v>30</v>
      </c>
      <c r="H34" s="30" t="s">
        <v>29</v>
      </c>
      <c r="I34" s="277" t="s">
        <v>11</v>
      </c>
      <c r="J34" s="277" t="s">
        <v>28</v>
      </c>
      <c r="K34" s="30" t="s">
        <v>29</v>
      </c>
      <c r="L34" s="277" t="s">
        <v>11</v>
      </c>
      <c r="M34" s="277" t="s">
        <v>28</v>
      </c>
      <c r="N34" s="30" t="s">
        <v>29</v>
      </c>
      <c r="O34" s="330"/>
      <c r="P34" s="333"/>
      <c r="Q34" s="330"/>
      <c r="R34" s="31"/>
    </row>
    <row r="35" spans="1:18" x14ac:dyDescent="0.25">
      <c r="A35" s="32"/>
      <c r="B35" s="33" t="s">
        <v>31</v>
      </c>
      <c r="C35" s="32"/>
      <c r="D35" s="32"/>
      <c r="E35" s="32"/>
      <c r="F35" s="32"/>
      <c r="G35" s="32"/>
      <c r="H35" s="32"/>
      <c r="I35" s="32"/>
      <c r="J35" s="32"/>
      <c r="K35" s="34"/>
      <c r="L35" s="32"/>
      <c r="M35" s="32"/>
      <c r="N35" s="32"/>
      <c r="O35" s="32"/>
      <c r="P35" s="35"/>
      <c r="Q35" s="35"/>
      <c r="R35" s="36"/>
    </row>
    <row r="36" spans="1:18" x14ac:dyDescent="0.25">
      <c r="A36" s="319" t="s">
        <v>32</v>
      </c>
      <c r="B36" s="320"/>
      <c r="C36" s="37">
        <v>3</v>
      </c>
      <c r="D36" s="37">
        <v>4</v>
      </c>
      <c r="E36" s="276">
        <v>5</v>
      </c>
      <c r="F36" s="37">
        <v>6</v>
      </c>
      <c r="G36" s="37">
        <v>7</v>
      </c>
      <c r="H36" s="37">
        <v>8</v>
      </c>
      <c r="I36" s="37">
        <v>9</v>
      </c>
      <c r="J36" s="37">
        <v>10</v>
      </c>
      <c r="K36" s="37">
        <v>11</v>
      </c>
      <c r="L36" s="37">
        <v>12</v>
      </c>
      <c r="M36" s="37">
        <v>13</v>
      </c>
      <c r="N36" s="37">
        <v>14</v>
      </c>
      <c r="O36" s="37">
        <v>15</v>
      </c>
      <c r="P36" s="276">
        <v>16</v>
      </c>
      <c r="Q36" s="37">
        <v>17</v>
      </c>
      <c r="R36" s="39"/>
    </row>
    <row r="37" spans="1:18" x14ac:dyDescent="0.25">
      <c r="A37" s="40">
        <v>1</v>
      </c>
      <c r="B37" s="41" t="s">
        <v>33</v>
      </c>
      <c r="C37" s="42">
        <v>165436</v>
      </c>
      <c r="D37" s="42">
        <v>168007</v>
      </c>
      <c r="E37" s="52">
        <f t="shared" ref="E37:E54" si="14">C37/D37*100</f>
        <v>98.469706619367045</v>
      </c>
      <c r="F37" s="42">
        <v>17334</v>
      </c>
      <c r="G37" s="42">
        <v>11498</v>
      </c>
      <c r="H37" s="52">
        <f>F37/G37*100</f>
        <v>150.75665333101409</v>
      </c>
      <c r="I37" s="42">
        <v>165436</v>
      </c>
      <c r="J37" s="42">
        <v>166840</v>
      </c>
      <c r="K37" s="52">
        <f>I37/J37*100</f>
        <v>99.158475185806765</v>
      </c>
      <c r="L37" s="42">
        <v>10302</v>
      </c>
      <c r="M37" s="42">
        <v>548</v>
      </c>
      <c r="N37" s="68">
        <f t="shared" ref="N37:N42" si="15">L37/M37*100</f>
        <v>1879.9270072992701</v>
      </c>
      <c r="O37" s="42">
        <v>90</v>
      </c>
      <c r="P37" s="42">
        <v>75</v>
      </c>
      <c r="Q37" s="42">
        <v>86</v>
      </c>
      <c r="R37" s="45">
        <f>O37*P37</f>
        <v>6750</v>
      </c>
    </row>
    <row r="38" spans="1:18" x14ac:dyDescent="0.25">
      <c r="A38" s="40">
        <v>2</v>
      </c>
      <c r="B38" s="41" t="s">
        <v>221</v>
      </c>
      <c r="C38" s="42">
        <v>395918</v>
      </c>
      <c r="D38" s="42">
        <v>186444</v>
      </c>
      <c r="E38" s="52">
        <f t="shared" si="14"/>
        <v>212.35223445109526</v>
      </c>
      <c r="F38" s="42">
        <v>51674</v>
      </c>
      <c r="G38" s="42">
        <v>47635</v>
      </c>
      <c r="H38" s="52">
        <f>F38/G38*100</f>
        <v>108.47905951506245</v>
      </c>
      <c r="I38" s="42">
        <v>395918</v>
      </c>
      <c r="J38" s="42">
        <v>186444</v>
      </c>
      <c r="K38" s="52">
        <f>I38/J38*100</f>
        <v>212.35223445109526</v>
      </c>
      <c r="L38" s="42">
        <f>222886+16361</f>
        <v>239247</v>
      </c>
      <c r="M38" s="42">
        <v>54454</v>
      </c>
      <c r="N38" s="52">
        <f t="shared" si="15"/>
        <v>439.35615381790132</v>
      </c>
      <c r="O38" s="279">
        <v>95</v>
      </c>
      <c r="P38" s="44">
        <v>170</v>
      </c>
      <c r="Q38" s="279">
        <v>95</v>
      </c>
      <c r="R38" s="45">
        <f t="shared" ref="R38:R53" si="16">O38*P38</f>
        <v>16150</v>
      </c>
    </row>
    <row r="39" spans="1:18" x14ac:dyDescent="0.25">
      <c r="A39" s="40">
        <v>3</v>
      </c>
      <c r="B39" s="41" t="s">
        <v>35</v>
      </c>
      <c r="C39" s="42">
        <v>100167</v>
      </c>
      <c r="D39" s="42">
        <v>90326</v>
      </c>
      <c r="E39" s="43">
        <f t="shared" si="14"/>
        <v>110.89498040431327</v>
      </c>
      <c r="F39" s="42">
        <v>10322</v>
      </c>
      <c r="G39" s="42">
        <v>21742</v>
      </c>
      <c r="H39" s="43">
        <f t="shared" ref="H39:H54" si="17">F39/G39*100</f>
        <v>47.474933308803237</v>
      </c>
      <c r="I39" s="42">
        <v>146826</v>
      </c>
      <c r="J39" s="42">
        <v>121640</v>
      </c>
      <c r="K39" s="43">
        <f t="shared" ref="K39:K54" si="18">I39/J39*100</f>
        <v>120.70536007892142</v>
      </c>
      <c r="L39" s="42">
        <v>0</v>
      </c>
      <c r="M39" s="42">
        <v>17960</v>
      </c>
      <c r="N39" s="43">
        <f t="shared" si="15"/>
        <v>0</v>
      </c>
      <c r="O39" s="279">
        <v>34</v>
      </c>
      <c r="P39" s="44">
        <v>70</v>
      </c>
      <c r="Q39" s="279">
        <v>34</v>
      </c>
      <c r="R39" s="45">
        <f t="shared" si="16"/>
        <v>2380</v>
      </c>
    </row>
    <row r="40" spans="1:18" x14ac:dyDescent="0.25">
      <c r="A40" s="40">
        <v>4</v>
      </c>
      <c r="B40" s="41" t="s">
        <v>36</v>
      </c>
      <c r="C40" s="42">
        <v>20750</v>
      </c>
      <c r="D40" s="42">
        <v>22190</v>
      </c>
      <c r="E40" s="43">
        <f t="shared" si="14"/>
        <v>93.510590356016223</v>
      </c>
      <c r="F40" s="42">
        <v>0</v>
      </c>
      <c r="G40" s="42">
        <v>2000</v>
      </c>
      <c r="H40" s="43">
        <f t="shared" si="17"/>
        <v>0</v>
      </c>
      <c r="I40" s="42">
        <v>30453</v>
      </c>
      <c r="J40" s="42">
        <v>34838</v>
      </c>
      <c r="K40" s="43">
        <f t="shared" si="18"/>
        <v>87.413169527527415</v>
      </c>
      <c r="L40" s="42">
        <v>30453</v>
      </c>
      <c r="M40" s="42">
        <f>33829+1009</f>
        <v>34838</v>
      </c>
      <c r="N40" s="43">
        <f t="shared" si="15"/>
        <v>87.413169527527415</v>
      </c>
      <c r="O40" s="279">
        <v>20</v>
      </c>
      <c r="P40" s="44">
        <v>60</v>
      </c>
      <c r="Q40" s="279">
        <v>20</v>
      </c>
      <c r="R40" s="45">
        <f t="shared" si="16"/>
        <v>1200</v>
      </c>
    </row>
    <row r="41" spans="1:18" x14ac:dyDescent="0.25">
      <c r="A41" s="40">
        <v>5</v>
      </c>
      <c r="B41" s="41" t="s">
        <v>37</v>
      </c>
      <c r="C41" s="48">
        <v>50943</v>
      </c>
      <c r="D41" s="48">
        <v>136056</v>
      </c>
      <c r="E41" s="43">
        <f t="shared" si="14"/>
        <v>37.44267066502028</v>
      </c>
      <c r="F41" s="48">
        <v>2285</v>
      </c>
      <c r="G41" s="48">
        <v>22029</v>
      </c>
      <c r="H41" s="43">
        <f t="shared" si="17"/>
        <v>10.372690544282538</v>
      </c>
      <c r="I41" s="48">
        <v>58228</v>
      </c>
      <c r="J41" s="48">
        <v>159268</v>
      </c>
      <c r="K41" s="43">
        <f t="shared" si="18"/>
        <v>36.55976090614562</v>
      </c>
      <c r="L41" s="48">
        <f>7464+3284</f>
        <v>10748</v>
      </c>
      <c r="M41" s="48">
        <f>2535+7788</f>
        <v>10323</v>
      </c>
      <c r="N41" s="43">
        <f t="shared" si="15"/>
        <v>104.11702024605249</v>
      </c>
      <c r="O41" s="279">
        <v>53</v>
      </c>
      <c r="P41" s="44">
        <v>55</v>
      </c>
      <c r="Q41" s="279">
        <v>53</v>
      </c>
      <c r="R41" s="45">
        <f t="shared" si="16"/>
        <v>2915</v>
      </c>
    </row>
    <row r="42" spans="1:18" x14ac:dyDescent="0.25">
      <c r="A42" s="40">
        <v>6</v>
      </c>
      <c r="B42" s="41" t="s">
        <v>38</v>
      </c>
      <c r="C42" s="49">
        <v>104509</v>
      </c>
      <c r="D42" s="42">
        <v>148020</v>
      </c>
      <c r="E42" s="43">
        <f t="shared" si="14"/>
        <v>70.604648020537766</v>
      </c>
      <c r="F42" s="42">
        <v>7751</v>
      </c>
      <c r="G42" s="42">
        <v>10836</v>
      </c>
      <c r="H42" s="43">
        <f t="shared" si="17"/>
        <v>71.530084902177933</v>
      </c>
      <c r="I42" s="42">
        <v>101604</v>
      </c>
      <c r="J42" s="42">
        <v>135484</v>
      </c>
      <c r="K42" s="43">
        <f t="shared" si="18"/>
        <v>74.993357149183666</v>
      </c>
      <c r="L42" s="42">
        <v>1888</v>
      </c>
      <c r="M42" s="42">
        <v>42730</v>
      </c>
      <c r="N42" s="43">
        <f t="shared" si="15"/>
        <v>4.4184413760823782</v>
      </c>
      <c r="O42" s="279">
        <v>64</v>
      </c>
      <c r="P42" s="44">
        <v>70</v>
      </c>
      <c r="Q42" s="279">
        <v>64</v>
      </c>
      <c r="R42" s="45">
        <f t="shared" si="16"/>
        <v>4480</v>
      </c>
    </row>
    <row r="43" spans="1:18" x14ac:dyDescent="0.25">
      <c r="A43" s="40">
        <v>7</v>
      </c>
      <c r="B43" s="41" t="s">
        <v>39</v>
      </c>
      <c r="C43" s="42">
        <v>4649</v>
      </c>
      <c r="D43" s="42">
        <v>388</v>
      </c>
      <c r="E43" s="55">
        <f t="shared" si="14"/>
        <v>1198.1958762886597</v>
      </c>
      <c r="F43" s="42">
        <v>0</v>
      </c>
      <c r="G43" s="42">
        <v>0</v>
      </c>
      <c r="H43" s="43">
        <v>0</v>
      </c>
      <c r="I43" s="42">
        <v>660</v>
      </c>
      <c r="J43" s="42">
        <v>388</v>
      </c>
      <c r="K43" s="43">
        <f t="shared" si="18"/>
        <v>170.10309278350516</v>
      </c>
      <c r="L43" s="42">
        <v>0</v>
      </c>
      <c r="M43" s="42">
        <v>0</v>
      </c>
      <c r="N43" s="43">
        <v>0</v>
      </c>
      <c r="O43" s="281">
        <v>23</v>
      </c>
      <c r="P43" s="44">
        <v>70</v>
      </c>
      <c r="Q43" s="281">
        <v>23</v>
      </c>
      <c r="R43" s="45">
        <f t="shared" si="16"/>
        <v>1610</v>
      </c>
    </row>
    <row r="44" spans="1:18" x14ac:dyDescent="0.25">
      <c r="A44" s="40">
        <v>8</v>
      </c>
      <c r="B44" s="41" t="s">
        <v>41</v>
      </c>
      <c r="C44" s="51">
        <v>119123</v>
      </c>
      <c r="D44" s="42">
        <v>113129</v>
      </c>
      <c r="E44" s="43">
        <f t="shared" si="14"/>
        <v>105.29837619001316</v>
      </c>
      <c r="F44" s="42">
        <v>19465</v>
      </c>
      <c r="G44" s="42">
        <v>14245</v>
      </c>
      <c r="H44" s="43">
        <f t="shared" si="17"/>
        <v>136.64443664443664</v>
      </c>
      <c r="I44" s="42">
        <v>122608</v>
      </c>
      <c r="J44" s="42">
        <v>111988</v>
      </c>
      <c r="K44" s="43">
        <f t="shared" si="18"/>
        <v>109.4831589098832</v>
      </c>
      <c r="L44" s="42">
        <v>0</v>
      </c>
      <c r="M44" s="42">
        <v>0</v>
      </c>
      <c r="N44" s="43">
        <v>0</v>
      </c>
      <c r="O44" s="279">
        <v>47</v>
      </c>
      <c r="P44" s="44">
        <v>83</v>
      </c>
      <c r="Q44" s="279">
        <v>42</v>
      </c>
      <c r="R44" s="45">
        <f t="shared" si="16"/>
        <v>3901</v>
      </c>
    </row>
    <row r="45" spans="1:18" x14ac:dyDescent="0.25">
      <c r="A45" s="40">
        <v>9</v>
      </c>
      <c r="B45" s="41" t="s">
        <v>42</v>
      </c>
      <c r="C45" s="51">
        <v>293989</v>
      </c>
      <c r="D45" s="42">
        <v>250483</v>
      </c>
      <c r="E45" s="52">
        <f t="shared" si="14"/>
        <v>117.36884339456171</v>
      </c>
      <c r="F45" s="42">
        <v>14882</v>
      </c>
      <c r="G45" s="42">
        <v>27346</v>
      </c>
      <c r="H45" s="43">
        <f t="shared" si="17"/>
        <v>54.421121919110661</v>
      </c>
      <c r="I45" s="42">
        <v>298074</v>
      </c>
      <c r="J45" s="53">
        <v>238751</v>
      </c>
      <c r="K45" s="43">
        <f t="shared" si="18"/>
        <v>124.84722577078212</v>
      </c>
      <c r="L45" s="42">
        <v>0</v>
      </c>
      <c r="M45" s="42">
        <v>0</v>
      </c>
      <c r="N45" s="43">
        <v>0</v>
      </c>
      <c r="O45" s="279">
        <v>68</v>
      </c>
      <c r="P45" s="44">
        <v>94</v>
      </c>
      <c r="Q45" s="279">
        <v>69</v>
      </c>
      <c r="R45" s="45">
        <f t="shared" si="16"/>
        <v>6392</v>
      </c>
    </row>
    <row r="46" spans="1:18" x14ac:dyDescent="0.25">
      <c r="A46" s="40">
        <v>10</v>
      </c>
      <c r="B46" s="41" t="s">
        <v>43</v>
      </c>
      <c r="C46" s="51">
        <v>995114</v>
      </c>
      <c r="D46" s="42">
        <v>1064392</v>
      </c>
      <c r="E46" s="43">
        <f t="shared" si="14"/>
        <v>93.49130771369947</v>
      </c>
      <c r="F46" s="51">
        <v>0</v>
      </c>
      <c r="G46" s="42">
        <v>0</v>
      </c>
      <c r="H46" s="43">
        <v>0</v>
      </c>
      <c r="I46" s="42">
        <v>912611</v>
      </c>
      <c r="J46" s="42">
        <v>1051962</v>
      </c>
      <c r="K46" s="43">
        <f t="shared" si="18"/>
        <v>86.753228728794383</v>
      </c>
      <c r="L46" s="42">
        <v>906394</v>
      </c>
      <c r="M46" s="42">
        <v>1049807</v>
      </c>
      <c r="N46" s="43">
        <f t="shared" ref="N46:N48" si="19">L46/M46*100</f>
        <v>86.339108045574093</v>
      </c>
      <c r="O46" s="279">
        <v>192</v>
      </c>
      <c r="P46" s="44">
        <v>84</v>
      </c>
      <c r="Q46" s="279">
        <v>198</v>
      </c>
      <c r="R46" s="45">
        <f t="shared" si="16"/>
        <v>16128</v>
      </c>
    </row>
    <row r="47" spans="1:18" x14ac:dyDescent="0.25">
      <c r="A47" s="40">
        <v>11</v>
      </c>
      <c r="B47" s="41" t="s">
        <v>44</v>
      </c>
      <c r="C47" s="51">
        <v>45354</v>
      </c>
      <c r="D47" s="42">
        <v>22533</v>
      </c>
      <c r="E47" s="43">
        <f t="shared" si="14"/>
        <v>201.27812541605644</v>
      </c>
      <c r="F47" s="42">
        <v>4103</v>
      </c>
      <c r="G47" s="42">
        <v>0</v>
      </c>
      <c r="H47" s="43">
        <v>0</v>
      </c>
      <c r="I47" s="42">
        <v>53210</v>
      </c>
      <c r="J47" s="42">
        <v>54925</v>
      </c>
      <c r="K47" s="43">
        <f t="shared" si="18"/>
        <v>96.877560309512972</v>
      </c>
      <c r="L47" s="42">
        <v>53210</v>
      </c>
      <c r="M47" s="42">
        <v>54925</v>
      </c>
      <c r="N47" s="43">
        <f t="shared" si="19"/>
        <v>96.877560309512972</v>
      </c>
      <c r="O47" s="279">
        <v>24</v>
      </c>
      <c r="P47" s="44">
        <v>67</v>
      </c>
      <c r="Q47" s="279">
        <v>24</v>
      </c>
      <c r="R47" s="45">
        <f t="shared" si="16"/>
        <v>1608</v>
      </c>
    </row>
    <row r="48" spans="1:18" x14ac:dyDescent="0.25">
      <c r="A48" s="40">
        <v>12</v>
      </c>
      <c r="B48" s="41" t="s">
        <v>45</v>
      </c>
      <c r="C48" s="42">
        <v>88984</v>
      </c>
      <c r="D48" s="42">
        <v>73997</v>
      </c>
      <c r="E48" s="43">
        <f t="shared" si="14"/>
        <v>120.25352379150507</v>
      </c>
      <c r="F48" s="54">
        <v>0</v>
      </c>
      <c r="G48" s="54">
        <v>0</v>
      </c>
      <c r="H48" s="43">
        <v>0</v>
      </c>
      <c r="I48" s="54">
        <v>99936</v>
      </c>
      <c r="J48" s="54">
        <v>85885</v>
      </c>
      <c r="K48" s="43">
        <f t="shared" si="18"/>
        <v>116.36024917040228</v>
      </c>
      <c r="L48" s="55">
        <v>94375</v>
      </c>
      <c r="M48" s="54">
        <v>80453</v>
      </c>
      <c r="N48" s="43">
        <f t="shared" si="19"/>
        <v>117.30451319403876</v>
      </c>
      <c r="O48" s="279">
        <v>27</v>
      </c>
      <c r="P48" s="44">
        <v>120</v>
      </c>
      <c r="Q48" s="279">
        <v>26</v>
      </c>
      <c r="R48" s="45">
        <f t="shared" si="16"/>
        <v>3240</v>
      </c>
    </row>
    <row r="49" spans="1:18" x14ac:dyDescent="0.25">
      <c r="A49" s="40">
        <v>13</v>
      </c>
      <c r="B49" s="41" t="s">
        <v>46</v>
      </c>
      <c r="C49" s="49">
        <v>377565</v>
      </c>
      <c r="D49" s="49">
        <v>358934</v>
      </c>
      <c r="E49" s="43">
        <f t="shared" si="14"/>
        <v>105.19064786283829</v>
      </c>
      <c r="F49" s="49">
        <v>36644</v>
      </c>
      <c r="G49" s="49">
        <v>28729</v>
      </c>
      <c r="H49" s="43">
        <f t="shared" si="17"/>
        <v>127.55055866894078</v>
      </c>
      <c r="I49" s="42">
        <v>366413</v>
      </c>
      <c r="J49" s="42">
        <v>370460</v>
      </c>
      <c r="K49" s="43">
        <f t="shared" si="18"/>
        <v>98.907574367003178</v>
      </c>
      <c r="L49" s="49">
        <v>3429</v>
      </c>
      <c r="M49" s="49">
        <v>0</v>
      </c>
      <c r="N49" s="43">
        <v>0</v>
      </c>
      <c r="O49" s="279">
        <v>80</v>
      </c>
      <c r="P49" s="44">
        <v>118</v>
      </c>
      <c r="Q49" s="279">
        <v>78</v>
      </c>
      <c r="R49" s="45">
        <f t="shared" si="16"/>
        <v>9440</v>
      </c>
    </row>
    <row r="50" spans="1:18" x14ac:dyDescent="0.25">
      <c r="A50" s="40">
        <v>14</v>
      </c>
      <c r="B50" s="41" t="s">
        <v>47</v>
      </c>
      <c r="C50" s="279">
        <v>17115</v>
      </c>
      <c r="D50" s="279">
        <v>34470</v>
      </c>
      <c r="E50" s="47">
        <f t="shared" si="14"/>
        <v>49.651871192341169</v>
      </c>
      <c r="F50" s="279">
        <v>1809</v>
      </c>
      <c r="G50" s="279">
        <v>2954</v>
      </c>
      <c r="H50" s="47">
        <f t="shared" si="17"/>
        <v>61.238997968855791</v>
      </c>
      <c r="I50" s="279">
        <v>19718</v>
      </c>
      <c r="J50" s="279">
        <v>30865</v>
      </c>
      <c r="K50" s="47">
        <f t="shared" si="18"/>
        <v>63.88465899886603</v>
      </c>
      <c r="L50" s="279">
        <v>0</v>
      </c>
      <c r="M50" s="279">
        <v>8026</v>
      </c>
      <c r="N50" s="43">
        <v>0</v>
      </c>
      <c r="O50" s="279">
        <v>14</v>
      </c>
      <c r="P50" s="44">
        <v>80</v>
      </c>
      <c r="Q50" s="279">
        <v>13</v>
      </c>
      <c r="R50" s="45">
        <f t="shared" si="16"/>
        <v>1120</v>
      </c>
    </row>
    <row r="51" spans="1:18" x14ac:dyDescent="0.25">
      <c r="A51" s="40">
        <v>15</v>
      </c>
      <c r="B51" s="41" t="s">
        <v>48</v>
      </c>
      <c r="C51" s="42">
        <v>338256</v>
      </c>
      <c r="D51" s="53">
        <v>50619</v>
      </c>
      <c r="E51" s="47">
        <f t="shared" si="14"/>
        <v>668.23919871984833</v>
      </c>
      <c r="F51" s="42">
        <v>0</v>
      </c>
      <c r="G51" s="42">
        <v>4265</v>
      </c>
      <c r="H51" s="47">
        <f t="shared" si="17"/>
        <v>0</v>
      </c>
      <c r="I51" s="42">
        <v>476929</v>
      </c>
      <c r="J51" s="42">
        <v>99026</v>
      </c>
      <c r="K51" s="47">
        <f t="shared" si="18"/>
        <v>481.61997859148107</v>
      </c>
      <c r="L51" s="42">
        <f>449031+16473</f>
        <v>465504</v>
      </c>
      <c r="M51" s="42">
        <v>61756</v>
      </c>
      <c r="N51" s="47">
        <f t="shared" ref="N51" si="20">L51/M51*100</f>
        <v>753.77938985685603</v>
      </c>
      <c r="O51" s="279">
        <v>59</v>
      </c>
      <c r="P51" s="44">
        <v>85</v>
      </c>
      <c r="Q51" s="279">
        <v>53</v>
      </c>
      <c r="R51" s="45">
        <f t="shared" si="16"/>
        <v>5015</v>
      </c>
    </row>
    <row r="52" spans="1:18" x14ac:dyDescent="0.25">
      <c r="A52" s="40">
        <v>16</v>
      </c>
      <c r="B52" s="41" t="s">
        <v>49</v>
      </c>
      <c r="C52" s="42">
        <v>3106</v>
      </c>
      <c r="D52" s="53">
        <v>3332</v>
      </c>
      <c r="E52" s="47">
        <f t="shared" si="14"/>
        <v>93.217286914765907</v>
      </c>
      <c r="F52" s="42">
        <v>0</v>
      </c>
      <c r="G52" s="42">
        <v>145</v>
      </c>
      <c r="H52" s="47">
        <v>0</v>
      </c>
      <c r="I52" s="42">
        <v>3106</v>
      </c>
      <c r="J52" s="42">
        <v>3013</v>
      </c>
      <c r="K52" s="47">
        <f t="shared" si="18"/>
        <v>103.08662462661799</v>
      </c>
      <c r="L52" s="42">
        <v>0</v>
      </c>
      <c r="M52" s="42">
        <v>0</v>
      </c>
      <c r="N52" s="43">
        <v>0</v>
      </c>
      <c r="O52" s="281">
        <v>3</v>
      </c>
      <c r="P52" s="44">
        <v>40</v>
      </c>
      <c r="Q52" s="281">
        <v>3</v>
      </c>
      <c r="R52" s="45">
        <f t="shared" si="16"/>
        <v>120</v>
      </c>
    </row>
    <row r="53" spans="1:18" x14ac:dyDescent="0.25">
      <c r="A53" s="40">
        <v>17</v>
      </c>
      <c r="B53" s="41" t="s">
        <v>169</v>
      </c>
      <c r="C53" s="281">
        <v>1095975</v>
      </c>
      <c r="D53" s="281">
        <v>0</v>
      </c>
      <c r="E53" s="47">
        <v>0</v>
      </c>
      <c r="F53" s="281">
        <v>370225</v>
      </c>
      <c r="G53" s="281">
        <v>0</v>
      </c>
      <c r="H53" s="47">
        <v>0</v>
      </c>
      <c r="I53" s="281">
        <v>87867</v>
      </c>
      <c r="J53" s="281">
        <v>0</v>
      </c>
      <c r="K53" s="43">
        <v>0</v>
      </c>
      <c r="L53" s="281">
        <v>0</v>
      </c>
      <c r="M53" s="281">
        <v>0</v>
      </c>
      <c r="N53" s="47">
        <v>0</v>
      </c>
      <c r="O53" s="281">
        <v>13</v>
      </c>
      <c r="P53" s="44">
        <v>70</v>
      </c>
      <c r="Q53" s="281">
        <v>13</v>
      </c>
      <c r="R53" s="45">
        <f t="shared" si="16"/>
        <v>910</v>
      </c>
    </row>
    <row r="54" spans="1:18" x14ac:dyDescent="0.25">
      <c r="A54" s="315" t="s">
        <v>50</v>
      </c>
      <c r="B54" s="315"/>
      <c r="C54" s="56">
        <f>SUM(C37:C53)</f>
        <v>4216953</v>
      </c>
      <c r="D54" s="56">
        <f>SUM(D37:D53)</f>
        <v>2723320</v>
      </c>
      <c r="E54" s="57">
        <f t="shared" si="14"/>
        <v>154.84603351791196</v>
      </c>
      <c r="F54" s="56">
        <f>SUM(F37:F53)</f>
        <v>536494</v>
      </c>
      <c r="G54" s="56">
        <f>SUM(G37:G52)</f>
        <v>193424</v>
      </c>
      <c r="H54" s="57">
        <f t="shared" si="17"/>
        <v>277.36682107701216</v>
      </c>
      <c r="I54" s="56">
        <f>SUM(I37:I53)</f>
        <v>3339597</v>
      </c>
      <c r="J54" s="56">
        <f>SUM(J37:J53)</f>
        <v>2851777</v>
      </c>
      <c r="K54" s="57">
        <f t="shared" si="18"/>
        <v>117.10582559576012</v>
      </c>
      <c r="L54" s="56">
        <f>SUM(L37:L53)</f>
        <v>1815550</v>
      </c>
      <c r="M54" s="56">
        <f>SUM(M37:M53)</f>
        <v>1415820</v>
      </c>
      <c r="N54" s="57">
        <f>L54/M54*100</f>
        <v>128.23310872851067</v>
      </c>
      <c r="O54" s="56">
        <f>SUM(O37:O53)</f>
        <v>906</v>
      </c>
      <c r="P54" s="57">
        <f>R54/O54</f>
        <v>92.007726269315668</v>
      </c>
      <c r="Q54" s="56">
        <f>SUM(Q37:Q53)</f>
        <v>894</v>
      </c>
      <c r="R54" s="56">
        <f>SUM(R37:R53)</f>
        <v>83359</v>
      </c>
    </row>
    <row r="55" spans="1:18" x14ac:dyDescent="0.25">
      <c r="A55" s="279"/>
      <c r="B55" s="61"/>
      <c r="C55" s="279"/>
      <c r="D55" s="279"/>
      <c r="E55" s="279"/>
      <c r="F55" s="279"/>
      <c r="G55" s="279"/>
      <c r="H55" s="279"/>
      <c r="I55" s="279"/>
      <c r="J55" s="279"/>
      <c r="K55" s="34"/>
      <c r="L55" s="279"/>
      <c r="M55" s="279"/>
      <c r="N55" s="279"/>
      <c r="O55" s="279"/>
      <c r="P55" s="62"/>
      <c r="Q55" s="279"/>
      <c r="R55" s="39"/>
    </row>
    <row r="56" spans="1:18" x14ac:dyDescent="0.25">
      <c r="A56" s="319" t="s">
        <v>51</v>
      </c>
      <c r="B56" s="320"/>
      <c r="C56" s="37">
        <v>3</v>
      </c>
      <c r="D56" s="37">
        <v>4</v>
      </c>
      <c r="E56" s="276">
        <v>5</v>
      </c>
      <c r="F56" s="37">
        <v>6</v>
      </c>
      <c r="G56" s="37">
        <v>7</v>
      </c>
      <c r="H56" s="37">
        <v>8</v>
      </c>
      <c r="I56" s="37">
        <v>9</v>
      </c>
      <c r="J56" s="37">
        <v>10</v>
      </c>
      <c r="K56" s="37">
        <v>11</v>
      </c>
      <c r="L56" s="37">
        <v>12</v>
      </c>
      <c r="M56" s="37">
        <v>13</v>
      </c>
      <c r="N56" s="37">
        <v>14</v>
      </c>
      <c r="O56" s="37">
        <v>15</v>
      </c>
      <c r="P56" s="276">
        <v>16</v>
      </c>
      <c r="Q56" s="37">
        <v>15</v>
      </c>
      <c r="R56" s="39"/>
    </row>
    <row r="57" spans="1:18" x14ac:dyDescent="0.25">
      <c r="A57" s="44">
        <v>1</v>
      </c>
      <c r="B57" s="63" t="s">
        <v>52</v>
      </c>
      <c r="C57" s="64">
        <v>518539</v>
      </c>
      <c r="D57" s="65">
        <v>477969</v>
      </c>
      <c r="E57" s="43">
        <f t="shared" ref="E57:E64" si="21">C57/D57*100</f>
        <v>108.4879981756139</v>
      </c>
      <c r="F57" s="65">
        <v>15403</v>
      </c>
      <c r="G57" s="68">
        <v>33469</v>
      </c>
      <c r="H57" s="43">
        <f>F57/G57*100</f>
        <v>46.021691714721086</v>
      </c>
      <c r="I57" s="65">
        <v>513842</v>
      </c>
      <c r="J57" s="65">
        <v>490134</v>
      </c>
      <c r="K57" s="43">
        <f t="shared" ref="K57:K64" si="22">I57/J57*100</f>
        <v>104.8370445633235</v>
      </c>
      <c r="L57" s="65">
        <v>510859</v>
      </c>
      <c r="M57" s="65">
        <v>430571</v>
      </c>
      <c r="N57" s="43">
        <f>L57/M57*100</f>
        <v>118.64686660272056</v>
      </c>
      <c r="O57" s="68">
        <v>94</v>
      </c>
      <c r="P57" s="65">
        <v>55</v>
      </c>
      <c r="Q57" s="68">
        <v>151</v>
      </c>
      <c r="R57" s="45">
        <f>O57*P57</f>
        <v>5170</v>
      </c>
    </row>
    <row r="58" spans="1:18" x14ac:dyDescent="0.25">
      <c r="A58" s="67">
        <v>2</v>
      </c>
      <c r="B58" s="63" t="s">
        <v>53</v>
      </c>
      <c r="C58" s="42">
        <v>133700</v>
      </c>
      <c r="D58" s="42">
        <v>101717</v>
      </c>
      <c r="E58" s="43">
        <f t="shared" si="21"/>
        <v>131.44312160209208</v>
      </c>
      <c r="F58" s="68">
        <v>3050</v>
      </c>
      <c r="G58" s="68">
        <v>14583</v>
      </c>
      <c r="H58" s="43">
        <f t="shared" ref="H58:H63" si="23">F58/G58*100</f>
        <v>20.914763766028937</v>
      </c>
      <c r="I58" s="68">
        <v>145463</v>
      </c>
      <c r="J58" s="68">
        <v>90710</v>
      </c>
      <c r="K58" s="43">
        <f t="shared" si="22"/>
        <v>160.36048947194354</v>
      </c>
      <c r="L58" s="68">
        <v>0</v>
      </c>
      <c r="M58" s="68">
        <v>3908</v>
      </c>
      <c r="N58" s="43">
        <v>0</v>
      </c>
      <c r="O58" s="68">
        <v>126</v>
      </c>
      <c r="P58" s="68">
        <v>105</v>
      </c>
      <c r="Q58" s="68">
        <v>129</v>
      </c>
      <c r="R58" s="45">
        <f t="shared" ref="R58:R65" si="24">O58*P58</f>
        <v>13230</v>
      </c>
    </row>
    <row r="59" spans="1:18" x14ac:dyDescent="0.25">
      <c r="A59" s="67">
        <v>3</v>
      </c>
      <c r="B59" s="63" t="s">
        <v>54</v>
      </c>
      <c r="C59" s="68">
        <v>307350</v>
      </c>
      <c r="D59" s="68">
        <v>452490</v>
      </c>
      <c r="E59" s="43">
        <f t="shared" si="21"/>
        <v>67.92415301995625</v>
      </c>
      <c r="F59" s="68">
        <v>25159</v>
      </c>
      <c r="G59" s="68">
        <v>48649</v>
      </c>
      <c r="H59" s="43">
        <f t="shared" si="23"/>
        <v>51.715348722481444</v>
      </c>
      <c r="I59" s="68">
        <v>307350</v>
      </c>
      <c r="J59" s="68">
        <v>452490</v>
      </c>
      <c r="K59" s="43">
        <f t="shared" si="22"/>
        <v>67.92415301995625</v>
      </c>
      <c r="L59" s="68">
        <v>0</v>
      </c>
      <c r="M59" s="68">
        <v>0</v>
      </c>
      <c r="N59" s="43">
        <v>0</v>
      </c>
      <c r="O59" s="68">
        <v>122</v>
      </c>
      <c r="P59" s="68">
        <v>50</v>
      </c>
      <c r="Q59" s="68">
        <v>122</v>
      </c>
      <c r="R59" s="45">
        <f t="shared" si="24"/>
        <v>6100</v>
      </c>
    </row>
    <row r="60" spans="1:18" x14ac:dyDescent="0.25">
      <c r="A60" s="44">
        <v>4</v>
      </c>
      <c r="B60" s="63" t="s">
        <v>55</v>
      </c>
      <c r="C60" s="68">
        <v>309984</v>
      </c>
      <c r="D60" s="68">
        <v>320506</v>
      </c>
      <c r="E60" s="43">
        <f t="shared" si="21"/>
        <v>96.717066139167443</v>
      </c>
      <c r="F60" s="68">
        <v>19867</v>
      </c>
      <c r="G60" s="68">
        <v>34549</v>
      </c>
      <c r="H60" s="43">
        <f t="shared" si="23"/>
        <v>57.503835132710066</v>
      </c>
      <c r="I60" s="48">
        <v>324224</v>
      </c>
      <c r="J60" s="48">
        <v>307385</v>
      </c>
      <c r="K60" s="43">
        <f>I60/J60*100</f>
        <v>105.47814629861574</v>
      </c>
      <c r="L60" s="68">
        <f>132616+5338</f>
        <v>137954</v>
      </c>
      <c r="M60" s="68">
        <f>131601+4623</f>
        <v>136224</v>
      </c>
      <c r="N60" s="43">
        <f t="shared" ref="N60:N62" si="25">L60/M60*100</f>
        <v>101.26996711299037</v>
      </c>
      <c r="O60" s="68">
        <v>69</v>
      </c>
      <c r="P60" s="68">
        <v>124</v>
      </c>
      <c r="Q60" s="68">
        <v>68</v>
      </c>
      <c r="R60" s="45">
        <f t="shared" si="24"/>
        <v>8556</v>
      </c>
    </row>
    <row r="61" spans="1:18" x14ac:dyDescent="0.25">
      <c r="A61" s="67">
        <v>5</v>
      </c>
      <c r="B61" s="63" t="s">
        <v>56</v>
      </c>
      <c r="C61" s="42">
        <v>0</v>
      </c>
      <c r="D61" s="42">
        <v>0</v>
      </c>
      <c r="E61" s="43">
        <v>0</v>
      </c>
      <c r="F61" s="42">
        <v>0</v>
      </c>
      <c r="G61" s="42">
        <v>0</v>
      </c>
      <c r="H61" s="43">
        <v>0</v>
      </c>
      <c r="I61" s="42">
        <v>0</v>
      </c>
      <c r="J61" s="42">
        <v>0</v>
      </c>
      <c r="K61" s="43">
        <v>0</v>
      </c>
      <c r="L61" s="42">
        <v>0</v>
      </c>
      <c r="M61" s="42">
        <v>0</v>
      </c>
      <c r="N61" s="43">
        <v>0</v>
      </c>
      <c r="O61" s="279">
        <v>0</v>
      </c>
      <c r="P61" s="44">
        <v>0</v>
      </c>
      <c r="Q61" s="279">
        <v>0</v>
      </c>
      <c r="R61" s="45">
        <f t="shared" si="24"/>
        <v>0</v>
      </c>
    </row>
    <row r="62" spans="1:18" x14ac:dyDescent="0.25">
      <c r="A62" s="67">
        <v>6</v>
      </c>
      <c r="B62" s="63" t="s">
        <v>57</v>
      </c>
      <c r="C62" s="68">
        <v>54763</v>
      </c>
      <c r="D62" s="68">
        <v>73224</v>
      </c>
      <c r="E62" s="43">
        <f t="shared" si="21"/>
        <v>74.788320769146736</v>
      </c>
      <c r="F62" s="68">
        <v>3011</v>
      </c>
      <c r="G62" s="68">
        <v>6693</v>
      </c>
      <c r="H62" s="43">
        <f t="shared" si="23"/>
        <v>44.987300164350813</v>
      </c>
      <c r="I62" s="68">
        <v>59083</v>
      </c>
      <c r="J62" s="68">
        <v>73504</v>
      </c>
      <c r="K62" s="43">
        <f t="shared" si="22"/>
        <v>80.380659555942529</v>
      </c>
      <c r="L62" s="68">
        <v>58948</v>
      </c>
      <c r="M62" s="68">
        <v>73504</v>
      </c>
      <c r="N62" s="43">
        <f t="shared" si="25"/>
        <v>80.196996081845882</v>
      </c>
      <c r="O62" s="68">
        <v>32</v>
      </c>
      <c r="P62" s="68">
        <v>46</v>
      </c>
      <c r="Q62" s="68">
        <v>33</v>
      </c>
      <c r="R62" s="45">
        <f t="shared" si="24"/>
        <v>1472</v>
      </c>
    </row>
    <row r="63" spans="1:18" s="66" customFormat="1" x14ac:dyDescent="0.25">
      <c r="A63" s="44">
        <v>7</v>
      </c>
      <c r="B63" s="63" t="s">
        <v>58</v>
      </c>
      <c r="C63" s="42">
        <v>50659</v>
      </c>
      <c r="D63" s="42">
        <v>92635</v>
      </c>
      <c r="E63" s="43">
        <f t="shared" si="21"/>
        <v>54.686673503535374</v>
      </c>
      <c r="F63" s="42">
        <v>4946</v>
      </c>
      <c r="G63" s="42">
        <v>1847</v>
      </c>
      <c r="H63" s="43">
        <f t="shared" si="23"/>
        <v>267.78559826746073</v>
      </c>
      <c r="I63" s="42">
        <v>60000</v>
      </c>
      <c r="J63" s="42">
        <v>116840</v>
      </c>
      <c r="K63" s="43">
        <f t="shared" si="22"/>
        <v>51.352276617596715</v>
      </c>
      <c r="L63" s="69">
        <v>59826</v>
      </c>
      <c r="M63" s="42">
        <v>116764</v>
      </c>
      <c r="N63" s="43">
        <f>L63/M63*100</f>
        <v>51.236682539138776</v>
      </c>
      <c r="O63" s="68">
        <v>33</v>
      </c>
      <c r="P63" s="68">
        <v>50</v>
      </c>
      <c r="Q63" s="68">
        <v>40</v>
      </c>
      <c r="R63" s="45">
        <f t="shared" si="24"/>
        <v>1650</v>
      </c>
    </row>
    <row r="64" spans="1:18" x14ac:dyDescent="0.25">
      <c r="A64" s="67">
        <v>8</v>
      </c>
      <c r="B64" s="63" t="s">
        <v>59</v>
      </c>
      <c r="C64" s="199">
        <v>324600</v>
      </c>
      <c r="D64" s="42">
        <v>392900</v>
      </c>
      <c r="E64" s="43">
        <f t="shared" si="21"/>
        <v>82.61644184270807</v>
      </c>
      <c r="F64" s="42">
        <v>41200</v>
      </c>
      <c r="G64" s="198">
        <v>0</v>
      </c>
      <c r="H64" s="43">
        <v>0</v>
      </c>
      <c r="I64" s="42">
        <v>436775</v>
      </c>
      <c r="J64" s="198">
        <v>412928</v>
      </c>
      <c r="K64" s="43">
        <f t="shared" si="22"/>
        <v>105.77509880657161</v>
      </c>
      <c r="L64" s="42">
        <v>436775</v>
      </c>
      <c r="M64" s="198">
        <v>412928</v>
      </c>
      <c r="N64" s="43">
        <f t="shared" ref="N64" si="26">L64/M64*100</f>
        <v>105.77509880657161</v>
      </c>
      <c r="O64" s="68">
        <v>35</v>
      </c>
      <c r="P64" s="65">
        <v>75</v>
      </c>
      <c r="Q64" s="68">
        <v>40</v>
      </c>
      <c r="R64" s="45">
        <f t="shared" si="24"/>
        <v>2625</v>
      </c>
    </row>
    <row r="65" spans="1:18" x14ac:dyDescent="0.25">
      <c r="A65" s="67">
        <v>9</v>
      </c>
      <c r="B65" s="63" t="s">
        <v>60</v>
      </c>
      <c r="C65" s="42">
        <v>0</v>
      </c>
      <c r="D65" s="42">
        <v>0</v>
      </c>
      <c r="E65" s="43">
        <v>0</v>
      </c>
      <c r="F65" s="42">
        <v>0</v>
      </c>
      <c r="G65" s="42">
        <v>0</v>
      </c>
      <c r="H65" s="43">
        <v>0</v>
      </c>
      <c r="I65" s="42">
        <v>0</v>
      </c>
      <c r="J65" s="42">
        <v>0</v>
      </c>
      <c r="K65" s="43">
        <v>0</v>
      </c>
      <c r="L65" s="42">
        <v>0</v>
      </c>
      <c r="M65" s="42">
        <v>0</v>
      </c>
      <c r="N65" s="43">
        <v>0</v>
      </c>
      <c r="O65" s="279">
        <v>0</v>
      </c>
      <c r="P65" s="44">
        <v>0</v>
      </c>
      <c r="Q65" s="279">
        <v>0</v>
      </c>
      <c r="R65" s="45">
        <f t="shared" si="24"/>
        <v>0</v>
      </c>
    </row>
    <row r="66" spans="1:18" x14ac:dyDescent="0.25">
      <c r="A66" s="334" t="s">
        <v>61</v>
      </c>
      <c r="B66" s="334"/>
      <c r="C66" s="70">
        <f>SUM(C57:C65)</f>
        <v>1699595</v>
      </c>
      <c r="D66" s="70">
        <f>SUM(D57:D65)</f>
        <v>1911441</v>
      </c>
      <c r="E66" s="71">
        <f>C66/D66*100</f>
        <v>88.91694799891809</v>
      </c>
      <c r="F66" s="70">
        <f>SUM(F57:F65)</f>
        <v>112636</v>
      </c>
      <c r="G66" s="70">
        <f>SUM(G57:G65)</f>
        <v>139790</v>
      </c>
      <c r="H66" s="71">
        <f>F66/G66*100</f>
        <v>80.57514843694112</v>
      </c>
      <c r="I66" s="72">
        <f>SUM(I57:I65)</f>
        <v>1846737</v>
      </c>
      <c r="J66" s="70">
        <f>SUM(J57:J65)</f>
        <v>1943991</v>
      </c>
      <c r="K66" s="71">
        <f>I66/J66*100</f>
        <v>94.99719906110677</v>
      </c>
      <c r="L66" s="70">
        <f>SUM(L57:L65)</f>
        <v>1204362</v>
      </c>
      <c r="M66" s="70">
        <f>SUM(M57:M65)</f>
        <v>1173899</v>
      </c>
      <c r="N66" s="71">
        <f>L66/M66*100</f>
        <v>102.59502734051227</v>
      </c>
      <c r="O66" s="72">
        <f>SUM(O57:O65)</f>
        <v>511</v>
      </c>
      <c r="P66" s="71">
        <f>R66/O66</f>
        <v>75.935420743639924</v>
      </c>
      <c r="Q66" s="72">
        <f>SUM(Q57:Q65)</f>
        <v>583</v>
      </c>
      <c r="R66" s="59">
        <f>SUM(R57:R65)</f>
        <v>38803</v>
      </c>
    </row>
    <row r="67" spans="1:18" x14ac:dyDescent="0.25">
      <c r="A67" s="39"/>
      <c r="B67" s="73"/>
      <c r="C67" s="39"/>
      <c r="D67" s="39"/>
      <c r="E67" s="39"/>
      <c r="F67" s="39"/>
      <c r="G67" s="39"/>
      <c r="H67" s="39"/>
      <c r="I67" s="39"/>
      <c r="J67" s="39"/>
      <c r="K67" s="74"/>
      <c r="L67" s="39"/>
      <c r="M67" s="39"/>
      <c r="N67" s="39"/>
      <c r="O67" s="39"/>
      <c r="P67" s="75"/>
      <c r="Q67" s="39"/>
      <c r="R67" s="39"/>
    </row>
    <row r="68" spans="1:18" x14ac:dyDescent="0.25">
      <c r="A68" s="319" t="s">
        <v>62</v>
      </c>
      <c r="B68" s="320"/>
      <c r="C68" s="37">
        <v>3</v>
      </c>
      <c r="D68" s="37">
        <v>4</v>
      </c>
      <c r="E68" s="276">
        <v>5</v>
      </c>
      <c r="F68" s="37">
        <v>6</v>
      </c>
      <c r="G68" s="37">
        <v>7</v>
      </c>
      <c r="H68" s="37">
        <v>8</v>
      </c>
      <c r="I68" s="37">
        <v>9</v>
      </c>
      <c r="J68" s="37">
        <v>10</v>
      </c>
      <c r="K68" s="37">
        <v>11</v>
      </c>
      <c r="L68" s="37">
        <v>12</v>
      </c>
      <c r="M68" s="37">
        <v>13</v>
      </c>
      <c r="N68" s="37">
        <v>14</v>
      </c>
      <c r="O68" s="37">
        <v>15</v>
      </c>
      <c r="P68" s="276">
        <v>16</v>
      </c>
      <c r="Q68" s="37">
        <v>15</v>
      </c>
      <c r="R68" s="39"/>
    </row>
    <row r="69" spans="1:18" x14ac:dyDescent="0.25">
      <c r="A69" s="40">
        <v>1</v>
      </c>
      <c r="B69" s="41" t="s">
        <v>63</v>
      </c>
      <c r="C69" s="279">
        <v>57081</v>
      </c>
      <c r="D69" s="279">
        <v>21356</v>
      </c>
      <c r="E69" s="47">
        <f t="shared" ref="E69:E76" si="27">C69/D69*100</f>
        <v>267.28319910095524</v>
      </c>
      <c r="F69" s="279">
        <v>38</v>
      </c>
      <c r="G69" s="279">
        <v>202</v>
      </c>
      <c r="H69" s="47">
        <f t="shared" ref="H69:H75" si="28">F69/G69*100</f>
        <v>18.811881188118811</v>
      </c>
      <c r="I69" s="279">
        <v>178735</v>
      </c>
      <c r="J69" s="279">
        <v>150013</v>
      </c>
      <c r="K69" s="47">
        <f>I69/J69*100</f>
        <v>119.14634065047696</v>
      </c>
      <c r="L69" s="279">
        <v>53172</v>
      </c>
      <c r="M69" s="279">
        <v>32820</v>
      </c>
      <c r="N69" s="47">
        <f t="shared" ref="N69:N71" si="29">L69/M69*100</f>
        <v>162.01096892138941</v>
      </c>
      <c r="O69" s="279">
        <v>154</v>
      </c>
      <c r="P69" s="62">
        <v>55</v>
      </c>
      <c r="Q69" s="279">
        <v>158</v>
      </c>
      <c r="R69" s="45">
        <f t="shared" ref="R69:R76" si="30">O69*P69</f>
        <v>8470</v>
      </c>
    </row>
    <row r="70" spans="1:18" x14ac:dyDescent="0.25">
      <c r="A70" s="40">
        <v>2</v>
      </c>
      <c r="B70" s="41" t="s">
        <v>40</v>
      </c>
      <c r="C70" s="51">
        <v>588255</v>
      </c>
      <c r="D70" s="51">
        <v>389696</v>
      </c>
      <c r="E70" s="47">
        <f t="shared" si="27"/>
        <v>150.95228075217605</v>
      </c>
      <c r="F70" s="51">
        <v>31282</v>
      </c>
      <c r="G70" s="51">
        <v>25019</v>
      </c>
      <c r="H70" s="47">
        <f t="shared" si="28"/>
        <v>125.03297493904633</v>
      </c>
      <c r="I70" s="51">
        <v>588005</v>
      </c>
      <c r="J70" s="51">
        <v>391128</v>
      </c>
      <c r="K70" s="47">
        <f t="shared" ref="K70:K76" si="31">I70/J70*100</f>
        <v>150.3356957313207</v>
      </c>
      <c r="L70" s="51">
        <v>588005</v>
      </c>
      <c r="M70" s="51">
        <f>804+390329</f>
        <v>391133</v>
      </c>
      <c r="N70" s="47">
        <f t="shared" si="29"/>
        <v>150.33377393367473</v>
      </c>
      <c r="O70" s="279">
        <v>25</v>
      </c>
      <c r="P70" s="44">
        <v>135</v>
      </c>
      <c r="Q70" s="279">
        <v>25</v>
      </c>
      <c r="R70" s="45">
        <f t="shared" si="30"/>
        <v>3375</v>
      </c>
    </row>
    <row r="71" spans="1:18" x14ac:dyDescent="0.25">
      <c r="A71" s="40">
        <v>3</v>
      </c>
      <c r="B71" s="41" t="s">
        <v>64</v>
      </c>
      <c r="C71" s="279">
        <v>34432</v>
      </c>
      <c r="D71" s="279">
        <v>15509</v>
      </c>
      <c r="E71" s="47">
        <f t="shared" si="27"/>
        <v>222.0130246953382</v>
      </c>
      <c r="F71" s="279">
        <v>0</v>
      </c>
      <c r="G71" s="279">
        <v>431</v>
      </c>
      <c r="H71" s="47">
        <f t="shared" si="28"/>
        <v>0</v>
      </c>
      <c r="I71" s="279">
        <v>36248</v>
      </c>
      <c r="J71" s="279">
        <v>17506</v>
      </c>
      <c r="K71" s="47">
        <f t="shared" si="31"/>
        <v>207.06043642179824</v>
      </c>
      <c r="L71" s="279">
        <v>460</v>
      </c>
      <c r="M71" s="279">
        <v>2076</v>
      </c>
      <c r="N71" s="47">
        <f t="shared" si="29"/>
        <v>22.157996146435451</v>
      </c>
      <c r="O71" s="279">
        <v>32</v>
      </c>
      <c r="P71" s="62">
        <v>49</v>
      </c>
      <c r="Q71" s="279">
        <v>61</v>
      </c>
      <c r="R71" s="45">
        <f t="shared" si="30"/>
        <v>1568</v>
      </c>
    </row>
    <row r="72" spans="1:18" x14ac:dyDescent="0.25">
      <c r="A72" s="40">
        <v>4</v>
      </c>
      <c r="B72" s="41" t="s">
        <v>65</v>
      </c>
      <c r="C72" s="279">
        <v>50482</v>
      </c>
      <c r="D72" s="279">
        <v>26418</v>
      </c>
      <c r="E72" s="47">
        <f t="shared" si="27"/>
        <v>191.08940873646756</v>
      </c>
      <c r="F72" s="279">
        <v>5221</v>
      </c>
      <c r="G72" s="279">
        <v>3890</v>
      </c>
      <c r="H72" s="47">
        <f t="shared" si="28"/>
        <v>134.21593830334191</v>
      </c>
      <c r="I72" s="279">
        <v>64517</v>
      </c>
      <c r="J72" s="279">
        <v>24286</v>
      </c>
      <c r="K72" s="47">
        <f t="shared" si="31"/>
        <v>265.65510993988306</v>
      </c>
      <c r="L72" s="279">
        <v>36849</v>
      </c>
      <c r="M72" s="279">
        <v>0</v>
      </c>
      <c r="N72" s="47">
        <v>0</v>
      </c>
      <c r="O72" s="279">
        <v>79</v>
      </c>
      <c r="P72" s="76">
        <v>50</v>
      </c>
      <c r="Q72" s="279">
        <v>72</v>
      </c>
      <c r="R72" s="45">
        <f t="shared" si="30"/>
        <v>3950</v>
      </c>
    </row>
    <row r="73" spans="1:18" x14ac:dyDescent="0.25">
      <c r="A73" s="40">
        <v>5</v>
      </c>
      <c r="B73" s="41" t="s">
        <v>66</v>
      </c>
      <c r="C73" s="279">
        <v>111336</v>
      </c>
      <c r="D73" s="279">
        <v>81724</v>
      </c>
      <c r="E73" s="47">
        <f t="shared" si="27"/>
        <v>136.2341539816945</v>
      </c>
      <c r="F73" s="279">
        <v>150</v>
      </c>
      <c r="G73" s="279">
        <v>150</v>
      </c>
      <c r="H73" s="34">
        <f t="shared" si="28"/>
        <v>100</v>
      </c>
      <c r="I73" s="279">
        <v>112223</v>
      </c>
      <c r="J73" s="279">
        <v>87365</v>
      </c>
      <c r="K73" s="47">
        <f t="shared" si="31"/>
        <v>128.45304183597551</v>
      </c>
      <c r="L73" s="279">
        <f>97149+2333</f>
        <v>99482</v>
      </c>
      <c r="M73" s="279">
        <f>51494+370</f>
        <v>51864</v>
      </c>
      <c r="N73" s="47">
        <f t="shared" ref="N73:N75" si="32">L73/M73*100</f>
        <v>191.81320376368964</v>
      </c>
      <c r="O73" s="279">
        <v>62</v>
      </c>
      <c r="P73" s="62">
        <v>60</v>
      </c>
      <c r="Q73" s="279">
        <v>61</v>
      </c>
      <c r="R73" s="45">
        <f t="shared" si="30"/>
        <v>3720</v>
      </c>
    </row>
    <row r="74" spans="1:18" s="66" customFormat="1" x14ac:dyDescent="0.25">
      <c r="A74" s="50">
        <v>6</v>
      </c>
      <c r="B74" s="41" t="s">
        <v>67</v>
      </c>
      <c r="C74" s="280">
        <v>2696</v>
      </c>
      <c r="D74" s="280">
        <v>9362</v>
      </c>
      <c r="E74" s="47">
        <f t="shared" si="27"/>
        <v>28.797265541550949</v>
      </c>
      <c r="F74" s="280">
        <v>0</v>
      </c>
      <c r="G74" s="280">
        <v>1000</v>
      </c>
      <c r="H74" s="47">
        <f t="shared" si="28"/>
        <v>0</v>
      </c>
      <c r="I74" s="280">
        <v>3107</v>
      </c>
      <c r="J74" s="280">
        <v>9138</v>
      </c>
      <c r="K74" s="47">
        <f t="shared" si="31"/>
        <v>34.000875465090829</v>
      </c>
      <c r="L74" s="280">
        <v>82</v>
      </c>
      <c r="M74" s="280">
        <v>146</v>
      </c>
      <c r="N74" s="47">
        <f t="shared" si="32"/>
        <v>56.164383561643838</v>
      </c>
      <c r="O74" s="280">
        <v>11</v>
      </c>
      <c r="P74" s="62">
        <v>100</v>
      </c>
      <c r="Q74" s="280">
        <v>10</v>
      </c>
      <c r="R74" s="45">
        <f t="shared" si="30"/>
        <v>1100</v>
      </c>
    </row>
    <row r="75" spans="1:18" x14ac:dyDescent="0.25">
      <c r="A75" s="40">
        <v>7</v>
      </c>
      <c r="B75" s="41" t="s">
        <v>168</v>
      </c>
      <c r="C75" s="279">
        <v>1050741</v>
      </c>
      <c r="D75" s="279">
        <v>1008318</v>
      </c>
      <c r="E75" s="47">
        <f t="shared" si="27"/>
        <v>104.20730364825384</v>
      </c>
      <c r="F75" s="279">
        <v>99321</v>
      </c>
      <c r="G75" s="279">
        <v>92716</v>
      </c>
      <c r="H75" s="47">
        <f t="shared" si="28"/>
        <v>107.12390525907071</v>
      </c>
      <c r="I75" s="279">
        <v>1036728</v>
      </c>
      <c r="J75" s="279">
        <v>1029986</v>
      </c>
      <c r="K75" s="47">
        <f t="shared" si="31"/>
        <v>100.65457200389132</v>
      </c>
      <c r="L75" s="279">
        <f>17865+211410</f>
        <v>229275</v>
      </c>
      <c r="M75" s="279">
        <v>187289</v>
      </c>
      <c r="N75" s="47">
        <f t="shared" si="32"/>
        <v>122.41776078680542</v>
      </c>
      <c r="O75" s="279">
        <v>141</v>
      </c>
      <c r="P75" s="44">
        <v>200</v>
      </c>
      <c r="Q75" s="279">
        <v>140</v>
      </c>
      <c r="R75" s="45">
        <f t="shared" si="30"/>
        <v>28200</v>
      </c>
    </row>
    <row r="76" spans="1:18" x14ac:dyDescent="0.25">
      <c r="A76" s="40">
        <v>8</v>
      </c>
      <c r="B76" s="41" t="s">
        <v>68</v>
      </c>
      <c r="C76" s="279">
        <v>4043</v>
      </c>
      <c r="D76" s="279">
        <v>3258</v>
      </c>
      <c r="E76" s="47">
        <f t="shared" si="27"/>
        <v>124.09453652547575</v>
      </c>
      <c r="F76" s="279">
        <v>0</v>
      </c>
      <c r="G76" s="279">
        <v>0</v>
      </c>
      <c r="H76" s="47">
        <v>0</v>
      </c>
      <c r="I76" s="279">
        <v>25482</v>
      </c>
      <c r="J76" s="279">
        <v>3583</v>
      </c>
      <c r="K76" s="47">
        <f t="shared" si="31"/>
        <v>711.19173876639684</v>
      </c>
      <c r="L76" s="279">
        <v>0</v>
      </c>
      <c r="M76" s="279">
        <v>0</v>
      </c>
      <c r="N76" s="47">
        <v>0</v>
      </c>
      <c r="O76" s="279">
        <v>32</v>
      </c>
      <c r="P76" s="62">
        <v>40</v>
      </c>
      <c r="Q76" s="279">
        <v>31</v>
      </c>
      <c r="R76" s="45">
        <f t="shared" si="30"/>
        <v>1280</v>
      </c>
    </row>
    <row r="77" spans="1:18" x14ac:dyDescent="0.25">
      <c r="A77" s="315" t="s">
        <v>211</v>
      </c>
      <c r="B77" s="315" t="s">
        <v>69</v>
      </c>
      <c r="C77" s="56">
        <f>SUM(C69:C76)</f>
        <v>1899066</v>
      </c>
      <c r="D77" s="56">
        <f>SUM(D69:D76)</f>
        <v>1555641</v>
      </c>
      <c r="E77" s="57">
        <f>C77/D77*100</f>
        <v>122.07610881945128</v>
      </c>
      <c r="F77" s="56">
        <f>SUM(F69:F76)</f>
        <v>136012</v>
      </c>
      <c r="G77" s="56">
        <f>SUM(G69:G76)</f>
        <v>123408</v>
      </c>
      <c r="H77" s="57">
        <f>F77/G77*100</f>
        <v>110.21327628678854</v>
      </c>
      <c r="I77" s="56">
        <f>SUM(I69:I76)</f>
        <v>2045045</v>
      </c>
      <c r="J77" s="56">
        <f>SUM(J69:J76)</f>
        <v>1713005</v>
      </c>
      <c r="K77" s="57">
        <f>I77/J77*100</f>
        <v>119.38348107565359</v>
      </c>
      <c r="L77" s="56">
        <f>SUM(L69:L76)</f>
        <v>1007325</v>
      </c>
      <c r="M77" s="56">
        <f>SUM(M69:M76)</f>
        <v>665328</v>
      </c>
      <c r="N77" s="58">
        <f>L77/M77*100</f>
        <v>151.40276675564536</v>
      </c>
      <c r="O77" s="56">
        <f>SUM(O69:O76)</f>
        <v>536</v>
      </c>
      <c r="P77" s="57">
        <f>R77/O77</f>
        <v>96.386194029850742</v>
      </c>
      <c r="Q77" s="56">
        <f>SUM(Q69:Q76)</f>
        <v>558</v>
      </c>
      <c r="R77" s="59">
        <f>SUM(R69:R76)</f>
        <v>51663</v>
      </c>
    </row>
    <row r="78" spans="1:18" x14ac:dyDescent="0.25">
      <c r="A78" s="352" t="s">
        <v>70</v>
      </c>
      <c r="B78" s="352" t="s">
        <v>70</v>
      </c>
      <c r="C78" s="212">
        <f>C54+C66+C77</f>
        <v>7815614</v>
      </c>
      <c r="D78" s="212">
        <f>D54+D66+D77</f>
        <v>6190402</v>
      </c>
      <c r="E78" s="210">
        <f>C78/D78*100</f>
        <v>126.25373925635202</v>
      </c>
      <c r="F78" s="212">
        <f>F54+F66+F77</f>
        <v>785142</v>
      </c>
      <c r="G78" s="212">
        <f>G54+G66+G77</f>
        <v>456622</v>
      </c>
      <c r="H78" s="210">
        <f>F78/G78*100</f>
        <v>171.94572315832352</v>
      </c>
      <c r="I78" s="212">
        <f>I54+I66+I77</f>
        <v>7231379</v>
      </c>
      <c r="J78" s="212">
        <f>J54+J66+J77</f>
        <v>6508773</v>
      </c>
      <c r="K78" s="210">
        <f>I78/J78*100</f>
        <v>111.1020310586957</v>
      </c>
      <c r="L78" s="212">
        <f>L54+L66+L77</f>
        <v>4027237</v>
      </c>
      <c r="M78" s="212">
        <f>M54+M66+M77</f>
        <v>3255047</v>
      </c>
      <c r="N78" s="210">
        <f>L78/M78*100</f>
        <v>123.72285254252857</v>
      </c>
      <c r="O78" s="212">
        <f>O54+O66+O77</f>
        <v>1953</v>
      </c>
      <c r="P78" s="210">
        <f>R78/O78</f>
        <v>89.004096262160772</v>
      </c>
      <c r="Q78" s="212">
        <f>Q54+Q66+Q77</f>
        <v>2035</v>
      </c>
      <c r="R78" s="213">
        <f>R54+R66+R77</f>
        <v>173825</v>
      </c>
    </row>
    <row r="79" spans="1:18" x14ac:dyDescent="0.25">
      <c r="A79" s="279"/>
      <c r="B79" s="61"/>
      <c r="C79" s="279"/>
      <c r="D79" s="279"/>
      <c r="E79" s="279"/>
      <c r="F79" s="279"/>
      <c r="G79" s="279"/>
      <c r="H79" s="279"/>
      <c r="I79" s="279"/>
      <c r="J79" s="279"/>
      <c r="K79" s="34"/>
      <c r="L79" s="279"/>
      <c r="M79" s="279"/>
      <c r="N79" s="279"/>
      <c r="O79" s="279"/>
      <c r="P79" s="62"/>
      <c r="Q79" s="279"/>
      <c r="R79" s="39"/>
    </row>
    <row r="80" spans="1:18" x14ac:dyDescent="0.25">
      <c r="A80" s="316" t="s">
        <v>18</v>
      </c>
      <c r="B80" s="317"/>
      <c r="C80" s="37">
        <v>3</v>
      </c>
      <c r="D80" s="37">
        <v>4</v>
      </c>
      <c r="E80" s="276">
        <v>5</v>
      </c>
      <c r="F80" s="37">
        <v>6</v>
      </c>
      <c r="G80" s="37">
        <v>7</v>
      </c>
      <c r="H80" s="37">
        <v>8</v>
      </c>
      <c r="I80" s="37">
        <v>9</v>
      </c>
      <c r="J80" s="37">
        <v>10</v>
      </c>
      <c r="K80" s="37">
        <v>11</v>
      </c>
      <c r="L80" s="37">
        <v>12</v>
      </c>
      <c r="M80" s="37">
        <v>13</v>
      </c>
      <c r="N80" s="37">
        <v>14</v>
      </c>
      <c r="O80" s="37">
        <v>15</v>
      </c>
      <c r="P80" s="276">
        <v>16</v>
      </c>
      <c r="Q80" s="37">
        <v>15</v>
      </c>
      <c r="R80" s="39"/>
    </row>
    <row r="81" spans="1:18" x14ac:dyDescent="0.25">
      <c r="A81" s="77">
        <v>1</v>
      </c>
      <c r="B81" s="78" t="s">
        <v>71</v>
      </c>
      <c r="C81" s="51">
        <v>12564</v>
      </c>
      <c r="D81" s="51">
        <v>45239</v>
      </c>
      <c r="E81" s="47">
        <f>C81/D81*100</f>
        <v>27.772497181635313</v>
      </c>
      <c r="F81" s="51">
        <v>406</v>
      </c>
      <c r="G81" s="51">
        <v>269</v>
      </c>
      <c r="H81" s="47">
        <f>F81/G81*100</f>
        <v>150.92936802973978</v>
      </c>
      <c r="I81" s="51">
        <v>9991</v>
      </c>
      <c r="J81" s="51">
        <v>51140</v>
      </c>
      <c r="K81" s="47">
        <f>I81/J81*100</f>
        <v>19.536566288619476</v>
      </c>
      <c r="L81" s="279">
        <v>0</v>
      </c>
      <c r="M81" s="51">
        <v>5674</v>
      </c>
      <c r="N81" s="47">
        <v>0</v>
      </c>
      <c r="O81" s="279">
        <v>2685</v>
      </c>
      <c r="P81" s="51">
        <v>113</v>
      </c>
      <c r="Q81" s="279">
        <v>2643</v>
      </c>
      <c r="R81" s="45">
        <f t="shared" ref="R81:R91" si="33">O81*P81</f>
        <v>303405</v>
      </c>
    </row>
    <row r="82" spans="1:18" x14ac:dyDescent="0.25">
      <c r="A82" s="79">
        <v>2</v>
      </c>
      <c r="B82" s="78" t="s">
        <v>72</v>
      </c>
      <c r="C82" s="51">
        <v>660703</v>
      </c>
      <c r="D82" s="51">
        <v>671260</v>
      </c>
      <c r="E82" s="47">
        <f>C82/D82*100</f>
        <v>98.427285999463692</v>
      </c>
      <c r="F82" s="51">
        <v>63866</v>
      </c>
      <c r="G82" s="51">
        <v>38735</v>
      </c>
      <c r="H82" s="47">
        <f t="shared" ref="H82:H91" si="34">F82/G82*100</f>
        <v>164.879308119272</v>
      </c>
      <c r="I82" s="51">
        <v>634499</v>
      </c>
      <c r="J82" s="51">
        <v>627291</v>
      </c>
      <c r="K82" s="47">
        <f>I82/J82*100</f>
        <v>101.14906797642563</v>
      </c>
      <c r="L82" s="51">
        <v>623993</v>
      </c>
      <c r="M82" s="51">
        <v>618982</v>
      </c>
      <c r="N82" s="47">
        <f t="shared" ref="N82:N91" si="35">L82/M82*100</f>
        <v>100.80955504360385</v>
      </c>
      <c r="O82" s="279">
        <v>756</v>
      </c>
      <c r="P82" s="51">
        <v>112</v>
      </c>
      <c r="Q82" s="279">
        <v>726</v>
      </c>
      <c r="R82" s="45">
        <f t="shared" si="33"/>
        <v>84672</v>
      </c>
    </row>
    <row r="83" spans="1:18" x14ac:dyDescent="0.25">
      <c r="A83" s="77">
        <v>3</v>
      </c>
      <c r="B83" s="78" t="s">
        <v>73</v>
      </c>
      <c r="C83" s="51">
        <v>1205008</v>
      </c>
      <c r="D83" s="51">
        <v>932035</v>
      </c>
      <c r="E83" s="47">
        <f>C83/D83*100</f>
        <v>129.28784863229384</v>
      </c>
      <c r="F83" s="51">
        <v>82599</v>
      </c>
      <c r="G83" s="51">
        <v>102125</v>
      </c>
      <c r="H83" s="47">
        <f t="shared" si="34"/>
        <v>80.880293757649937</v>
      </c>
      <c r="I83" s="51">
        <v>2228418</v>
      </c>
      <c r="J83" s="51">
        <v>1543328</v>
      </c>
      <c r="K83" s="47">
        <f>I83/J83*100</f>
        <v>144.39043417860626</v>
      </c>
      <c r="L83" s="51">
        <v>518249</v>
      </c>
      <c r="M83" s="51">
        <v>338798</v>
      </c>
      <c r="N83" s="47">
        <f t="shared" si="35"/>
        <v>152.96695966328016</v>
      </c>
      <c r="O83" s="279">
        <v>24</v>
      </c>
      <c r="P83" s="51">
        <v>306</v>
      </c>
      <c r="Q83" s="279">
        <v>24</v>
      </c>
      <c r="R83" s="45">
        <f t="shared" si="33"/>
        <v>7344</v>
      </c>
    </row>
    <row r="84" spans="1:18" x14ac:dyDescent="0.25">
      <c r="A84" s="79">
        <v>4</v>
      </c>
      <c r="B84" s="78" t="s">
        <v>74</v>
      </c>
      <c r="C84" s="51">
        <v>910399</v>
      </c>
      <c r="D84" s="51">
        <v>768065</v>
      </c>
      <c r="E84" s="47">
        <f t="shared" ref="E84:E91" si="36">C84/D84*100</f>
        <v>118.53150449506226</v>
      </c>
      <c r="F84" s="51">
        <v>79935</v>
      </c>
      <c r="G84" s="51">
        <v>74154</v>
      </c>
      <c r="H84" s="47">
        <f t="shared" si="34"/>
        <v>107.79593818270085</v>
      </c>
      <c r="I84" s="51">
        <v>918498</v>
      </c>
      <c r="J84" s="51">
        <v>732449</v>
      </c>
      <c r="K84" s="47">
        <f t="shared" ref="K84:K91" si="37">I84/J84*100</f>
        <v>125.40094941763864</v>
      </c>
      <c r="L84" s="279">
        <v>0</v>
      </c>
      <c r="M84" s="51">
        <v>0</v>
      </c>
      <c r="N84" s="47">
        <v>0</v>
      </c>
      <c r="O84" s="279">
        <v>176</v>
      </c>
      <c r="P84" s="51">
        <v>40</v>
      </c>
      <c r="Q84" s="279">
        <v>196</v>
      </c>
      <c r="R84" s="45">
        <f t="shared" si="33"/>
        <v>7040</v>
      </c>
    </row>
    <row r="85" spans="1:18" x14ac:dyDescent="0.25">
      <c r="A85" s="77">
        <v>5</v>
      </c>
      <c r="B85" s="78" t="s">
        <v>75</v>
      </c>
      <c r="C85" s="62">
        <v>338032</v>
      </c>
      <c r="D85" s="62">
        <v>310958</v>
      </c>
      <c r="E85" s="47">
        <f t="shared" si="36"/>
        <v>108.70664205455398</v>
      </c>
      <c r="F85" s="62">
        <v>23754</v>
      </c>
      <c r="G85" s="62">
        <v>24310</v>
      </c>
      <c r="H85" s="47">
        <f t="shared" si="34"/>
        <v>97.712875359934188</v>
      </c>
      <c r="I85" s="62">
        <v>341034</v>
      </c>
      <c r="J85" s="62">
        <v>298234</v>
      </c>
      <c r="K85" s="47">
        <f t="shared" si="37"/>
        <v>114.35114708584535</v>
      </c>
      <c r="L85" s="279">
        <v>143779</v>
      </c>
      <c r="M85" s="62">
        <v>0</v>
      </c>
      <c r="N85" s="47">
        <v>0</v>
      </c>
      <c r="O85" s="279">
        <v>99</v>
      </c>
      <c r="P85" s="62">
        <v>45</v>
      </c>
      <c r="Q85" s="279">
        <v>102</v>
      </c>
      <c r="R85" s="45">
        <f t="shared" si="33"/>
        <v>4455</v>
      </c>
    </row>
    <row r="86" spans="1:18" x14ac:dyDescent="0.25">
      <c r="A86" s="79">
        <v>6</v>
      </c>
      <c r="B86" s="78" t="s">
        <v>76</v>
      </c>
      <c r="C86" s="42">
        <v>0</v>
      </c>
      <c r="D86" s="42">
        <v>0</v>
      </c>
      <c r="E86" s="43">
        <v>0</v>
      </c>
      <c r="F86" s="42">
        <v>0</v>
      </c>
      <c r="G86" s="42">
        <v>0</v>
      </c>
      <c r="H86" s="43">
        <v>0</v>
      </c>
      <c r="I86" s="42">
        <v>0</v>
      </c>
      <c r="J86" s="42">
        <v>0</v>
      </c>
      <c r="K86" s="43">
        <v>0</v>
      </c>
      <c r="L86" s="42">
        <v>0</v>
      </c>
      <c r="M86" s="42">
        <v>0</v>
      </c>
      <c r="N86" s="43">
        <v>0</v>
      </c>
      <c r="O86" s="279">
        <v>0</v>
      </c>
      <c r="P86" s="44">
        <v>0</v>
      </c>
      <c r="Q86" s="279">
        <v>0</v>
      </c>
      <c r="R86" s="45">
        <f t="shared" si="33"/>
        <v>0</v>
      </c>
    </row>
    <row r="87" spans="1:18" x14ac:dyDescent="0.25">
      <c r="A87" s="77">
        <v>7</v>
      </c>
      <c r="B87" s="78" t="s">
        <v>77</v>
      </c>
      <c r="C87" s="51">
        <v>406</v>
      </c>
      <c r="D87" s="62">
        <v>839</v>
      </c>
      <c r="E87" s="47">
        <f t="shared" si="36"/>
        <v>48.390941597139452</v>
      </c>
      <c r="F87" s="51">
        <v>0</v>
      </c>
      <c r="G87" s="62">
        <v>0</v>
      </c>
      <c r="H87" s="47">
        <v>0</v>
      </c>
      <c r="I87" s="51">
        <v>406</v>
      </c>
      <c r="J87" s="62">
        <v>839</v>
      </c>
      <c r="K87" s="47">
        <f t="shared" ref="K87:K88" si="38">I87/J87*100</f>
        <v>48.390941597139452</v>
      </c>
      <c r="L87" s="279">
        <v>0</v>
      </c>
      <c r="M87" s="62">
        <v>0</v>
      </c>
      <c r="N87" s="47">
        <v>0</v>
      </c>
      <c r="O87" s="279">
        <v>8</v>
      </c>
      <c r="P87" s="51">
        <v>75</v>
      </c>
      <c r="Q87" s="279">
        <v>10</v>
      </c>
      <c r="R87" s="45">
        <f t="shared" si="33"/>
        <v>600</v>
      </c>
    </row>
    <row r="88" spans="1:18" x14ac:dyDescent="0.25">
      <c r="A88" s="79">
        <v>8</v>
      </c>
      <c r="B88" s="81" t="s">
        <v>78</v>
      </c>
      <c r="C88" s="62">
        <v>973986</v>
      </c>
      <c r="D88" s="62">
        <v>1060799</v>
      </c>
      <c r="E88" s="47">
        <f t="shared" si="36"/>
        <v>91.816263024380689</v>
      </c>
      <c r="F88" s="62">
        <v>42488</v>
      </c>
      <c r="G88" s="62">
        <v>68966</v>
      </c>
      <c r="H88" s="47">
        <f t="shared" ref="H88" si="39">F88/G88*100</f>
        <v>61.607168749818754</v>
      </c>
      <c r="I88" s="62">
        <v>1137224</v>
      </c>
      <c r="J88" s="62">
        <v>1136707</v>
      </c>
      <c r="K88" s="47">
        <f t="shared" si="38"/>
        <v>100.0454822570812</v>
      </c>
      <c r="L88" s="279">
        <v>1211807</v>
      </c>
      <c r="M88" s="62">
        <v>265741</v>
      </c>
      <c r="N88" s="47">
        <f t="shared" si="35"/>
        <v>456.01055162733638</v>
      </c>
      <c r="O88" s="279">
        <v>76</v>
      </c>
      <c r="P88" s="51">
        <v>85</v>
      </c>
      <c r="Q88" s="279">
        <v>84</v>
      </c>
      <c r="R88" s="45">
        <f t="shared" si="33"/>
        <v>6460</v>
      </c>
    </row>
    <row r="89" spans="1:18" x14ac:dyDescent="0.25">
      <c r="A89" s="77">
        <v>9</v>
      </c>
      <c r="B89" s="81" t="s">
        <v>79</v>
      </c>
      <c r="C89" s="51">
        <v>2088371</v>
      </c>
      <c r="D89" s="51">
        <v>2222249</v>
      </c>
      <c r="E89" s="47">
        <f t="shared" si="36"/>
        <v>93.975562594470745</v>
      </c>
      <c r="F89" s="51">
        <v>145644</v>
      </c>
      <c r="G89" s="51">
        <v>141426</v>
      </c>
      <c r="H89" s="47">
        <f t="shared" si="34"/>
        <v>102.98247846930551</v>
      </c>
      <c r="I89" s="51">
        <v>2188108</v>
      </c>
      <c r="J89" s="51">
        <v>2379911</v>
      </c>
      <c r="K89" s="47">
        <f t="shared" si="37"/>
        <v>91.940749044817224</v>
      </c>
      <c r="L89" s="279">
        <v>0</v>
      </c>
      <c r="M89" s="51">
        <v>0</v>
      </c>
      <c r="N89" s="47">
        <v>0</v>
      </c>
      <c r="O89" s="279">
        <v>163</v>
      </c>
      <c r="P89" s="51">
        <v>145</v>
      </c>
      <c r="Q89" s="279">
        <v>128</v>
      </c>
      <c r="R89" s="45">
        <f t="shared" si="33"/>
        <v>23635</v>
      </c>
    </row>
    <row r="90" spans="1:18" x14ac:dyDescent="0.25">
      <c r="A90" s="79">
        <v>10</v>
      </c>
      <c r="B90" s="78" t="s">
        <v>80</v>
      </c>
      <c r="C90" s="51">
        <v>1343029</v>
      </c>
      <c r="D90" s="51">
        <v>1124699</v>
      </c>
      <c r="E90" s="47">
        <f t="shared" si="36"/>
        <v>119.41230498115496</v>
      </c>
      <c r="F90" s="51">
        <v>155359</v>
      </c>
      <c r="G90" s="51">
        <v>129270</v>
      </c>
      <c r="H90" s="47">
        <f t="shared" si="34"/>
        <v>120.18179005182949</v>
      </c>
      <c r="I90" s="51">
        <v>1362793</v>
      </c>
      <c r="J90" s="51">
        <v>998526</v>
      </c>
      <c r="K90" s="47">
        <f t="shared" si="37"/>
        <v>136.48047221604645</v>
      </c>
      <c r="L90" s="279">
        <f>327358+385034</f>
        <v>712392</v>
      </c>
      <c r="M90" s="51">
        <f>289223+135614</f>
        <v>424837</v>
      </c>
      <c r="N90" s="47">
        <f t="shared" si="35"/>
        <v>167.68595955625335</v>
      </c>
      <c r="O90" s="279">
        <v>126</v>
      </c>
      <c r="P90" s="51">
        <v>171</v>
      </c>
      <c r="Q90" s="279">
        <v>124</v>
      </c>
      <c r="R90" s="45">
        <f t="shared" si="33"/>
        <v>21546</v>
      </c>
    </row>
    <row r="91" spans="1:18" x14ac:dyDescent="0.25">
      <c r="A91" s="77">
        <v>11</v>
      </c>
      <c r="B91" s="78" t="s">
        <v>81</v>
      </c>
      <c r="C91" s="77">
        <v>320224</v>
      </c>
      <c r="D91" s="181">
        <v>250805</v>
      </c>
      <c r="E91" s="47">
        <f t="shared" si="36"/>
        <v>127.6784753095034</v>
      </c>
      <c r="F91" s="51">
        <v>30337</v>
      </c>
      <c r="G91" s="51">
        <v>28536</v>
      </c>
      <c r="H91" s="47">
        <f t="shared" si="34"/>
        <v>106.31132604429492</v>
      </c>
      <c r="I91" s="82">
        <v>3343949</v>
      </c>
      <c r="J91" s="83">
        <v>3251216</v>
      </c>
      <c r="K91" s="47">
        <f t="shared" si="37"/>
        <v>102.85225589440996</v>
      </c>
      <c r="L91" s="82">
        <v>25612</v>
      </c>
      <c r="M91" s="83">
        <f>34306+24028</f>
        <v>58334</v>
      </c>
      <c r="N91" s="47">
        <f t="shared" si="35"/>
        <v>43.905783933897894</v>
      </c>
      <c r="O91" s="279">
        <v>51</v>
      </c>
      <c r="P91" s="51">
        <v>250</v>
      </c>
      <c r="Q91" s="279">
        <v>51</v>
      </c>
      <c r="R91" s="45">
        <f t="shared" si="33"/>
        <v>12750</v>
      </c>
    </row>
    <row r="92" spans="1:18" x14ac:dyDescent="0.25">
      <c r="A92" s="315" t="s">
        <v>82</v>
      </c>
      <c r="B92" s="315" t="s">
        <v>83</v>
      </c>
      <c r="C92" s="58">
        <f>SUM(C81:C91)</f>
        <v>7852722</v>
      </c>
      <c r="D92" s="58">
        <f>SUM(D81:D91)</f>
        <v>7386948</v>
      </c>
      <c r="E92" s="57">
        <f>C92/D92*100</f>
        <v>106.30536454297498</v>
      </c>
      <c r="F92" s="58">
        <f>SUM(F81:F91)</f>
        <v>624388</v>
      </c>
      <c r="G92" s="58">
        <f>SUM(G81:G91)</f>
        <v>607791</v>
      </c>
      <c r="H92" s="57">
        <f>F92/G92*100</f>
        <v>102.73070841786074</v>
      </c>
      <c r="I92" s="58">
        <f>SUM(I81:I91)</f>
        <v>12164920</v>
      </c>
      <c r="J92" s="58">
        <f>SUM(J81:J91)</f>
        <v>11019641</v>
      </c>
      <c r="K92" s="57">
        <f>I92/J92*100</f>
        <v>110.39306997387664</v>
      </c>
      <c r="L92" s="58">
        <f>SUM(L81:L91)</f>
        <v>3235832</v>
      </c>
      <c r="M92" s="58">
        <f>SUM(M81:M91)</f>
        <v>1712366</v>
      </c>
      <c r="N92" s="57">
        <f>L92/M92*100</f>
        <v>188.96847986937374</v>
      </c>
      <c r="O92" s="56">
        <f>SUM(O81:O91)</f>
        <v>4164</v>
      </c>
      <c r="P92" s="57">
        <f>R92/O92</f>
        <v>113.33021133525456</v>
      </c>
      <c r="Q92" s="56">
        <f>SUM(Q81:Q91)</f>
        <v>4088</v>
      </c>
      <c r="R92" s="59">
        <f>SUM(R81:R91)</f>
        <v>471907</v>
      </c>
    </row>
    <row r="93" spans="1:18" x14ac:dyDescent="0.25">
      <c r="A93" s="279"/>
      <c r="B93" s="279"/>
      <c r="C93" s="279"/>
      <c r="D93" s="279"/>
      <c r="E93" s="279"/>
      <c r="F93" s="279"/>
      <c r="G93" s="279"/>
      <c r="H93" s="279"/>
      <c r="I93" s="279"/>
      <c r="J93" s="279"/>
      <c r="K93" s="34"/>
      <c r="L93" s="279"/>
      <c r="M93" s="279"/>
      <c r="N93" s="279"/>
      <c r="O93" s="279"/>
      <c r="P93" s="62"/>
      <c r="Q93" s="279"/>
      <c r="R93" s="39"/>
    </row>
    <row r="94" spans="1:18" x14ac:dyDescent="0.25">
      <c r="A94" s="316" t="s">
        <v>19</v>
      </c>
      <c r="B94" s="317"/>
      <c r="C94" s="37">
        <v>3</v>
      </c>
      <c r="D94" s="37">
        <v>4</v>
      </c>
      <c r="E94" s="276">
        <v>5</v>
      </c>
      <c r="F94" s="37">
        <v>6</v>
      </c>
      <c r="G94" s="37">
        <v>7</v>
      </c>
      <c r="H94" s="37">
        <v>8</v>
      </c>
      <c r="I94" s="37">
        <v>9</v>
      </c>
      <c r="J94" s="37">
        <v>10</v>
      </c>
      <c r="K94" s="37">
        <v>11</v>
      </c>
      <c r="L94" s="37">
        <v>12</v>
      </c>
      <c r="M94" s="37">
        <v>13</v>
      </c>
      <c r="N94" s="37">
        <v>14</v>
      </c>
      <c r="O94" s="37">
        <v>15</v>
      </c>
      <c r="P94" s="276">
        <v>16</v>
      </c>
      <c r="Q94" s="37">
        <v>15</v>
      </c>
      <c r="R94" s="39"/>
    </row>
    <row r="95" spans="1:18" x14ac:dyDescent="0.25">
      <c r="A95" s="85">
        <v>1</v>
      </c>
      <c r="B95" s="81" t="s">
        <v>84</v>
      </c>
      <c r="C95" s="87">
        <v>309335</v>
      </c>
      <c r="D95" s="87">
        <v>340563</v>
      </c>
      <c r="E95" s="47">
        <f>C95/D95*100</f>
        <v>90.830477767696422</v>
      </c>
      <c r="F95" s="87">
        <v>23518</v>
      </c>
      <c r="G95" s="87">
        <v>34836</v>
      </c>
      <c r="H95" s="47">
        <f>F95/G95*100</f>
        <v>67.510621196463433</v>
      </c>
      <c r="I95" s="87">
        <v>298907</v>
      </c>
      <c r="J95" s="86">
        <v>345268</v>
      </c>
      <c r="K95" s="47">
        <f>I95/J95*100</f>
        <v>86.572459654529226</v>
      </c>
      <c r="L95" s="87">
        <v>298596</v>
      </c>
      <c r="M95" s="87">
        <v>332493</v>
      </c>
      <c r="N95" s="47">
        <f t="shared" ref="N95" si="40">L95/M95*100</f>
        <v>89.805198906443138</v>
      </c>
      <c r="O95" s="129">
        <v>276</v>
      </c>
      <c r="P95" s="62">
        <v>52</v>
      </c>
      <c r="Q95" s="129">
        <v>303</v>
      </c>
      <c r="R95" s="45">
        <f t="shared" ref="R95:R119" si="41">O95*P95</f>
        <v>14352</v>
      </c>
    </row>
    <row r="96" spans="1:18" x14ac:dyDescent="0.25">
      <c r="A96" s="85">
        <v>2</v>
      </c>
      <c r="B96" s="81" t="s">
        <v>85</v>
      </c>
      <c r="C96" s="42">
        <v>0</v>
      </c>
      <c r="D96" s="42">
        <v>0</v>
      </c>
      <c r="E96" s="43">
        <v>0</v>
      </c>
      <c r="F96" s="42">
        <v>0</v>
      </c>
      <c r="G96" s="42">
        <v>0</v>
      </c>
      <c r="H96" s="43">
        <v>0</v>
      </c>
      <c r="I96" s="42">
        <v>0</v>
      </c>
      <c r="J96" s="42">
        <v>0</v>
      </c>
      <c r="K96" s="43">
        <v>0</v>
      </c>
      <c r="L96" s="42">
        <v>0</v>
      </c>
      <c r="M96" s="42">
        <v>0</v>
      </c>
      <c r="N96" s="43">
        <v>0</v>
      </c>
      <c r="O96" s="279">
        <v>0</v>
      </c>
      <c r="P96" s="44">
        <v>0</v>
      </c>
      <c r="Q96" s="279">
        <v>0</v>
      </c>
      <c r="R96" s="45">
        <f t="shared" si="41"/>
        <v>0</v>
      </c>
    </row>
    <row r="97" spans="1:18" x14ac:dyDescent="0.25">
      <c r="A97" s="85">
        <v>3</v>
      </c>
      <c r="B97" s="78" t="s">
        <v>86</v>
      </c>
      <c r="C97" s="42">
        <v>0</v>
      </c>
      <c r="D97" s="42">
        <v>0</v>
      </c>
      <c r="E97" s="43">
        <v>0</v>
      </c>
      <c r="F97" s="42">
        <v>0</v>
      </c>
      <c r="G97" s="42">
        <v>0</v>
      </c>
      <c r="H97" s="43">
        <v>0</v>
      </c>
      <c r="I97" s="42">
        <v>0</v>
      </c>
      <c r="J97" s="42">
        <v>0</v>
      </c>
      <c r="K97" s="43">
        <v>0</v>
      </c>
      <c r="L97" s="42">
        <v>0</v>
      </c>
      <c r="M97" s="42">
        <v>0</v>
      </c>
      <c r="N97" s="43">
        <v>0</v>
      </c>
      <c r="O97" s="279">
        <v>0</v>
      </c>
      <c r="P97" s="44">
        <v>0</v>
      </c>
      <c r="Q97" s="279">
        <v>0</v>
      </c>
      <c r="R97" s="45">
        <f t="shared" si="41"/>
        <v>0</v>
      </c>
    </row>
    <row r="98" spans="1:18" x14ac:dyDescent="0.25">
      <c r="A98" s="85">
        <v>4</v>
      </c>
      <c r="B98" s="81" t="s">
        <v>87</v>
      </c>
      <c r="C98" s="86">
        <v>0</v>
      </c>
      <c r="D98" s="87">
        <v>0</v>
      </c>
      <c r="E98" s="47">
        <v>0</v>
      </c>
      <c r="F98" s="86">
        <v>0</v>
      </c>
      <c r="G98" s="87">
        <v>0</v>
      </c>
      <c r="H98" s="47">
        <v>0</v>
      </c>
      <c r="I98" s="86">
        <v>0</v>
      </c>
      <c r="J98" s="86">
        <v>0</v>
      </c>
      <c r="K98" s="47">
        <v>0</v>
      </c>
      <c r="L98" s="87">
        <v>0</v>
      </c>
      <c r="M98" s="87">
        <v>0</v>
      </c>
      <c r="N98" s="34">
        <v>0</v>
      </c>
      <c r="O98" s="129">
        <v>6</v>
      </c>
      <c r="P98" s="87">
        <v>68</v>
      </c>
      <c r="Q98" s="129">
        <v>6</v>
      </c>
      <c r="R98" s="45">
        <f t="shared" si="41"/>
        <v>408</v>
      </c>
    </row>
    <row r="99" spans="1:18" x14ac:dyDescent="0.25">
      <c r="A99" s="85">
        <v>5</v>
      </c>
      <c r="B99" s="81" t="s">
        <v>88</v>
      </c>
      <c r="C99" s="87">
        <v>549659</v>
      </c>
      <c r="D99" s="87">
        <v>690555</v>
      </c>
      <c r="E99" s="47">
        <f t="shared" ref="E99:E119" si="42">C99/D99*100</f>
        <v>79.596701204103951</v>
      </c>
      <c r="F99" s="87">
        <v>23570</v>
      </c>
      <c r="G99" s="87">
        <v>60388</v>
      </c>
      <c r="H99" s="47">
        <f t="shared" ref="H99:H119" si="43">F99/G99*100</f>
        <v>39.030933298006225</v>
      </c>
      <c r="I99" s="87">
        <v>624910</v>
      </c>
      <c r="J99" s="87">
        <v>721638</v>
      </c>
      <c r="K99" s="47">
        <f t="shared" ref="K99:K119" si="44">I99/J99*100</f>
        <v>86.596049542845577</v>
      </c>
      <c r="L99" s="87">
        <v>624910</v>
      </c>
      <c r="M99" s="87">
        <v>721638</v>
      </c>
      <c r="N99" s="47">
        <f t="shared" ref="N99:N107" si="45">L99/M99*100</f>
        <v>86.596049542845577</v>
      </c>
      <c r="O99" s="129">
        <v>427</v>
      </c>
      <c r="P99" s="87">
        <v>52</v>
      </c>
      <c r="Q99" s="129">
        <v>435</v>
      </c>
      <c r="R99" s="45">
        <f t="shared" si="41"/>
        <v>22204</v>
      </c>
    </row>
    <row r="100" spans="1:18" x14ac:dyDescent="0.25">
      <c r="A100" s="85">
        <v>6</v>
      </c>
      <c r="B100" s="81" t="s">
        <v>89</v>
      </c>
      <c r="C100" s="42">
        <v>0</v>
      </c>
      <c r="D100" s="42">
        <v>0</v>
      </c>
      <c r="E100" s="43">
        <v>0</v>
      </c>
      <c r="F100" s="42">
        <v>0</v>
      </c>
      <c r="G100" s="42">
        <v>0</v>
      </c>
      <c r="H100" s="43">
        <v>0</v>
      </c>
      <c r="I100" s="42">
        <v>0</v>
      </c>
      <c r="J100" s="42">
        <v>0</v>
      </c>
      <c r="K100" s="43">
        <v>0</v>
      </c>
      <c r="L100" s="42">
        <v>0</v>
      </c>
      <c r="M100" s="42">
        <v>0</v>
      </c>
      <c r="N100" s="43">
        <v>0</v>
      </c>
      <c r="O100" s="279">
        <v>0</v>
      </c>
      <c r="P100" s="44">
        <v>0</v>
      </c>
      <c r="Q100" s="279">
        <v>0</v>
      </c>
      <c r="R100" s="45">
        <f t="shared" si="41"/>
        <v>0</v>
      </c>
    </row>
    <row r="101" spans="1:18" x14ac:dyDescent="0.25">
      <c r="A101" s="85">
        <v>7</v>
      </c>
      <c r="B101" s="78" t="s">
        <v>90</v>
      </c>
      <c r="C101" s="42">
        <v>0</v>
      </c>
      <c r="D101" s="42">
        <v>0</v>
      </c>
      <c r="E101" s="43">
        <v>0</v>
      </c>
      <c r="F101" s="42">
        <v>0</v>
      </c>
      <c r="G101" s="42">
        <v>0</v>
      </c>
      <c r="H101" s="43">
        <v>0</v>
      </c>
      <c r="I101" s="42">
        <v>0</v>
      </c>
      <c r="J101" s="42">
        <v>0</v>
      </c>
      <c r="K101" s="43">
        <v>0</v>
      </c>
      <c r="L101" s="42">
        <v>0</v>
      </c>
      <c r="M101" s="42">
        <v>0</v>
      </c>
      <c r="N101" s="43">
        <v>0</v>
      </c>
      <c r="O101" s="279">
        <v>0</v>
      </c>
      <c r="P101" s="44">
        <v>0</v>
      </c>
      <c r="Q101" s="279">
        <v>0</v>
      </c>
      <c r="R101" s="45">
        <f t="shared" si="41"/>
        <v>0</v>
      </c>
    </row>
    <row r="102" spans="1:18" x14ac:dyDescent="0.25">
      <c r="A102" s="85">
        <v>8</v>
      </c>
      <c r="B102" s="81" t="s">
        <v>91</v>
      </c>
      <c r="C102" s="51">
        <v>370547</v>
      </c>
      <c r="D102" s="51">
        <v>326283</v>
      </c>
      <c r="E102" s="190">
        <f t="shared" si="42"/>
        <v>113.56613737154555</v>
      </c>
      <c r="F102" s="51">
        <v>38236</v>
      </c>
      <c r="G102" s="51">
        <v>22383</v>
      </c>
      <c r="H102" s="51">
        <f t="shared" ref="H102:H106" si="46">F102/G102*100</f>
        <v>170.82607335924587</v>
      </c>
      <c r="I102" s="51">
        <v>323560</v>
      </c>
      <c r="J102" s="51">
        <v>219935</v>
      </c>
      <c r="K102" s="51">
        <f t="shared" si="44"/>
        <v>147.11619342078342</v>
      </c>
      <c r="L102" s="51">
        <f>10836+96385</f>
        <v>107221</v>
      </c>
      <c r="M102" s="51">
        <v>35151</v>
      </c>
      <c r="N102" s="51">
        <f t="shared" si="45"/>
        <v>305.02972888395777</v>
      </c>
      <c r="O102" s="51">
        <v>118</v>
      </c>
      <c r="P102" s="51">
        <v>66</v>
      </c>
      <c r="Q102" s="51">
        <v>120</v>
      </c>
      <c r="R102" s="45">
        <f t="shared" si="41"/>
        <v>7788</v>
      </c>
    </row>
    <row r="103" spans="1:18" x14ac:dyDescent="0.25">
      <c r="A103" s="85">
        <v>9</v>
      </c>
      <c r="B103" s="81" t="s">
        <v>92</v>
      </c>
      <c r="C103" s="42">
        <v>0</v>
      </c>
      <c r="D103" s="42">
        <v>0</v>
      </c>
      <c r="E103" s="43">
        <v>0</v>
      </c>
      <c r="F103" s="42">
        <v>0</v>
      </c>
      <c r="G103" s="42">
        <v>0</v>
      </c>
      <c r="H103" s="43">
        <v>0</v>
      </c>
      <c r="I103" s="42">
        <v>0</v>
      </c>
      <c r="J103" s="42">
        <v>0</v>
      </c>
      <c r="K103" s="43">
        <v>0</v>
      </c>
      <c r="L103" s="42">
        <v>0</v>
      </c>
      <c r="M103" s="42">
        <v>0</v>
      </c>
      <c r="N103" s="43">
        <v>0</v>
      </c>
      <c r="O103" s="279">
        <v>0</v>
      </c>
      <c r="P103" s="44">
        <v>0</v>
      </c>
      <c r="Q103" s="279">
        <v>0</v>
      </c>
      <c r="R103" s="45">
        <f t="shared" si="41"/>
        <v>0</v>
      </c>
    </row>
    <row r="104" spans="1:18" x14ac:dyDescent="0.25">
      <c r="A104" s="85">
        <v>10</v>
      </c>
      <c r="B104" s="78" t="s">
        <v>93</v>
      </c>
      <c r="C104" s="279">
        <v>125671</v>
      </c>
      <c r="D104" s="279">
        <v>152624</v>
      </c>
      <c r="E104" s="47">
        <f t="shared" ref="E104" si="47">C104/D104*100</f>
        <v>82.340261033651331</v>
      </c>
      <c r="F104" s="279">
        <v>0</v>
      </c>
      <c r="G104" s="279">
        <v>0</v>
      </c>
      <c r="H104" s="51">
        <v>0</v>
      </c>
      <c r="I104" s="280">
        <v>125671</v>
      </c>
      <c r="J104" s="280">
        <v>152624</v>
      </c>
      <c r="K104" s="47">
        <f t="shared" ref="K104" si="48">I104/J104*100</f>
        <v>82.340261033651331</v>
      </c>
      <c r="L104" s="280">
        <v>125671</v>
      </c>
      <c r="M104" s="280">
        <v>152624</v>
      </c>
      <c r="N104" s="34">
        <f t="shared" si="45"/>
        <v>82.340261033651331</v>
      </c>
      <c r="O104" s="129">
        <v>73</v>
      </c>
      <c r="P104" s="87">
        <v>37</v>
      </c>
      <c r="Q104" s="129">
        <v>75</v>
      </c>
      <c r="R104" s="45">
        <f t="shared" si="41"/>
        <v>2701</v>
      </c>
    </row>
    <row r="105" spans="1:18" x14ac:dyDescent="0.25">
      <c r="A105" s="85">
        <v>11</v>
      </c>
      <c r="B105" s="81" t="s">
        <v>94</v>
      </c>
      <c r="C105" s="42">
        <v>0</v>
      </c>
      <c r="D105" s="42">
        <v>0</v>
      </c>
      <c r="E105" s="43">
        <v>0</v>
      </c>
      <c r="F105" s="42">
        <v>0</v>
      </c>
      <c r="G105" s="42">
        <v>0</v>
      </c>
      <c r="H105" s="43">
        <v>0</v>
      </c>
      <c r="I105" s="42">
        <v>0</v>
      </c>
      <c r="J105" s="42">
        <v>0</v>
      </c>
      <c r="K105" s="43">
        <v>0</v>
      </c>
      <c r="L105" s="42">
        <v>0</v>
      </c>
      <c r="M105" s="42">
        <v>0</v>
      </c>
      <c r="N105" s="43">
        <v>0</v>
      </c>
      <c r="O105" s="279">
        <v>0</v>
      </c>
      <c r="P105" s="44">
        <v>0</v>
      </c>
      <c r="Q105" s="279">
        <v>0</v>
      </c>
      <c r="R105" s="45">
        <f t="shared" si="41"/>
        <v>0</v>
      </c>
    </row>
    <row r="106" spans="1:18" x14ac:dyDescent="0.25">
      <c r="A106" s="85">
        <v>12</v>
      </c>
      <c r="B106" s="81" t="s">
        <v>95</v>
      </c>
      <c r="C106" s="86">
        <v>86524</v>
      </c>
      <c r="D106" s="87">
        <v>109324</v>
      </c>
      <c r="E106" s="47">
        <f t="shared" si="42"/>
        <v>79.144561121071305</v>
      </c>
      <c r="F106" s="86">
        <v>0</v>
      </c>
      <c r="G106" s="87">
        <v>5533</v>
      </c>
      <c r="H106" s="47">
        <f t="shared" si="46"/>
        <v>0</v>
      </c>
      <c r="I106" s="86">
        <v>86524</v>
      </c>
      <c r="J106" s="86">
        <v>108600</v>
      </c>
      <c r="K106" s="47">
        <f t="shared" ref="K106" si="49">I106/J106*100</f>
        <v>79.672191528545127</v>
      </c>
      <c r="L106" s="87">
        <v>0</v>
      </c>
      <c r="M106" s="87">
        <v>0</v>
      </c>
      <c r="N106" s="34">
        <v>0</v>
      </c>
      <c r="O106" s="129">
        <v>7</v>
      </c>
      <c r="P106" s="87">
        <v>42</v>
      </c>
      <c r="Q106" s="129">
        <v>10</v>
      </c>
      <c r="R106" s="45">
        <f t="shared" si="41"/>
        <v>294</v>
      </c>
    </row>
    <row r="107" spans="1:18" x14ac:dyDescent="0.25">
      <c r="A107" s="85">
        <v>13</v>
      </c>
      <c r="B107" s="81" t="s">
        <v>96</v>
      </c>
      <c r="C107" s="86">
        <v>50467</v>
      </c>
      <c r="D107" s="87">
        <v>156385</v>
      </c>
      <c r="E107" s="47">
        <f t="shared" si="42"/>
        <v>32.270997857850823</v>
      </c>
      <c r="F107" s="86">
        <v>2128</v>
      </c>
      <c r="G107" s="86">
        <v>10047</v>
      </c>
      <c r="H107" s="47">
        <f t="shared" si="43"/>
        <v>21.180451876181944</v>
      </c>
      <c r="I107" s="86">
        <v>98948</v>
      </c>
      <c r="J107" s="86">
        <v>155754</v>
      </c>
      <c r="K107" s="47">
        <f t="shared" si="44"/>
        <v>63.528384503768763</v>
      </c>
      <c r="L107" s="87">
        <f>28982+52721</f>
        <v>81703</v>
      </c>
      <c r="M107" s="87">
        <v>149508</v>
      </c>
      <c r="N107" s="47">
        <f t="shared" si="45"/>
        <v>54.647911817427833</v>
      </c>
      <c r="O107" s="129">
        <v>82</v>
      </c>
      <c r="P107" s="87">
        <v>42</v>
      </c>
      <c r="Q107" s="129">
        <v>85</v>
      </c>
      <c r="R107" s="45">
        <f t="shared" si="41"/>
        <v>3444</v>
      </c>
    </row>
    <row r="108" spans="1:18" x14ac:dyDescent="0.25">
      <c r="A108" s="85">
        <v>14</v>
      </c>
      <c r="B108" s="81" t="s">
        <v>97</v>
      </c>
      <c r="C108" s="42">
        <v>0</v>
      </c>
      <c r="D108" s="42">
        <v>0</v>
      </c>
      <c r="E108" s="43">
        <v>0</v>
      </c>
      <c r="F108" s="42">
        <v>0</v>
      </c>
      <c r="G108" s="42">
        <v>0</v>
      </c>
      <c r="H108" s="43">
        <v>0</v>
      </c>
      <c r="I108" s="42">
        <v>0</v>
      </c>
      <c r="J108" s="42">
        <v>0</v>
      </c>
      <c r="K108" s="43">
        <v>0</v>
      </c>
      <c r="L108" s="42">
        <v>0</v>
      </c>
      <c r="M108" s="42">
        <v>0</v>
      </c>
      <c r="N108" s="43">
        <v>0</v>
      </c>
      <c r="O108" s="279">
        <v>0</v>
      </c>
      <c r="P108" s="44">
        <v>0</v>
      </c>
      <c r="Q108" s="279">
        <v>0</v>
      </c>
      <c r="R108" s="45">
        <f t="shared" si="41"/>
        <v>0</v>
      </c>
    </row>
    <row r="109" spans="1:18" x14ac:dyDescent="0.25">
      <c r="A109" s="85">
        <v>15</v>
      </c>
      <c r="B109" s="81" t="s">
        <v>223</v>
      </c>
      <c r="C109" s="51">
        <v>43921</v>
      </c>
      <c r="D109" s="51">
        <v>7080</v>
      </c>
      <c r="E109" s="34">
        <f t="shared" si="42"/>
        <v>620.3531073446328</v>
      </c>
      <c r="F109" s="51">
        <v>0</v>
      </c>
      <c r="G109" s="51">
        <v>0</v>
      </c>
      <c r="H109" s="47">
        <v>0</v>
      </c>
      <c r="I109" s="51">
        <v>43921</v>
      </c>
      <c r="J109" s="51">
        <v>7080</v>
      </c>
      <c r="K109" s="47">
        <v>0</v>
      </c>
      <c r="L109" s="51">
        <v>43921</v>
      </c>
      <c r="M109" s="51">
        <v>7080</v>
      </c>
      <c r="N109" s="47">
        <v>0</v>
      </c>
      <c r="O109" s="279">
        <v>80</v>
      </c>
      <c r="P109" s="44"/>
      <c r="Q109" s="279">
        <v>80</v>
      </c>
      <c r="R109" s="45">
        <f t="shared" si="41"/>
        <v>0</v>
      </c>
    </row>
    <row r="110" spans="1:18" x14ac:dyDescent="0.25">
      <c r="A110" s="85">
        <v>16</v>
      </c>
      <c r="B110" s="81" t="s">
        <v>99</v>
      </c>
      <c r="C110" s="51">
        <v>442656</v>
      </c>
      <c r="D110" s="51">
        <v>650660</v>
      </c>
      <c r="E110" s="47">
        <f t="shared" si="42"/>
        <v>68.031844588571602</v>
      </c>
      <c r="F110" s="51">
        <v>6943</v>
      </c>
      <c r="G110" s="51">
        <v>0</v>
      </c>
      <c r="H110" s="47">
        <v>0</v>
      </c>
      <c r="I110" s="51">
        <v>433349</v>
      </c>
      <c r="J110" s="51">
        <v>573133</v>
      </c>
      <c r="K110" s="47">
        <f t="shared" ref="K110" si="50">I110/J110*100</f>
        <v>75.610547639029676</v>
      </c>
      <c r="L110" s="51">
        <v>0</v>
      </c>
      <c r="M110" s="51">
        <v>0</v>
      </c>
      <c r="N110" s="47">
        <v>383</v>
      </c>
      <c r="O110" s="129">
        <v>39</v>
      </c>
      <c r="P110" s="44">
        <v>50</v>
      </c>
      <c r="Q110" s="129">
        <v>67</v>
      </c>
      <c r="R110" s="45">
        <f t="shared" si="41"/>
        <v>1950</v>
      </c>
    </row>
    <row r="111" spans="1:18" x14ac:dyDescent="0.25">
      <c r="A111" s="85">
        <v>17</v>
      </c>
      <c r="B111" s="81" t="s">
        <v>100</v>
      </c>
      <c r="C111" s="86">
        <v>930711</v>
      </c>
      <c r="D111" s="87">
        <v>720431</v>
      </c>
      <c r="E111" s="47">
        <f t="shared" si="42"/>
        <v>129.1880832446133</v>
      </c>
      <c r="F111" s="86">
        <v>87939</v>
      </c>
      <c r="G111" s="86">
        <v>74074</v>
      </c>
      <c r="H111" s="47">
        <f t="shared" si="43"/>
        <v>118.71776871776871</v>
      </c>
      <c r="I111" s="86">
        <v>918576</v>
      </c>
      <c r="J111" s="86">
        <v>744016</v>
      </c>
      <c r="K111" s="47">
        <f t="shared" si="44"/>
        <v>123.46186103524654</v>
      </c>
      <c r="L111" s="87">
        <v>0</v>
      </c>
      <c r="M111" s="87">
        <v>0</v>
      </c>
      <c r="N111" s="47">
        <v>0</v>
      </c>
      <c r="O111" s="129">
        <v>182</v>
      </c>
      <c r="P111" s="87">
        <v>65</v>
      </c>
      <c r="Q111" s="129">
        <v>184</v>
      </c>
      <c r="R111" s="45">
        <f t="shared" si="41"/>
        <v>11830</v>
      </c>
    </row>
    <row r="112" spans="1:18" x14ac:dyDescent="0.25">
      <c r="A112" s="85">
        <v>18</v>
      </c>
      <c r="B112" s="78" t="s">
        <v>101</v>
      </c>
      <c r="C112" s="51">
        <v>451834</v>
      </c>
      <c r="D112" s="51">
        <v>402204</v>
      </c>
      <c r="E112" s="47">
        <f t="shared" ref="E112" si="51">C112/D112*100</f>
        <v>112.33950930373642</v>
      </c>
      <c r="F112" s="51">
        <v>85008</v>
      </c>
      <c r="G112" s="51">
        <v>47731</v>
      </c>
      <c r="H112" s="47">
        <f t="shared" ref="H112" si="52">F112/G112*100</f>
        <v>178.0980913871488</v>
      </c>
      <c r="I112" s="51">
        <v>451854</v>
      </c>
      <c r="J112" s="51">
        <v>402204</v>
      </c>
      <c r="K112" s="47">
        <f t="shared" si="44"/>
        <v>112.34448190470508</v>
      </c>
      <c r="L112" s="51">
        <v>451854</v>
      </c>
      <c r="M112" s="51">
        <v>402204</v>
      </c>
      <c r="N112" s="47">
        <v>383</v>
      </c>
      <c r="O112" s="129">
        <v>383</v>
      </c>
      <c r="P112" s="87">
        <v>68</v>
      </c>
      <c r="Q112" s="129">
        <v>320</v>
      </c>
      <c r="R112" s="45">
        <f t="shared" si="41"/>
        <v>26044</v>
      </c>
    </row>
    <row r="113" spans="1:18" x14ac:dyDescent="0.25">
      <c r="A113" s="85">
        <v>19</v>
      </c>
      <c r="B113" s="81" t="s">
        <v>102</v>
      </c>
      <c r="C113" s="42">
        <v>0</v>
      </c>
      <c r="D113" s="42">
        <v>0</v>
      </c>
      <c r="E113" s="43">
        <v>0</v>
      </c>
      <c r="F113" s="42">
        <v>0</v>
      </c>
      <c r="G113" s="42">
        <v>0</v>
      </c>
      <c r="H113" s="43">
        <v>0</v>
      </c>
      <c r="I113" s="42">
        <v>0</v>
      </c>
      <c r="J113" s="42">
        <v>0</v>
      </c>
      <c r="K113" s="43">
        <v>0</v>
      </c>
      <c r="L113" s="42">
        <v>0</v>
      </c>
      <c r="M113" s="42">
        <v>0</v>
      </c>
      <c r="N113" s="43">
        <v>0</v>
      </c>
      <c r="O113" s="279">
        <v>0</v>
      </c>
      <c r="P113" s="44">
        <v>0</v>
      </c>
      <c r="Q113" s="279">
        <v>0</v>
      </c>
      <c r="R113" s="45">
        <f t="shared" si="41"/>
        <v>0</v>
      </c>
    </row>
    <row r="114" spans="1:18" x14ac:dyDescent="0.25">
      <c r="A114" s="85">
        <v>20</v>
      </c>
      <c r="B114" s="81" t="s">
        <v>103</v>
      </c>
      <c r="C114" s="42">
        <v>0</v>
      </c>
      <c r="D114" s="42">
        <v>0</v>
      </c>
      <c r="E114" s="43">
        <v>0</v>
      </c>
      <c r="F114" s="42">
        <v>0</v>
      </c>
      <c r="G114" s="42">
        <v>0</v>
      </c>
      <c r="H114" s="43">
        <v>0</v>
      </c>
      <c r="I114" s="42">
        <v>0</v>
      </c>
      <c r="J114" s="42">
        <v>0</v>
      </c>
      <c r="K114" s="43">
        <v>0</v>
      </c>
      <c r="L114" s="42">
        <v>0</v>
      </c>
      <c r="M114" s="42">
        <v>0</v>
      </c>
      <c r="N114" s="43">
        <v>0</v>
      </c>
      <c r="O114" s="279">
        <v>0</v>
      </c>
      <c r="P114" s="44">
        <v>0</v>
      </c>
      <c r="Q114" s="279">
        <v>0</v>
      </c>
      <c r="R114" s="45">
        <f t="shared" si="41"/>
        <v>0</v>
      </c>
    </row>
    <row r="115" spans="1:18" x14ac:dyDescent="0.25">
      <c r="A115" s="85">
        <v>21</v>
      </c>
      <c r="B115" s="81" t="s">
        <v>104</v>
      </c>
      <c r="C115" s="87">
        <v>49598</v>
      </c>
      <c r="D115" s="87">
        <v>70916</v>
      </c>
      <c r="E115" s="47">
        <f t="shared" si="42"/>
        <v>69.939082858593267</v>
      </c>
      <c r="F115" s="87">
        <v>6480</v>
      </c>
      <c r="G115" s="87">
        <v>2743</v>
      </c>
      <c r="H115" s="47">
        <f t="shared" ref="H115:H116" si="53">F115/G115*100</f>
        <v>236.23769595333576</v>
      </c>
      <c r="I115" s="87">
        <v>49598</v>
      </c>
      <c r="J115" s="87">
        <v>71366</v>
      </c>
      <c r="K115" s="47">
        <f t="shared" ref="K115" si="54">I115/J115*100</f>
        <v>69.498080318358873</v>
      </c>
      <c r="L115" s="87">
        <v>47932</v>
      </c>
      <c r="M115" s="87">
        <f>63475+450</f>
        <v>63925</v>
      </c>
      <c r="N115" s="47">
        <f t="shared" ref="N115:N117" si="55">L115/M115*100</f>
        <v>74.981619084865088</v>
      </c>
      <c r="O115" s="129">
        <v>13</v>
      </c>
      <c r="P115" s="87">
        <v>47</v>
      </c>
      <c r="Q115" s="129">
        <v>14</v>
      </c>
      <c r="R115" s="45">
        <f t="shared" si="41"/>
        <v>611</v>
      </c>
    </row>
    <row r="116" spans="1:18" x14ac:dyDescent="0.25">
      <c r="A116" s="85">
        <v>22</v>
      </c>
      <c r="B116" s="78" t="s">
        <v>105</v>
      </c>
      <c r="C116" s="86">
        <v>21840</v>
      </c>
      <c r="D116" s="86">
        <v>23230</v>
      </c>
      <c r="E116" s="47">
        <f t="shared" si="42"/>
        <v>94.01635815755489</v>
      </c>
      <c r="F116" s="86">
        <v>1820</v>
      </c>
      <c r="G116" s="86">
        <v>2880</v>
      </c>
      <c r="H116" s="47">
        <f t="shared" si="53"/>
        <v>63.194444444444443</v>
      </c>
      <c r="I116" s="86">
        <v>49408</v>
      </c>
      <c r="J116" s="86">
        <v>36909</v>
      </c>
      <c r="K116" s="47">
        <f t="shared" si="44"/>
        <v>133.86436912406188</v>
      </c>
      <c r="L116" s="87">
        <v>0</v>
      </c>
      <c r="M116" s="86">
        <v>0</v>
      </c>
      <c r="N116" s="47">
        <v>0</v>
      </c>
      <c r="O116" s="129">
        <v>12</v>
      </c>
      <c r="P116" s="87">
        <v>63</v>
      </c>
      <c r="Q116" s="129">
        <v>12</v>
      </c>
      <c r="R116" s="45">
        <f t="shared" si="41"/>
        <v>756</v>
      </c>
    </row>
    <row r="117" spans="1:18" x14ac:dyDescent="0.25">
      <c r="A117" s="85">
        <v>23</v>
      </c>
      <c r="B117" s="78" t="s">
        <v>106</v>
      </c>
      <c r="C117" s="86">
        <v>130489</v>
      </c>
      <c r="D117" s="87">
        <v>145843</v>
      </c>
      <c r="E117" s="47">
        <f t="shared" si="42"/>
        <v>89.47224069718807</v>
      </c>
      <c r="F117" s="86">
        <v>12102</v>
      </c>
      <c r="G117" s="86">
        <v>11158</v>
      </c>
      <c r="H117" s="47">
        <f t="shared" si="43"/>
        <v>108.46029754436279</v>
      </c>
      <c r="I117" s="86">
        <v>133760</v>
      </c>
      <c r="J117" s="86">
        <v>148854</v>
      </c>
      <c r="K117" s="47">
        <f t="shared" si="44"/>
        <v>89.859862684240937</v>
      </c>
      <c r="L117" s="87">
        <v>5713</v>
      </c>
      <c r="M117" s="87">
        <v>2114</v>
      </c>
      <c r="N117" s="47">
        <f t="shared" si="55"/>
        <v>270.24597918637653</v>
      </c>
      <c r="O117" s="129">
        <v>39</v>
      </c>
      <c r="P117" s="87">
        <v>45</v>
      </c>
      <c r="Q117" s="129">
        <v>38</v>
      </c>
      <c r="R117" s="45">
        <f t="shared" si="41"/>
        <v>1755</v>
      </c>
    </row>
    <row r="118" spans="1:18" x14ac:dyDescent="0.25">
      <c r="A118" s="85">
        <v>24</v>
      </c>
      <c r="B118" s="81" t="s">
        <v>107</v>
      </c>
      <c r="C118" s="87">
        <v>32809</v>
      </c>
      <c r="D118" s="87">
        <v>15536</v>
      </c>
      <c r="E118" s="47">
        <f t="shared" si="42"/>
        <v>211.18048403707519</v>
      </c>
      <c r="F118" s="87">
        <v>1334</v>
      </c>
      <c r="G118" s="86">
        <v>1758</v>
      </c>
      <c r="H118" s="47">
        <f t="shared" si="43"/>
        <v>75.881683731513078</v>
      </c>
      <c r="I118" s="87">
        <v>163156</v>
      </c>
      <c r="J118" s="87">
        <v>200634</v>
      </c>
      <c r="K118" s="47">
        <f t="shared" si="44"/>
        <v>81.320214918707705</v>
      </c>
      <c r="L118" s="88">
        <v>0</v>
      </c>
      <c r="M118" s="87">
        <v>1428</v>
      </c>
      <c r="N118" s="34">
        <v>0</v>
      </c>
      <c r="O118" s="129">
        <v>55</v>
      </c>
      <c r="P118" s="87">
        <v>55</v>
      </c>
      <c r="Q118" s="129">
        <v>10</v>
      </c>
      <c r="R118" s="45">
        <f t="shared" si="41"/>
        <v>3025</v>
      </c>
    </row>
    <row r="119" spans="1:18" x14ac:dyDescent="0.25">
      <c r="A119" s="85">
        <v>25</v>
      </c>
      <c r="B119" s="81" t="s">
        <v>108</v>
      </c>
      <c r="C119" s="87">
        <v>29774</v>
      </c>
      <c r="D119" s="87">
        <v>49936</v>
      </c>
      <c r="E119" s="47">
        <f t="shared" si="42"/>
        <v>59.624319128484458</v>
      </c>
      <c r="F119" s="87">
        <v>1453</v>
      </c>
      <c r="G119" s="87">
        <v>6355</v>
      </c>
      <c r="H119" s="47">
        <f t="shared" si="43"/>
        <v>22.863886703383162</v>
      </c>
      <c r="I119" s="87">
        <v>31021</v>
      </c>
      <c r="J119" s="87">
        <v>51871</v>
      </c>
      <c r="K119" s="47">
        <f t="shared" si="44"/>
        <v>59.804129475043851</v>
      </c>
      <c r="L119" s="87">
        <v>0</v>
      </c>
      <c r="M119" s="87">
        <v>0</v>
      </c>
      <c r="N119" s="34">
        <v>0</v>
      </c>
      <c r="O119" s="129">
        <v>19</v>
      </c>
      <c r="P119" s="87">
        <v>34</v>
      </c>
      <c r="Q119" s="129">
        <v>22</v>
      </c>
      <c r="R119" s="45">
        <f t="shared" si="41"/>
        <v>646</v>
      </c>
    </row>
    <row r="120" spans="1:18" x14ac:dyDescent="0.25">
      <c r="A120" s="315" t="s">
        <v>109</v>
      </c>
      <c r="B120" s="315" t="s">
        <v>109</v>
      </c>
      <c r="C120" s="56">
        <f>SUM(C95:C119)</f>
        <v>3625835</v>
      </c>
      <c r="D120" s="56">
        <f>SUM(D95:D119)</f>
        <v>3861570</v>
      </c>
      <c r="E120" s="57">
        <f>C120/D120*100</f>
        <v>93.895358623565031</v>
      </c>
      <c r="F120" s="56">
        <f>SUM(F95:F119)</f>
        <v>290531</v>
      </c>
      <c r="G120" s="56">
        <f>SUM(G95:G119)</f>
        <v>279886</v>
      </c>
      <c r="H120" s="57">
        <f>F120/G120*100</f>
        <v>103.80333421464454</v>
      </c>
      <c r="I120" s="56">
        <f>SUM(I95:I119)</f>
        <v>3833163</v>
      </c>
      <c r="J120" s="56">
        <f>SUM(J95:J119)</f>
        <v>3939886</v>
      </c>
      <c r="K120" s="57">
        <f>I120/J120*100</f>
        <v>97.291216040261062</v>
      </c>
      <c r="L120" s="56">
        <f>SUM(L95:L119)</f>
        <v>1787521</v>
      </c>
      <c r="M120" s="56">
        <f>SUM(M95:M119)</f>
        <v>1868165</v>
      </c>
      <c r="N120" s="57">
        <f>L120/M120*100</f>
        <v>95.683250676465946</v>
      </c>
      <c r="O120" s="56">
        <f>SUM(O95:O119)</f>
        <v>1811</v>
      </c>
      <c r="P120" s="57">
        <f>R120/O120</f>
        <v>54.007730535615678</v>
      </c>
      <c r="Q120" s="56">
        <f>SUM(Q95:Q119)</f>
        <v>1781</v>
      </c>
      <c r="R120" s="59">
        <f>SUM(R95:R119)</f>
        <v>97808</v>
      </c>
    </row>
    <row r="121" spans="1:18" x14ac:dyDescent="0.25">
      <c r="A121" s="85"/>
      <c r="B121" s="81"/>
      <c r="C121" s="279"/>
      <c r="D121" s="279"/>
      <c r="E121" s="279"/>
      <c r="F121" s="279"/>
      <c r="G121" s="279"/>
      <c r="H121" s="279"/>
      <c r="I121" s="279"/>
      <c r="J121" s="279"/>
      <c r="K121" s="279"/>
      <c r="L121" s="279"/>
      <c r="M121" s="279"/>
      <c r="N121" s="86"/>
      <c r="O121" s="279"/>
      <c r="P121" s="44"/>
      <c r="Q121" s="279"/>
      <c r="R121" s="45"/>
    </row>
    <row r="122" spans="1:18" x14ac:dyDescent="0.25">
      <c r="A122" s="117"/>
      <c r="B122" s="117"/>
      <c r="C122" s="103"/>
      <c r="D122" s="103"/>
      <c r="E122" s="142"/>
      <c r="F122" s="103"/>
      <c r="G122" s="103"/>
      <c r="H122" s="142"/>
      <c r="I122" s="103"/>
      <c r="J122" s="103"/>
      <c r="K122" s="142"/>
      <c r="L122" s="103"/>
      <c r="M122" s="103"/>
      <c r="N122" s="142"/>
      <c r="O122" s="103"/>
      <c r="P122" s="142"/>
      <c r="Q122" s="103"/>
      <c r="R122" s="45">
        <f t="shared" ref="R122:R130" si="56">O122*P122</f>
        <v>0</v>
      </c>
    </row>
    <row r="123" spans="1:18" x14ac:dyDescent="0.25">
      <c r="A123" s="37"/>
      <c r="B123" s="37" t="s">
        <v>20</v>
      </c>
      <c r="C123" s="37">
        <v>3</v>
      </c>
      <c r="D123" s="37">
        <v>4</v>
      </c>
      <c r="E123" s="276">
        <v>5</v>
      </c>
      <c r="F123" s="37">
        <v>6</v>
      </c>
      <c r="G123" s="37">
        <v>7</v>
      </c>
      <c r="H123" s="37">
        <v>8</v>
      </c>
      <c r="I123" s="37">
        <v>9</v>
      </c>
      <c r="J123" s="37">
        <v>10</v>
      </c>
      <c r="K123" s="37">
        <v>11</v>
      </c>
      <c r="L123" s="37">
        <v>12</v>
      </c>
      <c r="M123" s="37">
        <v>13</v>
      </c>
      <c r="N123" s="37">
        <v>14</v>
      </c>
      <c r="O123" s="37">
        <v>15</v>
      </c>
      <c r="P123" s="276">
        <v>16</v>
      </c>
      <c r="Q123" s="37">
        <v>15</v>
      </c>
      <c r="R123" s="45">
        <f t="shared" si="56"/>
        <v>240</v>
      </c>
    </row>
    <row r="124" spans="1:18" x14ac:dyDescent="0.25">
      <c r="A124" s="50">
        <v>1</v>
      </c>
      <c r="B124" s="89" t="s">
        <v>110</v>
      </c>
      <c r="C124" s="42">
        <v>0</v>
      </c>
      <c r="D124" s="42">
        <v>0</v>
      </c>
      <c r="E124" s="43">
        <v>0</v>
      </c>
      <c r="F124" s="42">
        <v>0</v>
      </c>
      <c r="G124" s="42">
        <v>0</v>
      </c>
      <c r="H124" s="43">
        <v>0</v>
      </c>
      <c r="I124" s="42">
        <v>0</v>
      </c>
      <c r="J124" s="42">
        <v>0</v>
      </c>
      <c r="K124" s="43">
        <v>0</v>
      </c>
      <c r="L124" s="42">
        <v>0</v>
      </c>
      <c r="M124" s="42">
        <v>0</v>
      </c>
      <c r="N124" s="43">
        <v>0</v>
      </c>
      <c r="O124" s="279">
        <v>0</v>
      </c>
      <c r="P124" s="44">
        <v>0</v>
      </c>
      <c r="Q124" s="279">
        <v>0</v>
      </c>
      <c r="R124" s="45">
        <f t="shared" si="56"/>
        <v>0</v>
      </c>
    </row>
    <row r="125" spans="1:18" s="66" customFormat="1" x14ac:dyDescent="0.25">
      <c r="A125" s="50">
        <v>2</v>
      </c>
      <c r="B125" s="89" t="s">
        <v>167</v>
      </c>
      <c r="C125" s="280">
        <v>196971</v>
      </c>
      <c r="D125" s="280">
        <v>239884</v>
      </c>
      <c r="E125" s="47">
        <f t="shared" ref="E125:E128" si="57">C125/D125*100</f>
        <v>82.110936952860541</v>
      </c>
      <c r="F125" s="280">
        <v>29138</v>
      </c>
      <c r="G125" s="280">
        <v>44506</v>
      </c>
      <c r="H125" s="34">
        <f t="shared" ref="H125" si="58">F125/G125*100</f>
        <v>65.46982429335371</v>
      </c>
      <c r="I125" s="280">
        <v>167947</v>
      </c>
      <c r="J125" s="280">
        <v>204623</v>
      </c>
      <c r="K125" s="47">
        <f t="shared" ref="K125:K130" si="59">I125/J125*100</f>
        <v>82.076306182589448</v>
      </c>
      <c r="L125" s="280">
        <v>0</v>
      </c>
      <c r="M125" s="280">
        <v>112893</v>
      </c>
      <c r="N125" s="34">
        <v>0</v>
      </c>
      <c r="O125" s="62">
        <v>78</v>
      </c>
      <c r="P125" s="44">
        <v>80</v>
      </c>
      <c r="Q125" s="62">
        <v>79</v>
      </c>
      <c r="R125" s="45">
        <f t="shared" si="56"/>
        <v>6240</v>
      </c>
    </row>
    <row r="126" spans="1:18" x14ac:dyDescent="0.25">
      <c r="A126" s="50">
        <v>3</v>
      </c>
      <c r="B126" s="89" t="s">
        <v>166</v>
      </c>
      <c r="C126" s="42">
        <v>0</v>
      </c>
      <c r="D126" s="42">
        <v>0</v>
      </c>
      <c r="E126" s="43">
        <v>0</v>
      </c>
      <c r="F126" s="42">
        <v>0</v>
      </c>
      <c r="G126" s="42">
        <v>0</v>
      </c>
      <c r="H126" s="43">
        <v>0</v>
      </c>
      <c r="I126" s="42">
        <v>0</v>
      </c>
      <c r="J126" s="42">
        <v>0</v>
      </c>
      <c r="K126" s="43">
        <v>0</v>
      </c>
      <c r="L126" s="42">
        <v>0</v>
      </c>
      <c r="M126" s="42">
        <v>0</v>
      </c>
      <c r="N126" s="43">
        <v>0</v>
      </c>
      <c r="O126" s="279">
        <v>0</v>
      </c>
      <c r="P126" s="44">
        <v>0</v>
      </c>
      <c r="Q126" s="279">
        <v>0</v>
      </c>
      <c r="R126" s="45">
        <f t="shared" si="56"/>
        <v>0</v>
      </c>
    </row>
    <row r="127" spans="1:18" x14ac:dyDescent="0.25">
      <c r="A127" s="50">
        <v>4</v>
      </c>
      <c r="B127" s="89" t="s">
        <v>111</v>
      </c>
      <c r="C127" s="42">
        <v>0</v>
      </c>
      <c r="D127" s="42">
        <v>0</v>
      </c>
      <c r="E127" s="43">
        <v>0</v>
      </c>
      <c r="F127" s="42">
        <v>0</v>
      </c>
      <c r="G127" s="42">
        <v>0</v>
      </c>
      <c r="H127" s="43">
        <v>0</v>
      </c>
      <c r="I127" s="42">
        <v>0</v>
      </c>
      <c r="J127" s="42">
        <v>0</v>
      </c>
      <c r="K127" s="43">
        <v>0</v>
      </c>
      <c r="L127" s="42">
        <v>0</v>
      </c>
      <c r="M127" s="42">
        <v>0</v>
      </c>
      <c r="N127" s="43">
        <v>0</v>
      </c>
      <c r="O127" s="279">
        <v>0</v>
      </c>
      <c r="P127" s="44">
        <v>0</v>
      </c>
      <c r="Q127" s="279">
        <v>0</v>
      </c>
      <c r="R127" s="45">
        <f t="shared" si="56"/>
        <v>0</v>
      </c>
    </row>
    <row r="128" spans="1:18" x14ac:dyDescent="0.25">
      <c r="A128" s="50">
        <v>5</v>
      </c>
      <c r="B128" s="93" t="s">
        <v>112</v>
      </c>
      <c r="C128" s="86">
        <v>782</v>
      </c>
      <c r="D128" s="86">
        <v>4138</v>
      </c>
      <c r="E128" s="94">
        <f t="shared" si="57"/>
        <v>18.89801836636056</v>
      </c>
      <c r="F128" s="86">
        <v>0</v>
      </c>
      <c r="G128" s="86">
        <v>838</v>
      </c>
      <c r="H128" s="34">
        <f t="shared" ref="H128" si="60">F128/G128*100</f>
        <v>0</v>
      </c>
      <c r="I128" s="86">
        <v>9337</v>
      </c>
      <c r="J128" s="86">
        <v>10572</v>
      </c>
      <c r="K128" s="94">
        <f t="shared" ref="K128" si="61">I128/J128*100</f>
        <v>88.318199016269389</v>
      </c>
      <c r="L128" s="86">
        <v>0</v>
      </c>
      <c r="M128" s="86">
        <v>0</v>
      </c>
      <c r="N128" s="86">
        <v>0</v>
      </c>
      <c r="O128" s="62">
        <v>8</v>
      </c>
      <c r="P128" s="92">
        <v>70</v>
      </c>
      <c r="Q128" s="62">
        <v>8</v>
      </c>
      <c r="R128" s="45">
        <f t="shared" si="56"/>
        <v>560</v>
      </c>
    </row>
    <row r="129" spans="1:18" x14ac:dyDescent="0.25">
      <c r="A129" s="50">
        <v>6</v>
      </c>
      <c r="B129" s="93" t="s">
        <v>113</v>
      </c>
      <c r="C129" s="42">
        <v>0</v>
      </c>
      <c r="D129" s="42">
        <v>0</v>
      </c>
      <c r="E129" s="43">
        <v>0</v>
      </c>
      <c r="F129" s="42">
        <v>0</v>
      </c>
      <c r="G129" s="42">
        <v>0</v>
      </c>
      <c r="H129" s="43">
        <v>0</v>
      </c>
      <c r="I129" s="42">
        <v>0</v>
      </c>
      <c r="J129" s="42">
        <v>0</v>
      </c>
      <c r="K129" s="43">
        <v>0</v>
      </c>
      <c r="L129" s="42">
        <v>0</v>
      </c>
      <c r="M129" s="42">
        <v>0</v>
      </c>
      <c r="N129" s="43">
        <v>0</v>
      </c>
      <c r="O129" s="279">
        <v>0</v>
      </c>
      <c r="P129" s="44">
        <v>0</v>
      </c>
      <c r="Q129" s="279">
        <v>0</v>
      </c>
      <c r="R129" s="45">
        <f t="shared" si="56"/>
        <v>0</v>
      </c>
    </row>
    <row r="130" spans="1:18" x14ac:dyDescent="0.25">
      <c r="A130" s="50">
        <v>7</v>
      </c>
      <c r="B130" s="89" t="s">
        <v>114</v>
      </c>
      <c r="C130" s="51">
        <v>25915</v>
      </c>
      <c r="D130" s="51">
        <v>32631</v>
      </c>
      <c r="E130" s="47">
        <f t="shared" ref="E130" si="62">C130/D130*100</f>
        <v>79.418344519015662</v>
      </c>
      <c r="F130" s="51">
        <v>4891</v>
      </c>
      <c r="G130" s="51">
        <v>6017</v>
      </c>
      <c r="H130" s="47">
        <f t="shared" ref="H130" si="63">F130/G130*100</f>
        <v>81.286355326574693</v>
      </c>
      <c r="I130" s="51">
        <v>25915</v>
      </c>
      <c r="J130" s="51">
        <v>32631</v>
      </c>
      <c r="K130" s="94">
        <f t="shared" si="59"/>
        <v>79.418344519015662</v>
      </c>
      <c r="L130" s="51">
        <v>0</v>
      </c>
      <c r="M130" s="51">
        <v>0</v>
      </c>
      <c r="N130" s="34">
        <v>0</v>
      </c>
      <c r="O130" s="62">
        <v>13</v>
      </c>
      <c r="P130" s="87">
        <v>50</v>
      </c>
      <c r="Q130" s="62">
        <v>13</v>
      </c>
      <c r="R130" s="45">
        <f t="shared" si="56"/>
        <v>650</v>
      </c>
    </row>
    <row r="131" spans="1:18" x14ac:dyDescent="0.25">
      <c r="A131" s="315" t="s">
        <v>115</v>
      </c>
      <c r="B131" s="315" t="s">
        <v>115</v>
      </c>
      <c r="C131" s="56">
        <f>SUM(C124:C130)</f>
        <v>223668</v>
      </c>
      <c r="D131" s="56">
        <f>SUM(D124:D130)</f>
        <v>276653</v>
      </c>
      <c r="E131" s="57">
        <f>C131/D131*100</f>
        <v>80.847849110618725</v>
      </c>
      <c r="F131" s="56">
        <f>SUM(F124:F130)</f>
        <v>34029</v>
      </c>
      <c r="G131" s="56">
        <f>SUM(G124:G130)</f>
        <v>51361</v>
      </c>
      <c r="H131" s="57">
        <f>F131/G131*100</f>
        <v>66.254551118552982</v>
      </c>
      <c r="I131" s="56">
        <f>SUM(I124:I130)</f>
        <v>203199</v>
      </c>
      <c r="J131" s="56">
        <f>SUM(J124:J130)</f>
        <v>247826</v>
      </c>
      <c r="K131" s="57">
        <f>I131/J131*100</f>
        <v>81.992607716704455</v>
      </c>
      <c r="L131" s="56">
        <f>SUM(L124:L130)</f>
        <v>0</v>
      </c>
      <c r="M131" s="56">
        <f>SUM(M124:M130)</f>
        <v>112893</v>
      </c>
      <c r="N131" s="58">
        <v>0</v>
      </c>
      <c r="O131" s="56">
        <f>SUM(O124:O130)</f>
        <v>99</v>
      </c>
      <c r="P131" s="58">
        <f>R131/O131</f>
        <v>75.252525252525245</v>
      </c>
      <c r="Q131" s="56">
        <f>SUM(Q124:Q130)</f>
        <v>100</v>
      </c>
      <c r="R131" s="59">
        <f>SUM(R124:R130)</f>
        <v>7450</v>
      </c>
    </row>
    <row r="132" spans="1:18" x14ac:dyDescent="0.25">
      <c r="A132" s="279"/>
      <c r="B132" s="279"/>
      <c r="C132" s="279"/>
      <c r="D132" s="279"/>
      <c r="E132" s="279"/>
      <c r="F132" s="279"/>
      <c r="G132" s="279"/>
      <c r="H132" s="279"/>
      <c r="I132" s="279"/>
      <c r="J132" s="279"/>
      <c r="K132" s="34"/>
      <c r="L132" s="279"/>
      <c r="M132" s="279"/>
      <c r="N132" s="279"/>
      <c r="O132" s="279"/>
      <c r="P132" s="62"/>
      <c r="Q132" s="279"/>
      <c r="R132" s="39"/>
    </row>
    <row r="133" spans="1:18" x14ac:dyDescent="0.25">
      <c r="A133" s="316" t="s">
        <v>208</v>
      </c>
      <c r="B133" s="317"/>
      <c r="C133" s="37">
        <v>3</v>
      </c>
      <c r="D133" s="37">
        <v>4</v>
      </c>
      <c r="E133" s="276">
        <v>5</v>
      </c>
      <c r="F133" s="37">
        <v>6</v>
      </c>
      <c r="G133" s="37">
        <v>7</v>
      </c>
      <c r="H133" s="37">
        <v>8</v>
      </c>
      <c r="I133" s="37">
        <v>9</v>
      </c>
      <c r="J133" s="37">
        <v>10</v>
      </c>
      <c r="K133" s="37">
        <v>11</v>
      </c>
      <c r="L133" s="37">
        <v>12</v>
      </c>
      <c r="M133" s="37">
        <v>13</v>
      </c>
      <c r="N133" s="37">
        <v>14</v>
      </c>
      <c r="O133" s="37">
        <v>15</v>
      </c>
      <c r="P133" s="276">
        <v>16</v>
      </c>
      <c r="Q133" s="37">
        <v>15</v>
      </c>
      <c r="R133" s="31"/>
    </row>
    <row r="134" spans="1:18" x14ac:dyDescent="0.25">
      <c r="A134" s="96">
        <v>1</v>
      </c>
      <c r="B134" s="78" t="s">
        <v>117</v>
      </c>
      <c r="C134" s="62">
        <v>119426756</v>
      </c>
      <c r="D134" s="62">
        <v>102106107</v>
      </c>
      <c r="E134" s="47">
        <f t="shared" ref="E134:E137" si="64">C134/D134*100</f>
        <v>116.96338202376084</v>
      </c>
      <c r="F134" s="62">
        <v>10758451</v>
      </c>
      <c r="G134" s="62">
        <v>9049428</v>
      </c>
      <c r="H134" s="47">
        <f>F134/G134*100</f>
        <v>118.88542568657378</v>
      </c>
      <c r="I134" s="96">
        <v>117377600</v>
      </c>
      <c r="J134" s="96">
        <v>95433251</v>
      </c>
      <c r="K134" s="47">
        <f>I134/J134*100</f>
        <v>122.99444771089271</v>
      </c>
      <c r="L134" s="96">
        <v>55000948</v>
      </c>
      <c r="M134" s="96">
        <v>45058626</v>
      </c>
      <c r="N134" s="47">
        <f>L134/M134*100</f>
        <v>122.06530221316558</v>
      </c>
      <c r="O134" s="279">
        <v>2931</v>
      </c>
      <c r="P134" s="62">
        <v>145</v>
      </c>
      <c r="Q134" s="279">
        <v>2948</v>
      </c>
      <c r="R134" s="45">
        <f t="shared" ref="R134:R138" si="65">O134*P134</f>
        <v>424995</v>
      </c>
    </row>
    <row r="135" spans="1:18" x14ac:dyDescent="0.25">
      <c r="A135" s="96">
        <v>2</v>
      </c>
      <c r="B135" s="78" t="s">
        <v>118</v>
      </c>
      <c r="C135" s="62">
        <v>26091481</v>
      </c>
      <c r="D135" s="62">
        <v>23917255</v>
      </c>
      <c r="E135" s="47">
        <f t="shared" si="64"/>
        <v>109.09061679528023</v>
      </c>
      <c r="F135" s="62">
        <v>2014388</v>
      </c>
      <c r="G135" s="62">
        <v>1826023</v>
      </c>
      <c r="H135" s="47">
        <f t="shared" ref="H135:H137" si="66">F135/G135*100</f>
        <v>110.31558748164727</v>
      </c>
      <c r="I135" s="96">
        <v>2246350</v>
      </c>
      <c r="J135" s="96">
        <v>20616977</v>
      </c>
      <c r="K135" s="47">
        <f t="shared" ref="K135:K137" si="67">I135/J135*100</f>
        <v>10.895632274314512</v>
      </c>
      <c r="L135" s="96">
        <v>2246350</v>
      </c>
      <c r="M135" s="96">
        <v>20616977</v>
      </c>
      <c r="N135" s="47">
        <f t="shared" ref="N135:N137" si="68">L135/M135*100</f>
        <v>10.895632274314512</v>
      </c>
      <c r="O135" s="279">
        <v>958</v>
      </c>
      <c r="P135" s="62">
        <v>120</v>
      </c>
      <c r="Q135" s="279">
        <v>957</v>
      </c>
      <c r="R135" s="45">
        <f t="shared" si="65"/>
        <v>114960</v>
      </c>
    </row>
    <row r="136" spans="1:18" x14ac:dyDescent="0.25">
      <c r="A136" s="96">
        <v>3</v>
      </c>
      <c r="B136" s="78" t="s">
        <v>119</v>
      </c>
      <c r="C136" s="62">
        <v>23314344</v>
      </c>
      <c r="D136" s="62">
        <v>26037265</v>
      </c>
      <c r="E136" s="47">
        <f t="shared" si="64"/>
        <v>89.542215743473832</v>
      </c>
      <c r="F136" s="62">
        <v>1903530</v>
      </c>
      <c r="G136" s="62">
        <v>1981682</v>
      </c>
      <c r="H136" s="47">
        <f t="shared" si="66"/>
        <v>96.056279463607169</v>
      </c>
      <c r="I136" s="96">
        <v>23495127</v>
      </c>
      <c r="J136" s="96">
        <v>26648057</v>
      </c>
      <c r="K136" s="47">
        <f t="shared" si="67"/>
        <v>88.168255569252196</v>
      </c>
      <c r="L136" s="96">
        <f>1958616+21536511</f>
        <v>23495127</v>
      </c>
      <c r="M136" s="96">
        <v>26648057</v>
      </c>
      <c r="N136" s="47">
        <f t="shared" si="68"/>
        <v>88.168255569252196</v>
      </c>
      <c r="O136" s="279">
        <v>1210</v>
      </c>
      <c r="P136" s="76">
        <v>306</v>
      </c>
      <c r="Q136" s="279">
        <v>1210</v>
      </c>
      <c r="R136" s="45">
        <f t="shared" si="65"/>
        <v>370260</v>
      </c>
    </row>
    <row r="137" spans="1:18" x14ac:dyDescent="0.25">
      <c r="A137" s="96">
        <v>4</v>
      </c>
      <c r="B137" s="78" t="s">
        <v>120</v>
      </c>
      <c r="C137" s="76">
        <v>4870025</v>
      </c>
      <c r="D137" s="76">
        <v>6778381</v>
      </c>
      <c r="E137" s="47">
        <f t="shared" si="64"/>
        <v>71.846433536267725</v>
      </c>
      <c r="F137" s="279">
        <v>329869</v>
      </c>
      <c r="G137" s="279">
        <v>349629</v>
      </c>
      <c r="H137" s="47">
        <f t="shared" si="66"/>
        <v>94.348294906887006</v>
      </c>
      <c r="I137" s="279">
        <v>4556326</v>
      </c>
      <c r="J137" s="279">
        <v>6283413</v>
      </c>
      <c r="K137" s="47">
        <f t="shared" si="67"/>
        <v>72.513552745936011</v>
      </c>
      <c r="L137" s="279">
        <v>4556326</v>
      </c>
      <c r="M137" s="279">
        <v>6283413</v>
      </c>
      <c r="N137" s="47">
        <f t="shared" si="68"/>
        <v>72.513552745936011</v>
      </c>
      <c r="O137" s="279">
        <v>559</v>
      </c>
      <c r="P137" s="62">
        <v>150</v>
      </c>
      <c r="Q137" s="279">
        <v>556</v>
      </c>
      <c r="R137" s="45">
        <f t="shared" si="65"/>
        <v>83850</v>
      </c>
    </row>
    <row r="138" spans="1:18" x14ac:dyDescent="0.25">
      <c r="A138" s="96">
        <v>5</v>
      </c>
      <c r="B138" s="78" t="s">
        <v>203</v>
      </c>
      <c r="C138" s="279">
        <v>4805863</v>
      </c>
      <c r="D138" s="279">
        <v>0</v>
      </c>
      <c r="E138" s="47">
        <v>0</v>
      </c>
      <c r="F138" s="279">
        <v>478755</v>
      </c>
      <c r="G138" s="279">
        <v>0</v>
      </c>
      <c r="H138" s="47">
        <v>0</v>
      </c>
      <c r="I138" s="279">
        <v>3990951</v>
      </c>
      <c r="J138" s="279">
        <v>0</v>
      </c>
      <c r="K138" s="47">
        <v>0</v>
      </c>
      <c r="L138" s="279">
        <v>0</v>
      </c>
      <c r="M138" s="279">
        <v>0</v>
      </c>
      <c r="N138" s="47">
        <v>0</v>
      </c>
      <c r="O138" s="279">
        <v>419</v>
      </c>
      <c r="P138" s="44">
        <v>178</v>
      </c>
      <c r="Q138" s="279">
        <v>386</v>
      </c>
      <c r="R138" s="45">
        <f t="shared" si="65"/>
        <v>74582</v>
      </c>
    </row>
    <row r="139" spans="1:18" x14ac:dyDescent="0.25">
      <c r="A139" s="315" t="s">
        <v>207</v>
      </c>
      <c r="B139" s="315" t="s">
        <v>133</v>
      </c>
      <c r="C139" s="58">
        <f>SUM(C134:C138)</f>
        <v>178508469</v>
      </c>
      <c r="D139" s="58">
        <f>SUM(D134:D138)</f>
        <v>158839008</v>
      </c>
      <c r="E139" s="57">
        <f>C139/D139*100</f>
        <v>112.38326859860518</v>
      </c>
      <c r="F139" s="58">
        <f t="shared" ref="F139:G139" si="69">SUM(F134:F138)</f>
        <v>15484993</v>
      </c>
      <c r="G139" s="58">
        <f t="shared" si="69"/>
        <v>13206762</v>
      </c>
      <c r="H139" s="57">
        <f>F139/G139*100</f>
        <v>117.25048880263004</v>
      </c>
      <c r="I139" s="58">
        <f t="shared" ref="I139" si="70">SUM(I134:I138)</f>
        <v>151666354</v>
      </c>
      <c r="J139" s="58">
        <f t="shared" ref="J139" si="71">SUM(J134:J138)</f>
        <v>148981698</v>
      </c>
      <c r="K139" s="57">
        <f>I139/J139*100</f>
        <v>101.80200389446495</v>
      </c>
      <c r="L139" s="58">
        <f t="shared" ref="L139:M139" si="72">SUM(L134:L138)</f>
        <v>85298751</v>
      </c>
      <c r="M139" s="58">
        <f t="shared" si="72"/>
        <v>98607073</v>
      </c>
      <c r="N139" s="57">
        <f>L139/M139*100</f>
        <v>86.503684172838192</v>
      </c>
      <c r="O139" s="58">
        <f t="shared" ref="O139" si="73">SUM(O134:O138)</f>
        <v>6077</v>
      </c>
      <c r="P139" s="58">
        <f>R139/O139</f>
        <v>175.85107783445778</v>
      </c>
      <c r="Q139" s="58">
        <f t="shared" ref="Q139:R139" si="74">SUM(Q134:Q138)</f>
        <v>6057</v>
      </c>
      <c r="R139" s="58">
        <f t="shared" si="74"/>
        <v>1068647</v>
      </c>
    </row>
    <row r="140" spans="1:18" x14ac:dyDescent="0.25">
      <c r="A140" s="203"/>
      <c r="B140" s="203"/>
      <c r="C140" s="204"/>
      <c r="D140" s="204"/>
      <c r="E140" s="205"/>
      <c r="F140" s="206"/>
      <c r="G140" s="206"/>
      <c r="H140" s="205"/>
      <c r="I140" s="206"/>
      <c r="J140" s="206"/>
      <c r="K140" s="205"/>
      <c r="L140" s="206"/>
      <c r="M140" s="206"/>
      <c r="N140" s="205"/>
      <c r="O140" s="206"/>
      <c r="P140" s="204"/>
      <c r="Q140" s="206"/>
      <c r="R140" s="207"/>
    </row>
    <row r="141" spans="1:18" x14ac:dyDescent="0.25">
      <c r="A141" s="203"/>
      <c r="B141" s="203" t="s">
        <v>204</v>
      </c>
      <c r="C141" s="37">
        <v>3</v>
      </c>
      <c r="D141" s="37">
        <v>4</v>
      </c>
      <c r="E141" s="276">
        <v>5</v>
      </c>
      <c r="F141" s="37">
        <v>6</v>
      </c>
      <c r="G141" s="37">
        <v>7</v>
      </c>
      <c r="H141" s="37">
        <v>8</v>
      </c>
      <c r="I141" s="37">
        <v>9</v>
      </c>
      <c r="J141" s="37">
        <v>10</v>
      </c>
      <c r="K141" s="37">
        <v>11</v>
      </c>
      <c r="L141" s="37">
        <v>12</v>
      </c>
      <c r="M141" s="37">
        <v>13</v>
      </c>
      <c r="N141" s="37">
        <v>14</v>
      </c>
      <c r="O141" s="37">
        <v>15</v>
      </c>
      <c r="P141" s="276">
        <v>16</v>
      </c>
      <c r="Q141" s="37">
        <v>15</v>
      </c>
      <c r="R141" s="207"/>
    </row>
    <row r="142" spans="1:18" x14ac:dyDescent="0.25">
      <c r="A142" s="96">
        <v>6</v>
      </c>
      <c r="B142" s="78" t="s">
        <v>122</v>
      </c>
      <c r="C142" s="62">
        <v>20752564</v>
      </c>
      <c r="D142" s="62">
        <v>20256398</v>
      </c>
      <c r="E142" s="47">
        <f t="shared" ref="E142:E147" si="75">C142/D142*100</f>
        <v>102.4494285706669</v>
      </c>
      <c r="F142" s="62">
        <v>1780379</v>
      </c>
      <c r="G142" s="62">
        <v>1306053</v>
      </c>
      <c r="H142" s="47">
        <f t="shared" ref="H142:H147" si="76">F142/G142*100</f>
        <v>136.31751544539156</v>
      </c>
      <c r="I142" s="96">
        <v>20111394</v>
      </c>
      <c r="J142" s="96">
        <v>19591239</v>
      </c>
      <c r="K142" s="47">
        <f t="shared" ref="K142:K147" si="77">I142/J142*100</f>
        <v>102.65503881607488</v>
      </c>
      <c r="L142" s="96">
        <v>20111394</v>
      </c>
      <c r="M142" s="96">
        <v>19578677</v>
      </c>
      <c r="N142" s="47">
        <f>L142/M142*100</f>
        <v>102.72090397119274</v>
      </c>
      <c r="O142" s="279">
        <v>475</v>
      </c>
      <c r="P142" s="76">
        <v>150</v>
      </c>
      <c r="Q142" s="279">
        <v>478</v>
      </c>
      <c r="R142" s="45">
        <f t="shared" ref="R142:R148" si="78">O142*P142</f>
        <v>71250</v>
      </c>
    </row>
    <row r="143" spans="1:18" x14ac:dyDescent="0.25">
      <c r="A143" s="96">
        <v>10</v>
      </c>
      <c r="B143" s="78" t="s">
        <v>126</v>
      </c>
      <c r="C143" s="76">
        <v>42992839</v>
      </c>
      <c r="D143" s="76">
        <v>42543662</v>
      </c>
      <c r="E143" s="47">
        <f t="shared" si="75"/>
        <v>101.05580238955451</v>
      </c>
      <c r="F143" s="76">
        <v>4122855</v>
      </c>
      <c r="G143" s="76">
        <v>2951358</v>
      </c>
      <c r="H143" s="47">
        <f t="shared" si="76"/>
        <v>139.69349025092856</v>
      </c>
      <c r="I143" s="279">
        <v>42785537</v>
      </c>
      <c r="J143" s="279">
        <v>44402989</v>
      </c>
      <c r="K143" s="47">
        <f t="shared" si="77"/>
        <v>96.357335313620439</v>
      </c>
      <c r="L143" s="279">
        <v>42643833</v>
      </c>
      <c r="M143" s="279">
        <v>44404504</v>
      </c>
      <c r="N143" s="47">
        <f>L143/M143*100</f>
        <v>96.034926997495575</v>
      </c>
      <c r="O143" s="279">
        <v>669</v>
      </c>
      <c r="P143" s="62">
        <v>134</v>
      </c>
      <c r="Q143" s="279">
        <v>676</v>
      </c>
      <c r="R143" s="45">
        <f t="shared" si="78"/>
        <v>89646</v>
      </c>
    </row>
    <row r="144" spans="1:18" x14ac:dyDescent="0.25">
      <c r="A144" s="96">
        <v>11</v>
      </c>
      <c r="B144" s="78" t="s">
        <v>127</v>
      </c>
      <c r="C144" s="62">
        <v>29664842</v>
      </c>
      <c r="D144" s="62">
        <v>30845247</v>
      </c>
      <c r="E144" s="47">
        <f t="shared" si="75"/>
        <v>96.173138117519372</v>
      </c>
      <c r="F144" s="279">
        <v>2395921</v>
      </c>
      <c r="G144" s="279">
        <v>3223407</v>
      </c>
      <c r="H144" s="47">
        <f t="shared" si="76"/>
        <v>74.328839020328488</v>
      </c>
      <c r="I144" s="279">
        <v>28732125</v>
      </c>
      <c r="J144" s="279">
        <v>28932056</v>
      </c>
      <c r="K144" s="47">
        <f t="shared" si="77"/>
        <v>99.308963732131588</v>
      </c>
      <c r="L144" s="279">
        <v>28732125</v>
      </c>
      <c r="M144" s="279">
        <v>28932056</v>
      </c>
      <c r="N144" s="47">
        <f>L144/M144*100</f>
        <v>99.308963732131588</v>
      </c>
      <c r="O144" s="279">
        <v>557</v>
      </c>
      <c r="P144" s="62">
        <v>180</v>
      </c>
      <c r="Q144" s="279">
        <v>561</v>
      </c>
      <c r="R144" s="45">
        <f t="shared" si="78"/>
        <v>100260</v>
      </c>
    </row>
    <row r="145" spans="1:18" x14ac:dyDescent="0.25">
      <c r="A145" s="96">
        <v>14</v>
      </c>
      <c r="B145" s="78" t="s">
        <v>130</v>
      </c>
      <c r="C145" s="76">
        <v>4147425</v>
      </c>
      <c r="D145" s="76">
        <v>2783093</v>
      </c>
      <c r="E145" s="47">
        <f t="shared" si="75"/>
        <v>149.0221490981437</v>
      </c>
      <c r="F145" s="96">
        <v>381222</v>
      </c>
      <c r="G145" s="96">
        <v>243998</v>
      </c>
      <c r="H145" s="47">
        <f t="shared" si="76"/>
        <v>156.23980524430527</v>
      </c>
      <c r="I145" s="96">
        <v>4351233</v>
      </c>
      <c r="J145" s="96">
        <v>2835524</v>
      </c>
      <c r="K145" s="47">
        <f t="shared" si="77"/>
        <v>153.45428217147872</v>
      </c>
      <c r="L145" s="96">
        <v>0</v>
      </c>
      <c r="M145" s="96">
        <v>0</v>
      </c>
      <c r="N145" s="47">
        <v>0</v>
      </c>
      <c r="O145" s="279">
        <v>320</v>
      </c>
      <c r="P145" s="76">
        <v>58</v>
      </c>
      <c r="Q145" s="279">
        <v>314</v>
      </c>
      <c r="R145" s="45">
        <f t="shared" si="78"/>
        <v>18560</v>
      </c>
    </row>
    <row r="146" spans="1:18" x14ac:dyDescent="0.25">
      <c r="A146" s="96">
        <v>9</v>
      </c>
      <c r="B146" s="78" t="s">
        <v>125</v>
      </c>
      <c r="C146" s="76">
        <v>30031870</v>
      </c>
      <c r="D146" s="76">
        <v>24730672</v>
      </c>
      <c r="E146" s="47">
        <f t="shared" si="75"/>
        <v>121.4357216010952</v>
      </c>
      <c r="F146" s="279">
        <v>2375850</v>
      </c>
      <c r="G146" s="279">
        <v>2924704</v>
      </c>
      <c r="H146" s="47">
        <f t="shared" si="76"/>
        <v>81.233861614713831</v>
      </c>
      <c r="I146" s="279">
        <v>31205281</v>
      </c>
      <c r="J146" s="279">
        <v>24267298</v>
      </c>
      <c r="K146" s="47">
        <f t="shared" si="77"/>
        <v>128.58984547847066</v>
      </c>
      <c r="L146" s="279">
        <v>31205281</v>
      </c>
      <c r="M146" s="279">
        <v>24267298</v>
      </c>
      <c r="N146" s="47">
        <f>L146/M146*100</f>
        <v>128.58984547847066</v>
      </c>
      <c r="O146" s="279">
        <v>955</v>
      </c>
      <c r="P146" s="62">
        <v>100</v>
      </c>
      <c r="Q146" s="279">
        <v>910</v>
      </c>
      <c r="R146" s="45">
        <f>O146*P146</f>
        <v>95500</v>
      </c>
    </row>
    <row r="147" spans="1:18" x14ac:dyDescent="0.25">
      <c r="A147" s="96">
        <v>15</v>
      </c>
      <c r="B147" s="78" t="s">
        <v>131</v>
      </c>
      <c r="C147" s="62">
        <v>32573457</v>
      </c>
      <c r="D147" s="62">
        <v>32648958</v>
      </c>
      <c r="E147" s="47">
        <f t="shared" si="75"/>
        <v>99.768749128226389</v>
      </c>
      <c r="F147" s="279">
        <v>2607051</v>
      </c>
      <c r="G147" s="279">
        <v>2652511</v>
      </c>
      <c r="H147" s="47">
        <f t="shared" si="76"/>
        <v>98.286152253468501</v>
      </c>
      <c r="I147" s="279">
        <v>32660427</v>
      </c>
      <c r="J147" s="279">
        <v>32547579</v>
      </c>
      <c r="K147" s="47">
        <f t="shared" si="77"/>
        <v>100.34671703231753</v>
      </c>
      <c r="L147" s="279">
        <v>32565774</v>
      </c>
      <c r="M147" s="279">
        <v>32425889</v>
      </c>
      <c r="N147" s="47">
        <f>L147/M147*100</f>
        <v>100.43139912062242</v>
      </c>
      <c r="O147" s="279">
        <v>646</v>
      </c>
      <c r="P147" s="62">
        <v>130</v>
      </c>
      <c r="Q147" s="279">
        <v>646</v>
      </c>
      <c r="R147" s="45">
        <f t="shared" si="78"/>
        <v>83980</v>
      </c>
    </row>
    <row r="148" spans="1:18" x14ac:dyDescent="0.25">
      <c r="A148" s="96">
        <v>13</v>
      </c>
      <c r="B148" s="78" t="s">
        <v>129</v>
      </c>
      <c r="C148" s="42">
        <v>0</v>
      </c>
      <c r="D148" s="42">
        <v>0</v>
      </c>
      <c r="E148" s="43">
        <v>0</v>
      </c>
      <c r="F148" s="42">
        <v>0</v>
      </c>
      <c r="G148" s="42">
        <v>0</v>
      </c>
      <c r="H148" s="43">
        <v>0</v>
      </c>
      <c r="I148" s="42">
        <v>0</v>
      </c>
      <c r="J148" s="42">
        <v>0</v>
      </c>
      <c r="K148" s="43">
        <v>0</v>
      </c>
      <c r="L148" s="42">
        <v>0</v>
      </c>
      <c r="M148" s="42">
        <v>0</v>
      </c>
      <c r="N148" s="43">
        <v>0</v>
      </c>
      <c r="O148" s="279">
        <v>0</v>
      </c>
      <c r="P148" s="44">
        <v>0</v>
      </c>
      <c r="Q148" s="279">
        <v>0</v>
      </c>
      <c r="R148" s="45">
        <f t="shared" si="78"/>
        <v>0</v>
      </c>
    </row>
    <row r="149" spans="1:18" x14ac:dyDescent="0.25">
      <c r="A149" s="315" t="s">
        <v>205</v>
      </c>
      <c r="B149" s="315" t="s">
        <v>133</v>
      </c>
      <c r="C149" s="58">
        <f>SUM(C142:C148)</f>
        <v>160162997</v>
      </c>
      <c r="D149" s="58">
        <f>SUM(D142:D148)</f>
        <v>153808030</v>
      </c>
      <c r="E149" s="57">
        <f>C149/D149*100</f>
        <v>104.13175241890818</v>
      </c>
      <c r="F149" s="58">
        <f>SUM(F142:F148)</f>
        <v>13663278</v>
      </c>
      <c r="G149" s="58">
        <f>SUM(G142:G148)</f>
        <v>13302031</v>
      </c>
      <c r="H149" s="57">
        <f>F149/G149*100</f>
        <v>102.7157281470777</v>
      </c>
      <c r="I149" s="58">
        <f>SUM(I142:I148)</f>
        <v>159845997</v>
      </c>
      <c r="J149" s="58">
        <f>SUM(J142:J148)</f>
        <v>152576685</v>
      </c>
      <c r="K149" s="57">
        <f>I149/J149*100</f>
        <v>104.76436619395683</v>
      </c>
      <c r="L149" s="58">
        <f>SUM(L142:L148)</f>
        <v>155258407</v>
      </c>
      <c r="M149" s="58">
        <f>SUM(M142:M148)</f>
        <v>149608424</v>
      </c>
      <c r="N149" s="57">
        <f>L149/M149*100</f>
        <v>103.7765139481718</v>
      </c>
      <c r="O149" s="56">
        <f>SUM(O142:O148)</f>
        <v>3622</v>
      </c>
      <c r="P149" s="58">
        <f>R149/O149</f>
        <v>126.77967973495306</v>
      </c>
      <c r="Q149" s="56">
        <f>SUM(Q142:Q148)</f>
        <v>3585</v>
      </c>
      <c r="R149" s="59">
        <f>SUM(R142:R148)</f>
        <v>459196</v>
      </c>
    </row>
    <row r="150" spans="1:18" x14ac:dyDescent="0.25">
      <c r="A150" s="353" t="s">
        <v>206</v>
      </c>
      <c r="B150" s="353" t="s">
        <v>70</v>
      </c>
      <c r="C150" s="209">
        <f>C139+C149</f>
        <v>338671466</v>
      </c>
      <c r="D150" s="209">
        <f>D139+D149</f>
        <v>312647038</v>
      </c>
      <c r="E150" s="210">
        <f>C150/D150*100</f>
        <v>108.32390038507258</v>
      </c>
      <c r="F150" s="209">
        <f>F139+F149</f>
        <v>29148271</v>
      </c>
      <c r="G150" s="209">
        <f>G139+G149</f>
        <v>26508793</v>
      </c>
      <c r="H150" s="210">
        <f>F150/G150*100</f>
        <v>109.95699049745494</v>
      </c>
      <c r="I150" s="209">
        <f>I139+I149</f>
        <v>311512351</v>
      </c>
      <c r="J150" s="209">
        <f>J139+J149</f>
        <v>301558383</v>
      </c>
      <c r="K150" s="210">
        <f>I150/J150*100</f>
        <v>103.30084274261412</v>
      </c>
      <c r="L150" s="209">
        <f>L139+L149</f>
        <v>240557158</v>
      </c>
      <c r="M150" s="209">
        <f>M139+M149</f>
        <v>248215497</v>
      </c>
      <c r="N150" s="210">
        <f>L150/M150*100</f>
        <v>96.914641070940064</v>
      </c>
      <c r="O150" s="209">
        <f>O139+O149</f>
        <v>9699</v>
      </c>
      <c r="P150" s="210">
        <f>R150/O150</f>
        <v>157.52582740488711</v>
      </c>
      <c r="Q150" s="209">
        <f>Q139+Q149</f>
        <v>9642</v>
      </c>
      <c r="R150" s="209">
        <f>R139+R149</f>
        <v>1527843</v>
      </c>
    </row>
    <row r="151" spans="1:18" x14ac:dyDescent="0.25">
      <c r="A151" s="203"/>
      <c r="B151" s="203"/>
      <c r="C151" s="204"/>
      <c r="D151" s="204"/>
      <c r="E151" s="205"/>
      <c r="F151" s="206"/>
      <c r="G151" s="206"/>
      <c r="H151" s="205"/>
      <c r="I151" s="206"/>
      <c r="J151" s="206"/>
      <c r="K151" s="205"/>
      <c r="L151" s="206"/>
      <c r="M151" s="206"/>
      <c r="N151" s="205"/>
      <c r="O151" s="206"/>
      <c r="P151" s="204"/>
      <c r="Q151" s="206"/>
      <c r="R151" s="207"/>
    </row>
    <row r="152" spans="1:18" ht="2.25" customHeight="1" x14ac:dyDescent="0.25">
      <c r="A152" s="23"/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31"/>
    </row>
    <row r="153" spans="1:18" x14ac:dyDescent="0.25">
      <c r="A153" s="99"/>
      <c r="B153" s="99" t="s">
        <v>13</v>
      </c>
      <c r="C153" s="37">
        <v>3</v>
      </c>
      <c r="D153" s="37">
        <v>4</v>
      </c>
      <c r="E153" s="276">
        <v>5</v>
      </c>
      <c r="F153" s="37">
        <v>6</v>
      </c>
      <c r="G153" s="37">
        <v>7</v>
      </c>
      <c r="H153" s="37">
        <v>8</v>
      </c>
      <c r="I153" s="37">
        <v>9</v>
      </c>
      <c r="J153" s="37">
        <v>10</v>
      </c>
      <c r="K153" s="37">
        <v>11</v>
      </c>
      <c r="L153" s="37">
        <v>12</v>
      </c>
      <c r="M153" s="37">
        <v>13</v>
      </c>
      <c r="N153" s="37">
        <v>14</v>
      </c>
      <c r="O153" s="37">
        <v>15</v>
      </c>
      <c r="P153" s="276">
        <v>16</v>
      </c>
      <c r="Q153" s="37">
        <v>15</v>
      </c>
      <c r="R153" s="100"/>
    </row>
    <row r="154" spans="1:18" x14ac:dyDescent="0.25">
      <c r="A154" s="96">
        <v>1</v>
      </c>
      <c r="B154" s="84" t="s">
        <v>134</v>
      </c>
      <c r="C154" s="96">
        <v>71191</v>
      </c>
      <c r="D154" s="96">
        <v>119851</v>
      </c>
      <c r="E154" s="47">
        <f>C154/D154*100</f>
        <v>59.399587821545083</v>
      </c>
      <c r="F154" s="34">
        <v>8286</v>
      </c>
      <c r="G154" s="96">
        <v>7483</v>
      </c>
      <c r="H154" s="47">
        <f>F154/G154*100</f>
        <v>110.73099024455433</v>
      </c>
      <c r="I154" s="96">
        <v>71191</v>
      </c>
      <c r="J154" s="96">
        <v>119851</v>
      </c>
      <c r="K154" s="47">
        <f t="shared" ref="K154:K158" si="79">I154/J154*100</f>
        <v>59.399587821545083</v>
      </c>
      <c r="L154" s="96">
        <v>0</v>
      </c>
      <c r="M154" s="96">
        <v>0</v>
      </c>
      <c r="N154" s="47">
        <v>0</v>
      </c>
      <c r="O154" s="96">
        <v>57</v>
      </c>
      <c r="P154" s="76">
        <v>72</v>
      </c>
      <c r="Q154" s="96">
        <v>57</v>
      </c>
      <c r="R154" s="45">
        <f t="shared" ref="R154:R158" si="80">O154*P154</f>
        <v>4104</v>
      </c>
    </row>
    <row r="155" spans="1:18" x14ac:dyDescent="0.25">
      <c r="A155" s="96">
        <v>2</v>
      </c>
      <c r="B155" s="84" t="s">
        <v>135</v>
      </c>
      <c r="C155" s="51">
        <v>6221471</v>
      </c>
      <c r="D155" s="51">
        <v>6610892</v>
      </c>
      <c r="E155" s="47">
        <f t="shared" ref="E155:E158" si="81">C155/D155*100</f>
        <v>94.109403088115798</v>
      </c>
      <c r="F155" s="51">
        <v>810413</v>
      </c>
      <c r="G155" s="51">
        <v>682595</v>
      </c>
      <c r="H155" s="47">
        <f t="shared" ref="H155:H158" si="82">F155/G155*100</f>
        <v>118.72530563511306</v>
      </c>
      <c r="I155" s="51">
        <v>6383221</v>
      </c>
      <c r="J155" s="51">
        <v>6681309</v>
      </c>
      <c r="K155" s="47">
        <f t="shared" si="79"/>
        <v>95.538479061513243</v>
      </c>
      <c r="L155" s="51">
        <v>1939291</v>
      </c>
      <c r="M155" s="51">
        <v>2522392</v>
      </c>
      <c r="N155" s="47">
        <f t="shared" ref="N155:N157" si="83">L155/M155*100</f>
        <v>76.883014218249983</v>
      </c>
      <c r="O155" s="96">
        <v>542</v>
      </c>
      <c r="P155" s="76">
        <v>110</v>
      </c>
      <c r="Q155" s="96">
        <v>520</v>
      </c>
      <c r="R155" s="45">
        <f t="shared" si="80"/>
        <v>59620</v>
      </c>
    </row>
    <row r="156" spans="1:18" x14ac:dyDescent="0.25">
      <c r="A156" s="96">
        <v>3</v>
      </c>
      <c r="B156" s="84" t="s">
        <v>136</v>
      </c>
      <c r="C156" s="42">
        <v>0</v>
      </c>
      <c r="D156" s="42">
        <v>0</v>
      </c>
      <c r="E156" s="43">
        <v>0</v>
      </c>
      <c r="F156" s="42">
        <v>0</v>
      </c>
      <c r="G156" s="42">
        <v>0</v>
      </c>
      <c r="H156" s="43">
        <v>0</v>
      </c>
      <c r="I156" s="42">
        <v>0</v>
      </c>
      <c r="J156" s="42">
        <v>0</v>
      </c>
      <c r="K156" s="43">
        <v>0</v>
      </c>
      <c r="L156" s="42">
        <v>0</v>
      </c>
      <c r="M156" s="42">
        <v>0</v>
      </c>
      <c r="N156" s="43">
        <v>0</v>
      </c>
      <c r="O156" s="279">
        <v>0</v>
      </c>
      <c r="P156" s="44">
        <v>0</v>
      </c>
      <c r="Q156" s="279">
        <v>0</v>
      </c>
      <c r="R156" s="45">
        <f t="shared" si="80"/>
        <v>0</v>
      </c>
    </row>
    <row r="157" spans="1:18" x14ac:dyDescent="0.25">
      <c r="A157" s="96">
        <v>4</v>
      </c>
      <c r="B157" s="84" t="s">
        <v>137</v>
      </c>
      <c r="C157" s="96">
        <v>3084700</v>
      </c>
      <c r="D157" s="96">
        <v>3564845</v>
      </c>
      <c r="E157" s="47">
        <f t="shared" si="81"/>
        <v>86.531111450848499</v>
      </c>
      <c r="F157" s="96">
        <v>229168</v>
      </c>
      <c r="G157" s="101">
        <v>293029</v>
      </c>
      <c r="H157" s="47">
        <f t="shared" si="82"/>
        <v>78.206593886611913</v>
      </c>
      <c r="I157" s="101">
        <v>3323791</v>
      </c>
      <c r="J157" s="101">
        <v>3037096</v>
      </c>
      <c r="K157" s="47">
        <f t="shared" ref="K157" si="84">I157/J157*100</f>
        <v>109.43977404731362</v>
      </c>
      <c r="L157" s="101">
        <f>1979891+18916</f>
        <v>1998807</v>
      </c>
      <c r="M157" s="101">
        <v>820770</v>
      </c>
      <c r="N157" s="47">
        <f t="shared" si="83"/>
        <v>243.52827223217224</v>
      </c>
      <c r="O157" s="96">
        <v>310</v>
      </c>
      <c r="P157" s="76">
        <v>80</v>
      </c>
      <c r="Q157" s="96">
        <v>310</v>
      </c>
      <c r="R157" s="45">
        <f t="shared" si="80"/>
        <v>24800</v>
      </c>
    </row>
    <row r="158" spans="1:18" x14ac:dyDescent="0.25">
      <c r="A158" s="96">
        <v>5</v>
      </c>
      <c r="B158" s="84" t="s">
        <v>138</v>
      </c>
      <c r="C158" s="96">
        <v>2360611</v>
      </c>
      <c r="D158" s="96">
        <v>3644434</v>
      </c>
      <c r="E158" s="47">
        <f t="shared" si="81"/>
        <v>64.773048434955882</v>
      </c>
      <c r="F158" s="96">
        <v>0</v>
      </c>
      <c r="G158" s="96">
        <v>0</v>
      </c>
      <c r="H158" s="47" t="e">
        <f t="shared" si="82"/>
        <v>#DIV/0!</v>
      </c>
      <c r="I158" s="96">
        <v>2347982</v>
      </c>
      <c r="J158" s="96">
        <v>4108711</v>
      </c>
      <c r="K158" s="47">
        <f t="shared" si="79"/>
        <v>57.146438384203712</v>
      </c>
      <c r="L158" s="96">
        <v>0</v>
      </c>
      <c r="M158" s="96">
        <v>0</v>
      </c>
      <c r="N158" s="47">
        <v>0</v>
      </c>
      <c r="O158" s="96">
        <v>422</v>
      </c>
      <c r="P158" s="76">
        <v>51</v>
      </c>
      <c r="Q158" s="96">
        <v>422</v>
      </c>
      <c r="R158" s="45">
        <f t="shared" si="80"/>
        <v>21522</v>
      </c>
    </row>
    <row r="159" spans="1:18" x14ac:dyDescent="0.25">
      <c r="A159" s="315" t="s">
        <v>174</v>
      </c>
      <c r="B159" s="315" t="s">
        <v>139</v>
      </c>
      <c r="C159" s="56">
        <f>SUM(C154:C158)</f>
        <v>11737973</v>
      </c>
      <c r="D159" s="56">
        <f>SUM(D154:D158)</f>
        <v>13940022</v>
      </c>
      <c r="E159" s="57">
        <f>C159/D159*100</f>
        <v>84.203403696206507</v>
      </c>
      <c r="F159" s="56">
        <f>SUM(F154:F158)</f>
        <v>1047867</v>
      </c>
      <c r="G159" s="56">
        <f>SUM(G154:G158)</f>
        <v>983107</v>
      </c>
      <c r="H159" s="57">
        <f>F159/G159*100</f>
        <v>106.58727890249993</v>
      </c>
      <c r="I159" s="56">
        <f>SUM(I154:I158)</f>
        <v>12126185</v>
      </c>
      <c r="J159" s="56">
        <f>SUM(J154:J158)</f>
        <v>13946967</v>
      </c>
      <c r="K159" s="57">
        <f>I159/J159*100</f>
        <v>86.944960864967996</v>
      </c>
      <c r="L159" s="56">
        <f>SUM(L154:L158)</f>
        <v>3938098</v>
      </c>
      <c r="M159" s="56">
        <f>SUM(M154:M158)</f>
        <v>3343162</v>
      </c>
      <c r="N159" s="57">
        <f>L159/M159*100</f>
        <v>117.79560787063265</v>
      </c>
      <c r="O159" s="56">
        <f>SUM(O154:O158)</f>
        <v>1331</v>
      </c>
      <c r="P159" s="57">
        <f>R159/O159</f>
        <v>82.679188580015023</v>
      </c>
      <c r="Q159" s="56">
        <f>SUM(Q154:Q158)</f>
        <v>1309</v>
      </c>
      <c r="R159" s="59">
        <f>SUM(R154:R158)</f>
        <v>110046</v>
      </c>
    </row>
    <row r="160" spans="1:18" x14ac:dyDescent="0.25">
      <c r="A160" s="102"/>
      <c r="B160" s="103"/>
      <c r="C160" s="104"/>
      <c r="D160" s="104"/>
      <c r="E160" s="105"/>
      <c r="F160" s="104"/>
      <c r="G160" s="104"/>
      <c r="H160" s="105"/>
      <c r="I160" s="104"/>
      <c r="J160" s="104"/>
      <c r="K160" s="105"/>
      <c r="L160" s="104"/>
      <c r="M160" s="176"/>
      <c r="N160" s="177"/>
      <c r="O160" s="176"/>
      <c r="P160" s="104"/>
      <c r="Q160" s="176"/>
      <c r="R160" s="106"/>
    </row>
    <row r="161" spans="1:18" x14ac:dyDescent="0.25">
      <c r="A161" s="350" t="s">
        <v>177</v>
      </c>
      <c r="B161" s="350"/>
      <c r="C161" s="37">
        <v>3</v>
      </c>
      <c r="D161" s="37">
        <v>4</v>
      </c>
      <c r="E161" s="276">
        <v>5</v>
      </c>
      <c r="F161" s="37">
        <v>6</v>
      </c>
      <c r="G161" s="37">
        <v>7</v>
      </c>
      <c r="H161" s="37">
        <v>8</v>
      </c>
      <c r="I161" s="37">
        <v>9</v>
      </c>
      <c r="J161" s="37">
        <v>10</v>
      </c>
      <c r="K161" s="37">
        <v>11</v>
      </c>
      <c r="L161" s="37">
        <v>12</v>
      </c>
      <c r="M161" s="37">
        <v>13</v>
      </c>
      <c r="N161" s="37">
        <v>14</v>
      </c>
      <c r="O161" s="37">
        <v>15</v>
      </c>
      <c r="P161" s="276">
        <v>16</v>
      </c>
      <c r="Q161" s="37">
        <v>15</v>
      </c>
      <c r="R161" s="45"/>
    </row>
    <row r="162" spans="1:18" x14ac:dyDescent="0.25">
      <c r="A162" s="279">
        <v>1</v>
      </c>
      <c r="B162" s="78" t="s">
        <v>191</v>
      </c>
      <c r="C162" s="279">
        <v>1377029</v>
      </c>
      <c r="D162" s="279">
        <v>677964</v>
      </c>
      <c r="E162" s="47">
        <f>C162/D162*100</f>
        <v>203.11240714846215</v>
      </c>
      <c r="F162" s="279">
        <v>188608</v>
      </c>
      <c r="G162" s="279">
        <v>59505</v>
      </c>
      <c r="H162" s="47">
        <f>F162/G162*100</f>
        <v>316.9615998655575</v>
      </c>
      <c r="I162" s="279">
        <v>1297459</v>
      </c>
      <c r="J162" s="279">
        <v>624828</v>
      </c>
      <c r="K162" s="47">
        <f>I162/J162*100</f>
        <v>207.65058544111338</v>
      </c>
      <c r="L162" s="279">
        <f>201146+174563</f>
        <v>375709</v>
      </c>
      <c r="M162" s="279">
        <f>140057+36239</f>
        <v>176296</v>
      </c>
      <c r="N162" s="47">
        <f t="shared" ref="N162" si="85">L162/M162*100</f>
        <v>213.11260607160682</v>
      </c>
      <c r="O162" s="279">
        <v>51</v>
      </c>
      <c r="P162" s="279">
        <v>71</v>
      </c>
      <c r="Q162" s="279">
        <v>53</v>
      </c>
      <c r="R162" s="45">
        <f>O162*P162</f>
        <v>3621</v>
      </c>
    </row>
    <row r="163" spans="1:18" x14ac:dyDescent="0.25">
      <c r="A163" s="279">
        <v>2</v>
      </c>
      <c r="B163" s="146" t="s">
        <v>192</v>
      </c>
      <c r="C163" s="279">
        <v>1489420</v>
      </c>
      <c r="D163" s="279">
        <v>0</v>
      </c>
      <c r="E163" s="47">
        <v>0</v>
      </c>
      <c r="F163" s="279">
        <v>183361</v>
      </c>
      <c r="G163" s="279">
        <v>0</v>
      </c>
      <c r="H163" s="47">
        <v>0</v>
      </c>
      <c r="I163" s="279">
        <v>1547791</v>
      </c>
      <c r="J163" s="279">
        <v>0</v>
      </c>
      <c r="K163" s="47">
        <v>0</v>
      </c>
      <c r="L163" s="279">
        <v>17776</v>
      </c>
      <c r="M163" s="279">
        <v>0</v>
      </c>
      <c r="N163" s="34">
        <v>0</v>
      </c>
      <c r="O163" s="279">
        <v>30</v>
      </c>
      <c r="P163" s="279">
        <v>85</v>
      </c>
      <c r="Q163" s="279">
        <v>30</v>
      </c>
      <c r="R163" s="45">
        <f>O163*P163</f>
        <v>2550</v>
      </c>
    </row>
    <row r="164" spans="1:18" x14ac:dyDescent="0.25">
      <c r="A164" s="279">
        <v>3</v>
      </c>
      <c r="B164" s="146" t="s">
        <v>193</v>
      </c>
      <c r="C164" s="279">
        <v>2752212</v>
      </c>
      <c r="D164" s="279">
        <v>1945254</v>
      </c>
      <c r="E164" s="47">
        <f>C164/D164*100</f>
        <v>141.48342581482933</v>
      </c>
      <c r="F164" s="279">
        <v>452045</v>
      </c>
      <c r="G164" s="279">
        <v>293495</v>
      </c>
      <c r="H164" s="47">
        <f>F164/G164*100</f>
        <v>154.02136322594933</v>
      </c>
      <c r="I164" s="279">
        <v>2454637</v>
      </c>
      <c r="J164" s="279">
        <v>2742705</v>
      </c>
      <c r="K164" s="47">
        <f>I164/J164*100</f>
        <v>89.496938241626424</v>
      </c>
      <c r="L164" s="279">
        <v>0</v>
      </c>
      <c r="M164" s="279">
        <v>0</v>
      </c>
      <c r="N164" s="34">
        <v>0</v>
      </c>
      <c r="O164" s="279">
        <v>484</v>
      </c>
      <c r="P164" s="279">
        <v>100</v>
      </c>
      <c r="Q164" s="279">
        <v>481</v>
      </c>
      <c r="R164" s="45">
        <f>O164*P164</f>
        <v>48400</v>
      </c>
    </row>
    <row r="165" spans="1:18" x14ac:dyDescent="0.25">
      <c r="A165" s="315" t="s">
        <v>190</v>
      </c>
      <c r="B165" s="315" t="s">
        <v>109</v>
      </c>
      <c r="C165" s="56">
        <f>SUM(C162:C164)</f>
        <v>5618661</v>
      </c>
      <c r="D165" s="56">
        <f>SUM(D162:D164)</f>
        <v>2623218</v>
      </c>
      <c r="E165" s="57">
        <f>C165/D165*100</f>
        <v>214.18963273353566</v>
      </c>
      <c r="F165" s="56">
        <f>SUM(F162:F164)</f>
        <v>824014</v>
      </c>
      <c r="G165" s="56">
        <f>SUM(G162:G164)</f>
        <v>353000</v>
      </c>
      <c r="H165" s="57">
        <f>F165/G165*100</f>
        <v>233.4317280453258</v>
      </c>
      <c r="I165" s="56">
        <f>SUM(I162:I164)</f>
        <v>5299887</v>
      </c>
      <c r="J165" s="56">
        <f>SUM(J162:J164)</f>
        <v>3367533</v>
      </c>
      <c r="K165" s="57">
        <f>I165/J165*100</f>
        <v>157.38188757170309</v>
      </c>
      <c r="L165" s="56">
        <f>SUM(L162:L164)</f>
        <v>393485</v>
      </c>
      <c r="M165" s="56">
        <f>SUM(M162:M164)</f>
        <v>176296</v>
      </c>
      <c r="N165" s="57">
        <v>0</v>
      </c>
      <c r="O165" s="56">
        <f>SUM(O162:O164)</f>
        <v>565</v>
      </c>
      <c r="P165" s="58">
        <f>R165/O165</f>
        <v>96.585840707964607</v>
      </c>
      <c r="Q165" s="56">
        <f>SUM(Q162:Q164)</f>
        <v>564</v>
      </c>
      <c r="R165" s="59">
        <f>SUM(R162:R164)</f>
        <v>54571</v>
      </c>
    </row>
    <row r="166" spans="1:18" x14ac:dyDescent="0.25">
      <c r="A166" s="102"/>
      <c r="B166" s="103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6"/>
    </row>
    <row r="167" spans="1:18" x14ac:dyDescent="0.25">
      <c r="A167" s="319" t="s">
        <v>140</v>
      </c>
      <c r="B167" s="320"/>
      <c r="C167" s="37">
        <v>3</v>
      </c>
      <c r="D167" s="37">
        <v>4</v>
      </c>
      <c r="E167" s="276">
        <v>5</v>
      </c>
      <c r="F167" s="37">
        <v>6</v>
      </c>
      <c r="G167" s="37">
        <v>7</v>
      </c>
      <c r="H167" s="37">
        <v>8</v>
      </c>
      <c r="I167" s="37">
        <v>9</v>
      </c>
      <c r="J167" s="37">
        <v>10</v>
      </c>
      <c r="K167" s="37">
        <v>11</v>
      </c>
      <c r="L167" s="37">
        <v>12</v>
      </c>
      <c r="M167" s="27">
        <v>13</v>
      </c>
      <c r="N167" s="27">
        <v>14</v>
      </c>
      <c r="O167" s="27">
        <v>15</v>
      </c>
      <c r="P167" s="276">
        <v>16</v>
      </c>
      <c r="Q167" s="27">
        <v>15</v>
      </c>
      <c r="R167" s="23"/>
    </row>
    <row r="168" spans="1:18" x14ac:dyDescent="0.25">
      <c r="A168" s="102">
        <v>1</v>
      </c>
      <c r="B168" s="113" t="s">
        <v>141</v>
      </c>
      <c r="C168" s="96">
        <v>883</v>
      </c>
      <c r="D168" s="96">
        <v>9338</v>
      </c>
      <c r="E168" s="97">
        <f>C168/D168*100</f>
        <v>9.4559862925680012</v>
      </c>
      <c r="F168" s="96">
        <v>180</v>
      </c>
      <c r="G168" s="96">
        <v>229</v>
      </c>
      <c r="H168" s="97">
        <f t="shared" ref="H168:H169" si="86">F168/G168*100</f>
        <v>78.602620087336234</v>
      </c>
      <c r="I168" s="96">
        <v>46509</v>
      </c>
      <c r="J168" s="96">
        <v>37599</v>
      </c>
      <c r="K168" s="97">
        <f t="shared" ref="K168:K177" si="87">I168/J168*100</f>
        <v>123.69743876166919</v>
      </c>
      <c r="L168" s="96">
        <v>0</v>
      </c>
      <c r="M168" s="96">
        <v>0</v>
      </c>
      <c r="N168" s="96">
        <v>0</v>
      </c>
      <c r="O168" s="96">
        <v>74</v>
      </c>
      <c r="P168" s="96">
        <v>100</v>
      </c>
      <c r="Q168" s="96">
        <v>89</v>
      </c>
      <c r="R168" s="45">
        <f t="shared" ref="R168:R177" si="88">O168*P168</f>
        <v>7400</v>
      </c>
    </row>
    <row r="169" spans="1:18" s="66" customFormat="1" x14ac:dyDescent="0.25">
      <c r="A169" s="112">
        <v>2</v>
      </c>
      <c r="B169" s="113" t="s">
        <v>142</v>
      </c>
      <c r="C169" s="96">
        <v>1050723</v>
      </c>
      <c r="D169" s="96">
        <v>1034917</v>
      </c>
      <c r="E169" s="97">
        <f>C169/D169*100</f>
        <v>101.527272235358</v>
      </c>
      <c r="F169" s="96">
        <v>171373</v>
      </c>
      <c r="G169" s="96">
        <v>163136</v>
      </c>
      <c r="H169" s="97">
        <f t="shared" si="86"/>
        <v>105.0491614358572</v>
      </c>
      <c r="I169" s="96">
        <v>1050723</v>
      </c>
      <c r="J169" s="96">
        <v>1034917</v>
      </c>
      <c r="K169" s="97">
        <f t="shared" si="87"/>
        <v>101.527272235358</v>
      </c>
      <c r="L169" s="96">
        <f>549041+501682</f>
        <v>1050723</v>
      </c>
      <c r="M169" s="96">
        <f>811427+223490</f>
        <v>1034917</v>
      </c>
      <c r="N169" s="96">
        <f t="shared" ref="N169:N177" si="89">L169/M169*100</f>
        <v>101.527272235358</v>
      </c>
      <c r="O169" s="96">
        <v>128</v>
      </c>
      <c r="P169" s="96">
        <v>112</v>
      </c>
      <c r="Q169" s="96">
        <v>125</v>
      </c>
      <c r="R169" s="45">
        <f t="shared" si="88"/>
        <v>14336</v>
      </c>
    </row>
    <row r="170" spans="1:18" x14ac:dyDescent="0.25">
      <c r="A170" s="102">
        <v>3</v>
      </c>
      <c r="B170" s="113" t="s">
        <v>143</v>
      </c>
      <c r="C170" s="96">
        <v>0</v>
      </c>
      <c r="D170" s="96">
        <v>122150</v>
      </c>
      <c r="E170" s="97">
        <f>C170/D170*100</f>
        <v>0</v>
      </c>
      <c r="F170" s="96">
        <v>0</v>
      </c>
      <c r="G170" s="96">
        <v>0</v>
      </c>
      <c r="H170" s="97">
        <v>0</v>
      </c>
      <c r="I170" s="96">
        <v>0</v>
      </c>
      <c r="J170" s="96">
        <v>116068</v>
      </c>
      <c r="K170" s="97">
        <f t="shared" si="87"/>
        <v>0</v>
      </c>
      <c r="L170" s="96">
        <v>0</v>
      </c>
      <c r="M170" s="96">
        <v>108978</v>
      </c>
      <c r="N170" s="97">
        <f t="shared" si="89"/>
        <v>0</v>
      </c>
      <c r="O170" s="96">
        <v>10</v>
      </c>
      <c r="P170" s="96">
        <v>46</v>
      </c>
      <c r="Q170" s="96">
        <v>10</v>
      </c>
      <c r="R170" s="45">
        <f t="shared" si="88"/>
        <v>460</v>
      </c>
    </row>
    <row r="171" spans="1:18" x14ac:dyDescent="0.25">
      <c r="A171" s="112">
        <v>4</v>
      </c>
      <c r="B171" s="113" t="s">
        <v>144</v>
      </c>
      <c r="C171" s="96">
        <v>5252942</v>
      </c>
      <c r="D171" s="96">
        <v>5174387</v>
      </c>
      <c r="E171" s="114">
        <f>C171/D171*100</f>
        <v>101.51815084569438</v>
      </c>
      <c r="F171" s="96">
        <v>601445</v>
      </c>
      <c r="G171" s="96">
        <v>16462</v>
      </c>
      <c r="H171" s="114">
        <f t="shared" ref="H171:H177" si="90">F171/G171*100</f>
        <v>3653.5354148949095</v>
      </c>
      <c r="I171" s="96">
        <v>5252942</v>
      </c>
      <c r="J171" s="96">
        <v>5174387</v>
      </c>
      <c r="K171" s="114">
        <f t="shared" si="87"/>
        <v>101.51815084569438</v>
      </c>
      <c r="L171" s="96">
        <v>5252942</v>
      </c>
      <c r="M171" s="96">
        <v>5174387</v>
      </c>
      <c r="N171" s="47">
        <f t="shared" si="89"/>
        <v>101.51815084569438</v>
      </c>
      <c r="O171" s="96">
        <v>139</v>
      </c>
      <c r="P171" s="115">
        <v>137</v>
      </c>
      <c r="Q171" s="96">
        <v>143</v>
      </c>
      <c r="R171" s="45">
        <f t="shared" si="88"/>
        <v>19043</v>
      </c>
    </row>
    <row r="172" spans="1:18" x14ac:dyDescent="0.25">
      <c r="A172" s="102">
        <v>5</v>
      </c>
      <c r="B172" s="113" t="s">
        <v>145</v>
      </c>
      <c r="C172" s="96">
        <v>739085</v>
      </c>
      <c r="D172" s="96">
        <v>1853079</v>
      </c>
      <c r="E172" s="114">
        <f>C172/D172*100</f>
        <v>39.884160362294324</v>
      </c>
      <c r="F172" s="96">
        <v>11717</v>
      </c>
      <c r="G172" s="96">
        <v>105258</v>
      </c>
      <c r="H172" s="114">
        <f t="shared" si="90"/>
        <v>11.131695453077201</v>
      </c>
      <c r="I172" s="96">
        <v>942759</v>
      </c>
      <c r="J172" s="96">
        <v>1993116</v>
      </c>
      <c r="K172" s="114">
        <f t="shared" si="87"/>
        <v>47.300759213211876</v>
      </c>
      <c r="L172" s="96">
        <v>948843</v>
      </c>
      <c r="M172" s="96">
        <v>2013182</v>
      </c>
      <c r="N172" s="47">
        <f t="shared" si="89"/>
        <v>47.131506242356629</v>
      </c>
      <c r="O172" s="96">
        <v>47</v>
      </c>
      <c r="P172" s="96">
        <v>41</v>
      </c>
      <c r="Q172" s="96">
        <v>47</v>
      </c>
      <c r="R172" s="45">
        <f t="shared" si="88"/>
        <v>1927</v>
      </c>
    </row>
    <row r="173" spans="1:18" x14ac:dyDescent="0.25">
      <c r="A173" s="112">
        <v>6</v>
      </c>
      <c r="B173" s="113" t="s">
        <v>146</v>
      </c>
      <c r="C173" s="42">
        <v>0</v>
      </c>
      <c r="D173" s="42">
        <v>0</v>
      </c>
      <c r="E173" s="43">
        <v>0</v>
      </c>
      <c r="F173" s="42">
        <v>0</v>
      </c>
      <c r="G173" s="42">
        <v>0</v>
      </c>
      <c r="H173" s="43">
        <v>0</v>
      </c>
      <c r="I173" s="42">
        <v>0</v>
      </c>
      <c r="J173" s="42">
        <v>0</v>
      </c>
      <c r="K173" s="43">
        <v>0</v>
      </c>
      <c r="L173" s="42">
        <v>0</v>
      </c>
      <c r="M173" s="42">
        <v>0</v>
      </c>
      <c r="N173" s="43">
        <v>0</v>
      </c>
      <c r="O173" s="279">
        <v>0</v>
      </c>
      <c r="P173" s="44">
        <v>0</v>
      </c>
      <c r="Q173" s="279">
        <v>0</v>
      </c>
      <c r="R173" s="45">
        <f t="shared" si="88"/>
        <v>0</v>
      </c>
    </row>
    <row r="174" spans="1:18" x14ac:dyDescent="0.25">
      <c r="A174" s="102">
        <v>7</v>
      </c>
      <c r="B174" s="113" t="s">
        <v>147</v>
      </c>
      <c r="C174" s="96">
        <v>3165011</v>
      </c>
      <c r="D174" s="96">
        <v>3939315</v>
      </c>
      <c r="E174" s="114">
        <f>դեկ!F174/դեկ!G174*100</f>
        <v>352.28370964683415</v>
      </c>
      <c r="F174" s="96">
        <v>538751</v>
      </c>
      <c r="G174" s="96">
        <v>152931</v>
      </c>
      <c r="H174" s="47">
        <f>C174/D174*100</f>
        <v>80.344196897176289</v>
      </c>
      <c r="I174" s="96">
        <v>3171428</v>
      </c>
      <c r="J174" s="96">
        <v>4048360</v>
      </c>
      <c r="K174" s="47">
        <f t="shared" si="87"/>
        <v>78.338586489343825</v>
      </c>
      <c r="L174" s="96">
        <v>3154980</v>
      </c>
      <c r="M174" s="96">
        <v>4044698</v>
      </c>
      <c r="N174" s="47">
        <f t="shared" si="89"/>
        <v>78.002857073630722</v>
      </c>
      <c r="O174" s="96">
        <v>33</v>
      </c>
      <c r="P174" s="96">
        <v>97</v>
      </c>
      <c r="Q174" s="96">
        <v>43</v>
      </c>
      <c r="R174" s="45">
        <f t="shared" si="88"/>
        <v>3201</v>
      </c>
    </row>
    <row r="175" spans="1:18" x14ac:dyDescent="0.25">
      <c r="A175" s="112">
        <v>8</v>
      </c>
      <c r="B175" s="113" t="s">
        <v>148</v>
      </c>
      <c r="C175" s="96">
        <v>754767</v>
      </c>
      <c r="D175" s="96">
        <v>1436160</v>
      </c>
      <c r="E175" s="76">
        <f>C175/D175*100</f>
        <v>52.554520387700535</v>
      </c>
      <c r="F175" s="96">
        <v>0</v>
      </c>
      <c r="G175" s="96">
        <v>0</v>
      </c>
      <c r="H175" s="76" t="e">
        <f t="shared" si="90"/>
        <v>#DIV/0!</v>
      </c>
      <c r="I175" s="96">
        <v>754767</v>
      </c>
      <c r="J175" s="96">
        <v>1436160</v>
      </c>
      <c r="K175" s="76">
        <f t="shared" si="87"/>
        <v>52.554520387700535</v>
      </c>
      <c r="L175" s="96">
        <v>754767</v>
      </c>
      <c r="M175" s="96">
        <v>1436160</v>
      </c>
      <c r="N175" s="76">
        <f t="shared" si="89"/>
        <v>52.554520387700535</v>
      </c>
      <c r="O175" s="76">
        <v>3</v>
      </c>
      <c r="P175" s="76">
        <v>127</v>
      </c>
      <c r="Q175" s="76">
        <v>38</v>
      </c>
      <c r="R175" s="45">
        <f t="shared" si="88"/>
        <v>381</v>
      </c>
    </row>
    <row r="176" spans="1:18" x14ac:dyDescent="0.25">
      <c r="A176" s="102">
        <v>9</v>
      </c>
      <c r="B176" s="113" t="s">
        <v>149</v>
      </c>
      <c r="C176" s="96">
        <v>223410</v>
      </c>
      <c r="D176" s="96">
        <v>234640</v>
      </c>
      <c r="E176" s="47">
        <f>C176/D176*100</f>
        <v>95.213944766450737</v>
      </c>
      <c r="F176" s="96">
        <v>0</v>
      </c>
      <c r="G176" s="96">
        <v>24501</v>
      </c>
      <c r="H176" s="47">
        <f t="shared" si="90"/>
        <v>0</v>
      </c>
      <c r="I176" s="96">
        <v>223410</v>
      </c>
      <c r="J176" s="96">
        <v>234640</v>
      </c>
      <c r="K176" s="47">
        <f t="shared" si="87"/>
        <v>95.213944766450737</v>
      </c>
      <c r="L176" s="96">
        <v>223410</v>
      </c>
      <c r="M176" s="96">
        <v>234640</v>
      </c>
      <c r="N176" s="47">
        <f t="shared" si="89"/>
        <v>95.213944766450737</v>
      </c>
      <c r="O176" s="96">
        <v>2</v>
      </c>
      <c r="P176" s="96">
        <v>85</v>
      </c>
      <c r="Q176" s="96">
        <v>2</v>
      </c>
      <c r="R176" s="45">
        <f t="shared" si="88"/>
        <v>170</v>
      </c>
    </row>
    <row r="177" spans="1:18" x14ac:dyDescent="0.25">
      <c r="A177" s="112">
        <v>10</v>
      </c>
      <c r="B177" s="113" t="s">
        <v>150</v>
      </c>
      <c r="C177" s="96">
        <v>672655</v>
      </c>
      <c r="D177" s="96">
        <v>499910</v>
      </c>
      <c r="E177" s="47">
        <f>C177/D177*100</f>
        <v>134.55521993958911</v>
      </c>
      <c r="F177" s="96">
        <v>190266</v>
      </c>
      <c r="G177" s="96">
        <v>107163</v>
      </c>
      <c r="H177" s="47">
        <f t="shared" si="90"/>
        <v>177.54822093446433</v>
      </c>
      <c r="I177" s="96">
        <v>672655</v>
      </c>
      <c r="J177" s="96">
        <v>499910</v>
      </c>
      <c r="K177" s="47">
        <f t="shared" si="87"/>
        <v>134.55521993958911</v>
      </c>
      <c r="L177" s="96">
        <f>480246+192409</f>
        <v>672655</v>
      </c>
      <c r="M177" s="96">
        <f>182401+317209</f>
        <v>499610</v>
      </c>
      <c r="N177" s="47">
        <f t="shared" si="89"/>
        <v>134.63601609255218</v>
      </c>
      <c r="O177" s="96">
        <v>26</v>
      </c>
      <c r="P177" s="96">
        <v>50</v>
      </c>
      <c r="Q177" s="96">
        <v>24</v>
      </c>
      <c r="R177" s="45">
        <f t="shared" si="88"/>
        <v>1300</v>
      </c>
    </row>
    <row r="178" spans="1:18" x14ac:dyDescent="0.25">
      <c r="A178" s="315" t="s">
        <v>173</v>
      </c>
      <c r="B178" s="315" t="s">
        <v>139</v>
      </c>
      <c r="C178" s="58">
        <f>SUM(C168:C177)</f>
        <v>11859476</v>
      </c>
      <c r="D178" s="58">
        <f>SUM(D168:D177)</f>
        <v>14303896</v>
      </c>
      <c r="E178" s="57">
        <f>C178/D178*100</f>
        <v>82.910809754209623</v>
      </c>
      <c r="F178" s="58">
        <f>SUM(F168:F177)</f>
        <v>1513732</v>
      </c>
      <c r="G178" s="58">
        <f>SUM(G168:G177)</f>
        <v>569680</v>
      </c>
      <c r="H178" s="57">
        <f>F178/G178*100</f>
        <v>265.71619154613114</v>
      </c>
      <c r="I178" s="58">
        <f>SUM(I168:I177)</f>
        <v>12115193</v>
      </c>
      <c r="J178" s="58">
        <f>SUM(J168:J177)</f>
        <v>14575157</v>
      </c>
      <c r="K178" s="57">
        <f>I178/J178*100</f>
        <v>83.122212680110408</v>
      </c>
      <c r="L178" s="58">
        <f>SUM(L168:L177)</f>
        <v>12058320</v>
      </c>
      <c r="M178" s="56">
        <f>SUM(M168:M177)</f>
        <v>14546572</v>
      </c>
      <c r="N178" s="57">
        <f>L178/M178*100</f>
        <v>82.894581623766754</v>
      </c>
      <c r="O178" s="58">
        <f>SUM(O168:O177)</f>
        <v>462</v>
      </c>
      <c r="P178" s="57">
        <f>R178/O178</f>
        <v>104.36796536796537</v>
      </c>
      <c r="Q178" s="58">
        <f>SUM(Q168:Q177)</f>
        <v>521</v>
      </c>
      <c r="R178" s="59">
        <f>SUM(R168:R177)</f>
        <v>48218</v>
      </c>
    </row>
    <row r="179" spans="1:18" x14ac:dyDescent="0.25">
      <c r="A179" s="117"/>
      <c r="B179" s="117"/>
      <c r="C179" s="98"/>
      <c r="D179" s="98"/>
      <c r="E179" s="97"/>
      <c r="F179" s="118"/>
      <c r="G179" s="118"/>
      <c r="H179" s="97"/>
      <c r="I179" s="279"/>
      <c r="J179" s="279"/>
      <c r="K179" s="119"/>
      <c r="L179" s="279"/>
      <c r="M179" s="279"/>
      <c r="N179" s="279"/>
      <c r="O179" s="279"/>
      <c r="P179" s="62"/>
      <c r="Q179" s="279"/>
      <c r="R179" s="31"/>
    </row>
    <row r="180" spans="1:18" x14ac:dyDescent="0.25">
      <c r="A180" s="321" t="s">
        <v>151</v>
      </c>
      <c r="B180" s="322"/>
      <c r="C180" s="37">
        <v>3</v>
      </c>
      <c r="D180" s="37">
        <v>4</v>
      </c>
      <c r="E180" s="276">
        <v>5</v>
      </c>
      <c r="F180" s="37">
        <v>6</v>
      </c>
      <c r="G180" s="37">
        <v>7</v>
      </c>
      <c r="H180" s="37">
        <v>8</v>
      </c>
      <c r="I180" s="37">
        <v>9</v>
      </c>
      <c r="J180" s="37">
        <v>10</v>
      </c>
      <c r="K180" s="37">
        <v>11</v>
      </c>
      <c r="L180" s="37">
        <v>12</v>
      </c>
      <c r="M180" s="37">
        <v>13</v>
      </c>
      <c r="N180" s="37">
        <v>14</v>
      </c>
      <c r="O180" s="37">
        <v>15</v>
      </c>
      <c r="P180" s="276">
        <v>16</v>
      </c>
      <c r="Q180" s="37">
        <v>15</v>
      </c>
      <c r="R180" s="31"/>
    </row>
    <row r="181" spans="1:18" x14ac:dyDescent="0.25">
      <c r="A181" s="282">
        <v>1</v>
      </c>
      <c r="B181" s="285" t="s">
        <v>152</v>
      </c>
      <c r="C181" s="292">
        <v>830573</v>
      </c>
      <c r="D181" s="293">
        <v>738163.9</v>
      </c>
      <c r="E181" s="294">
        <v>113</v>
      </c>
      <c r="F181" s="292">
        <v>60279</v>
      </c>
      <c r="G181" s="292">
        <v>63978.2</v>
      </c>
      <c r="H181" s="294">
        <v>94</v>
      </c>
      <c r="I181" s="293">
        <v>619136.69999999995</v>
      </c>
      <c r="J181" s="292">
        <v>671119.7</v>
      </c>
      <c r="K181" s="294">
        <v>92</v>
      </c>
      <c r="L181" s="292"/>
      <c r="M181" s="292"/>
      <c r="N181" s="295"/>
      <c r="O181" s="292">
        <v>306</v>
      </c>
      <c r="P181" s="293">
        <v>258</v>
      </c>
      <c r="Q181" s="292">
        <v>307</v>
      </c>
      <c r="R181" s="283">
        <f t="shared" ref="R181:R189" si="91">O181*P181</f>
        <v>78948</v>
      </c>
    </row>
    <row r="182" spans="1:18" ht="38.25" x14ac:dyDescent="0.25">
      <c r="A182" s="282">
        <v>2</v>
      </c>
      <c r="B182" s="303" t="s">
        <v>230</v>
      </c>
      <c r="C182" s="304">
        <v>141872</v>
      </c>
      <c r="D182" s="304">
        <v>136350</v>
      </c>
      <c r="E182" s="305">
        <f t="shared" ref="E182:E189" si="92">IF(OR(C182=0,D182=0),0,C182/D182*100)</f>
        <v>104.04987165383206</v>
      </c>
      <c r="F182" s="304">
        <v>13777</v>
      </c>
      <c r="G182" s="304">
        <v>13959</v>
      </c>
      <c r="H182" s="305">
        <f t="shared" ref="H182:H189" si="93">IF(OR(F182=0,G182=0),0,F182/G182*100)</f>
        <v>98.696181674905077</v>
      </c>
      <c r="I182" s="306">
        <v>0</v>
      </c>
      <c r="J182" s="306">
        <v>0</v>
      </c>
      <c r="K182" s="305">
        <f t="shared" ref="K182:K189" si="94">IF(OR(I182=0,J182=0),0,I182/J182*100)</f>
        <v>0</v>
      </c>
      <c r="L182" s="306">
        <v>0</v>
      </c>
      <c r="M182" s="306">
        <v>0</v>
      </c>
      <c r="N182" s="305">
        <f t="shared" ref="N182:N189" si="95">IF(OR(L182=0,M182=0),0,L182/M182*100)</f>
        <v>0</v>
      </c>
      <c r="O182" s="306">
        <v>86</v>
      </c>
      <c r="P182" s="307">
        <v>154</v>
      </c>
      <c r="Q182" s="306">
        <v>86</v>
      </c>
      <c r="R182" s="308">
        <f t="shared" si="91"/>
        <v>13244</v>
      </c>
    </row>
    <row r="183" spans="1:18" x14ac:dyDescent="0.25">
      <c r="A183" s="282">
        <v>3</v>
      </c>
      <c r="B183" s="286" t="s">
        <v>227</v>
      </c>
      <c r="C183" s="298">
        <v>1109</v>
      </c>
      <c r="D183" s="298">
        <v>7186</v>
      </c>
      <c r="E183" s="295">
        <f t="shared" si="92"/>
        <v>15.432785972724741</v>
      </c>
      <c r="F183" s="296">
        <v>250</v>
      </c>
      <c r="G183" s="296">
        <v>0</v>
      </c>
      <c r="H183" s="295">
        <f t="shared" si="93"/>
        <v>0</v>
      </c>
      <c r="I183" s="299">
        <v>1109</v>
      </c>
      <c r="J183" s="298">
        <v>7186</v>
      </c>
      <c r="K183" s="295">
        <f t="shared" si="94"/>
        <v>15.432785972724741</v>
      </c>
      <c r="L183" s="296">
        <v>0</v>
      </c>
      <c r="M183" s="296">
        <v>0</v>
      </c>
      <c r="N183" s="295">
        <f t="shared" si="95"/>
        <v>0</v>
      </c>
      <c r="O183" s="296">
        <v>30</v>
      </c>
      <c r="P183" s="297">
        <v>153</v>
      </c>
      <c r="Q183" s="296">
        <v>31</v>
      </c>
      <c r="R183" s="283">
        <f t="shared" si="91"/>
        <v>4590</v>
      </c>
    </row>
    <row r="184" spans="1:18" x14ac:dyDescent="0.25">
      <c r="A184" s="282">
        <v>4</v>
      </c>
      <c r="B184" s="285" t="s">
        <v>158</v>
      </c>
      <c r="C184" s="296">
        <v>2100</v>
      </c>
      <c r="D184" s="296">
        <v>10825</v>
      </c>
      <c r="E184" s="295">
        <f t="shared" si="92"/>
        <v>19.399538106235568</v>
      </c>
      <c r="F184" s="296">
        <v>0</v>
      </c>
      <c r="G184" s="296">
        <v>0</v>
      </c>
      <c r="H184" s="295">
        <f t="shared" si="93"/>
        <v>0</v>
      </c>
      <c r="I184" s="296">
        <v>18636.099999999999</v>
      </c>
      <c r="J184" s="296">
        <v>35550</v>
      </c>
      <c r="K184" s="295">
        <f t="shared" si="94"/>
        <v>52.422222222222217</v>
      </c>
      <c r="L184" s="296">
        <v>0</v>
      </c>
      <c r="M184" s="296">
        <v>0</v>
      </c>
      <c r="N184" s="295">
        <f t="shared" si="95"/>
        <v>0</v>
      </c>
      <c r="O184" s="296">
        <v>17</v>
      </c>
      <c r="P184" s="297">
        <v>35</v>
      </c>
      <c r="Q184" s="296">
        <v>17</v>
      </c>
      <c r="R184" s="283">
        <f t="shared" si="91"/>
        <v>595</v>
      </c>
    </row>
    <row r="185" spans="1:18" x14ac:dyDescent="0.25">
      <c r="A185" s="282">
        <v>5</v>
      </c>
      <c r="B185" s="285" t="s">
        <v>228</v>
      </c>
      <c r="C185" s="297">
        <v>12410</v>
      </c>
      <c r="D185" s="296">
        <v>9840</v>
      </c>
      <c r="E185" s="295">
        <f t="shared" si="92"/>
        <v>126.1178861788618</v>
      </c>
      <c r="F185" s="297">
        <v>1245</v>
      </c>
      <c r="G185" s="297">
        <v>695</v>
      </c>
      <c r="H185" s="295">
        <f t="shared" si="93"/>
        <v>179.136690647482</v>
      </c>
      <c r="I185" s="300">
        <v>0</v>
      </c>
      <c r="J185" s="300">
        <v>0</v>
      </c>
      <c r="K185" s="295">
        <f t="shared" si="94"/>
        <v>0</v>
      </c>
      <c r="L185" s="296">
        <v>0</v>
      </c>
      <c r="M185" s="296">
        <v>0</v>
      </c>
      <c r="N185" s="295">
        <f t="shared" si="95"/>
        <v>0</v>
      </c>
      <c r="O185" s="296">
        <v>12</v>
      </c>
      <c r="P185" s="297">
        <v>58</v>
      </c>
      <c r="Q185" s="296">
        <v>12</v>
      </c>
      <c r="R185" s="283">
        <f t="shared" si="91"/>
        <v>696</v>
      </c>
    </row>
    <row r="186" spans="1:18" x14ac:dyDescent="0.25">
      <c r="A186" s="282">
        <v>6</v>
      </c>
      <c r="B186" s="285" t="s">
        <v>161</v>
      </c>
      <c r="C186" s="297">
        <v>58617</v>
      </c>
      <c r="D186" s="296">
        <v>96900</v>
      </c>
      <c r="E186" s="295">
        <f t="shared" si="92"/>
        <v>60.492260061919502</v>
      </c>
      <c r="F186" s="297">
        <v>6187</v>
      </c>
      <c r="G186" s="297">
        <v>11300</v>
      </c>
      <c r="H186" s="295">
        <f t="shared" si="93"/>
        <v>54.752212389380531</v>
      </c>
      <c r="I186" s="300">
        <v>37800</v>
      </c>
      <c r="J186" s="300">
        <v>97829</v>
      </c>
      <c r="K186" s="295">
        <f t="shared" si="94"/>
        <v>38.638849420928359</v>
      </c>
      <c r="L186" s="296">
        <v>0</v>
      </c>
      <c r="M186" s="296">
        <v>0</v>
      </c>
      <c r="N186" s="295">
        <f t="shared" si="95"/>
        <v>0</v>
      </c>
      <c r="O186" s="296">
        <v>23</v>
      </c>
      <c r="P186" s="297">
        <v>104.4</v>
      </c>
      <c r="Q186" s="296">
        <v>23</v>
      </c>
      <c r="R186" s="284">
        <f t="shared" si="91"/>
        <v>2401.2000000000003</v>
      </c>
    </row>
    <row r="187" spans="1:18" x14ac:dyDescent="0.25">
      <c r="A187" s="282">
        <v>7</v>
      </c>
      <c r="B187" s="285" t="s">
        <v>154</v>
      </c>
      <c r="C187" s="296">
        <v>102318</v>
      </c>
      <c r="D187" s="296">
        <v>404188</v>
      </c>
      <c r="E187" s="297">
        <f t="shared" si="92"/>
        <v>25.314457628628261</v>
      </c>
      <c r="F187" s="296">
        <v>1791</v>
      </c>
      <c r="G187" s="296">
        <v>1606</v>
      </c>
      <c r="H187" s="297">
        <f t="shared" si="93"/>
        <v>111.51930261519303</v>
      </c>
      <c r="I187" s="296">
        <v>106796</v>
      </c>
      <c r="J187" s="296">
        <v>375815</v>
      </c>
      <c r="K187" s="297">
        <f t="shared" si="94"/>
        <v>28.417173343267301</v>
      </c>
      <c r="L187" s="296">
        <v>106796</v>
      </c>
      <c r="M187" s="296">
        <v>375815</v>
      </c>
      <c r="N187" s="297">
        <f t="shared" si="95"/>
        <v>28.417173343267301</v>
      </c>
      <c r="O187" s="296">
        <v>45</v>
      </c>
      <c r="P187" s="297">
        <v>95</v>
      </c>
      <c r="Q187" s="296">
        <v>45</v>
      </c>
      <c r="R187" s="283">
        <f t="shared" si="91"/>
        <v>4275</v>
      </c>
    </row>
    <row r="188" spans="1:18" x14ac:dyDescent="0.25">
      <c r="A188" s="282">
        <v>8</v>
      </c>
      <c r="B188" s="287" t="s">
        <v>163</v>
      </c>
      <c r="C188" s="296">
        <v>7598</v>
      </c>
      <c r="D188" s="296">
        <v>7660</v>
      </c>
      <c r="E188" s="295">
        <f t="shared" si="92"/>
        <v>99.190600522193208</v>
      </c>
      <c r="F188" s="296">
        <v>842</v>
      </c>
      <c r="G188" s="296">
        <v>615</v>
      </c>
      <c r="H188" s="295">
        <f t="shared" si="93"/>
        <v>136.91056910569105</v>
      </c>
      <c r="I188" s="296">
        <v>6294</v>
      </c>
      <c r="J188" s="296">
        <v>7204</v>
      </c>
      <c r="K188" s="295">
        <f t="shared" si="94"/>
        <v>87.368128817323708</v>
      </c>
      <c r="L188" s="296">
        <v>0</v>
      </c>
      <c r="M188" s="296">
        <v>0</v>
      </c>
      <c r="N188" s="295">
        <f t="shared" si="95"/>
        <v>0</v>
      </c>
      <c r="O188" s="296">
        <v>25</v>
      </c>
      <c r="P188" s="297">
        <v>58</v>
      </c>
      <c r="Q188" s="296">
        <v>26</v>
      </c>
      <c r="R188" s="283">
        <f t="shared" si="91"/>
        <v>1450</v>
      </c>
    </row>
    <row r="189" spans="1:18" x14ac:dyDescent="0.25">
      <c r="A189" s="282">
        <v>9</v>
      </c>
      <c r="B189" s="287" t="s">
        <v>162</v>
      </c>
      <c r="C189" s="288">
        <v>20720</v>
      </c>
      <c r="D189" s="288">
        <v>22264</v>
      </c>
      <c r="E189" s="289">
        <f t="shared" si="92"/>
        <v>93.065037729069346</v>
      </c>
      <c r="F189" s="288">
        <v>1748</v>
      </c>
      <c r="G189" s="288">
        <v>1313</v>
      </c>
      <c r="H189" s="289">
        <f t="shared" si="93"/>
        <v>133.13023610053312</v>
      </c>
      <c r="I189" s="288">
        <v>20720</v>
      </c>
      <c r="J189" s="288">
        <v>22264</v>
      </c>
      <c r="K189" s="290">
        <f t="shared" si="94"/>
        <v>93.065037729069346</v>
      </c>
      <c r="L189" s="288">
        <v>0</v>
      </c>
      <c r="M189" s="288">
        <v>0</v>
      </c>
      <c r="N189" s="290">
        <f t="shared" si="95"/>
        <v>0</v>
      </c>
      <c r="O189" s="291">
        <v>23</v>
      </c>
      <c r="P189" s="291">
        <v>52.4</v>
      </c>
      <c r="Q189" s="291">
        <v>23</v>
      </c>
      <c r="R189" s="283">
        <f t="shared" si="91"/>
        <v>1205.2</v>
      </c>
    </row>
    <row r="190" spans="1:18" x14ac:dyDescent="0.25">
      <c r="A190" s="354" t="s">
        <v>229</v>
      </c>
      <c r="B190" s="355"/>
      <c r="C190" s="301">
        <f>SUM(C181:C189)</f>
        <v>1177317</v>
      </c>
      <c r="D190" s="301">
        <f>SUM(D181:D189)</f>
        <v>1433376.9</v>
      </c>
      <c r="E190" s="302">
        <f>C190/D190*100</f>
        <v>82.135898799541138</v>
      </c>
      <c r="F190" s="301">
        <f>SUM(F181:F189)</f>
        <v>86119</v>
      </c>
      <c r="G190" s="301">
        <f>SUM(G181:G189)</f>
        <v>93466.2</v>
      </c>
      <c r="H190" s="302">
        <f>F190/G190*100</f>
        <v>92.139190423917952</v>
      </c>
      <c r="I190" s="301">
        <f>SUM(I181:I189)</f>
        <v>810491.79999999993</v>
      </c>
      <c r="J190" s="301">
        <f>SUM(J181:J189)</f>
        <v>1216967.7</v>
      </c>
      <c r="K190" s="302">
        <f>I190/J190*100</f>
        <v>66.599286078011772</v>
      </c>
      <c r="L190" s="301">
        <f>SUM(L181:L189)</f>
        <v>106796</v>
      </c>
      <c r="M190" s="301">
        <f>SUM(M181:M189)</f>
        <v>375815</v>
      </c>
      <c r="N190" s="302">
        <f>L190/M190*100</f>
        <v>28.417173343267301</v>
      </c>
      <c r="O190" s="301">
        <f>SUM(O181:O188)</f>
        <v>544</v>
      </c>
      <c r="P190" s="302">
        <f>R190/O190</f>
        <v>197.43455882352941</v>
      </c>
      <c r="Q190" s="301">
        <f>SUM(Q181:Q188)</f>
        <v>547</v>
      </c>
      <c r="R190" s="59">
        <f>SUM(R181:R189)</f>
        <v>107404.4</v>
      </c>
    </row>
    <row r="191" spans="1:18" x14ac:dyDescent="0.25">
      <c r="A191" s="125"/>
      <c r="B191" s="37"/>
      <c r="C191" s="125"/>
      <c r="D191" s="125"/>
      <c r="E191" s="125"/>
      <c r="F191" s="125"/>
      <c r="G191" s="125"/>
      <c r="H191" s="125"/>
      <c r="I191" s="125"/>
      <c r="J191" s="125"/>
      <c r="K191" s="125"/>
      <c r="L191" s="125"/>
      <c r="M191" s="125"/>
      <c r="N191" s="125"/>
      <c r="O191" s="125"/>
      <c r="P191" s="125"/>
      <c r="Q191" s="125"/>
      <c r="R191" s="126"/>
    </row>
    <row r="192" spans="1:18" x14ac:dyDescent="0.25">
      <c r="A192" s="323" t="s">
        <v>22</v>
      </c>
      <c r="B192" s="324"/>
      <c r="C192" s="37">
        <v>3</v>
      </c>
      <c r="D192" s="37">
        <v>4</v>
      </c>
      <c r="E192" s="276">
        <v>5</v>
      </c>
      <c r="F192" s="37">
        <v>6</v>
      </c>
      <c r="G192" s="37">
        <v>7</v>
      </c>
      <c r="H192" s="37">
        <v>8</v>
      </c>
      <c r="I192" s="37">
        <v>9</v>
      </c>
      <c r="J192" s="37">
        <v>10</v>
      </c>
      <c r="K192" s="37">
        <v>11</v>
      </c>
      <c r="L192" s="37">
        <v>12</v>
      </c>
      <c r="M192" s="37">
        <v>13</v>
      </c>
      <c r="N192" s="37">
        <v>14</v>
      </c>
      <c r="O192" s="37">
        <v>15</v>
      </c>
      <c r="P192" s="276">
        <v>16</v>
      </c>
      <c r="Q192" s="37">
        <v>15</v>
      </c>
      <c r="R192" s="23"/>
    </row>
    <row r="193" spans="1:18" x14ac:dyDescent="0.25">
      <c r="A193" s="96">
        <v>1</v>
      </c>
      <c r="B193" s="127" t="s">
        <v>164</v>
      </c>
      <c r="C193" s="49">
        <v>104403</v>
      </c>
      <c r="D193" s="49">
        <v>131282</v>
      </c>
      <c r="E193" s="119">
        <f t="shared" ref="E193:E194" si="96">C193/D193*100</f>
        <v>79.525753720997557</v>
      </c>
      <c r="F193" s="49">
        <v>7257</v>
      </c>
      <c r="G193" s="49">
        <v>2237</v>
      </c>
      <c r="H193" s="119">
        <f t="shared" ref="H193:H194" si="97">F193/G193*100</f>
        <v>324.407688869021</v>
      </c>
      <c r="I193" s="49">
        <v>104403</v>
      </c>
      <c r="J193" s="49">
        <v>131282</v>
      </c>
      <c r="K193" s="97">
        <f t="shared" ref="K193:K194" si="98">IF(OR(I193=0,J193=0),0,I193/J193*100)</f>
        <v>79.525753720997557</v>
      </c>
      <c r="L193" s="49">
        <v>104403</v>
      </c>
      <c r="M193" s="49">
        <f>39571+91711</f>
        <v>131282</v>
      </c>
      <c r="N193" s="47">
        <f t="shared" ref="N193:N194" si="99">L193/M193*100</f>
        <v>79.525753720997557</v>
      </c>
      <c r="O193" s="34"/>
      <c r="P193" s="96">
        <v>45</v>
      </c>
      <c r="Q193" s="34">
        <v>49</v>
      </c>
      <c r="R193" s="74">
        <f t="shared" ref="R193:R194" si="100">O193*P193</f>
        <v>0</v>
      </c>
    </row>
    <row r="194" spans="1:18" x14ac:dyDescent="0.25">
      <c r="A194" s="96">
        <v>2</v>
      </c>
      <c r="B194" s="127" t="s">
        <v>165</v>
      </c>
      <c r="C194" s="49">
        <v>332198</v>
      </c>
      <c r="D194" s="49">
        <v>463471</v>
      </c>
      <c r="E194" s="119">
        <f t="shared" si="96"/>
        <v>71.676113500089542</v>
      </c>
      <c r="F194" s="49">
        <v>31085</v>
      </c>
      <c r="G194" s="49">
        <v>21725</v>
      </c>
      <c r="H194" s="119">
        <f t="shared" si="97"/>
        <v>143.08400460299197</v>
      </c>
      <c r="I194" s="49">
        <v>330262</v>
      </c>
      <c r="J194" s="49">
        <v>470847</v>
      </c>
      <c r="K194" s="97">
        <f t="shared" si="98"/>
        <v>70.14210560967787</v>
      </c>
      <c r="L194" s="49">
        <v>12367</v>
      </c>
      <c r="M194" s="49">
        <f>674+7137</f>
        <v>7811</v>
      </c>
      <c r="N194" s="47">
        <f t="shared" si="99"/>
        <v>158.32799897580335</v>
      </c>
      <c r="O194" s="34">
        <v>64</v>
      </c>
      <c r="P194" s="96">
        <v>185</v>
      </c>
      <c r="Q194" s="34">
        <v>187</v>
      </c>
      <c r="R194" s="74">
        <f t="shared" si="100"/>
        <v>11840</v>
      </c>
    </row>
    <row r="195" spans="1:18" x14ac:dyDescent="0.25">
      <c r="A195" s="315" t="s">
        <v>173</v>
      </c>
      <c r="B195" s="315" t="s">
        <v>139</v>
      </c>
      <c r="C195" s="56">
        <f>SUM(C193:C194)</f>
        <v>436601</v>
      </c>
      <c r="D195" s="56">
        <f>SUM(D193:D194)</f>
        <v>594753</v>
      </c>
      <c r="E195" s="57">
        <f>C195/D195*100</f>
        <v>73.408793230130826</v>
      </c>
      <c r="F195" s="56">
        <f>SUM(F193:F194)</f>
        <v>38342</v>
      </c>
      <c r="G195" s="56">
        <f>SUM(G193:G194)</f>
        <v>23962</v>
      </c>
      <c r="H195" s="57">
        <f>F195/G195*100</f>
        <v>160.01168516818296</v>
      </c>
      <c r="I195" s="57">
        <f>SUM(I193:I194)</f>
        <v>434665</v>
      </c>
      <c r="J195" s="56">
        <f>SUM(J193:J194)</f>
        <v>602129</v>
      </c>
      <c r="K195" s="57">
        <f>I195/J195*100</f>
        <v>72.18801951076928</v>
      </c>
      <c r="L195" s="58">
        <f>SUM(L193:L194)</f>
        <v>116770</v>
      </c>
      <c r="M195" s="56">
        <f>SUM(M193:M194)</f>
        <v>139093</v>
      </c>
      <c r="N195" s="57">
        <f>L195/M195*100</f>
        <v>83.951025572818182</v>
      </c>
      <c r="O195" s="58">
        <f>SUM(O193:O194)</f>
        <v>64</v>
      </c>
      <c r="P195" s="58">
        <f>R195/O195</f>
        <v>185</v>
      </c>
      <c r="Q195" s="58">
        <f>SUM(Q193:Q194)</f>
        <v>236</v>
      </c>
      <c r="R195" s="59">
        <f>SUM(R193:R194)</f>
        <v>11840</v>
      </c>
    </row>
    <row r="196" spans="1:18" x14ac:dyDescent="0.25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6"/>
    </row>
  </sheetData>
  <mergeCells count="54">
    <mergeCell ref="A192:B192"/>
    <mergeCell ref="A195:B195"/>
    <mergeCell ref="A161:B161"/>
    <mergeCell ref="A165:B165"/>
    <mergeCell ref="A167:B167"/>
    <mergeCell ref="A178:B178"/>
    <mergeCell ref="A180:B180"/>
    <mergeCell ref="A190:B190"/>
    <mergeCell ref="A159:B159"/>
    <mergeCell ref="A77:B77"/>
    <mergeCell ref="A78:B78"/>
    <mergeCell ref="A80:B80"/>
    <mergeCell ref="A92:B92"/>
    <mergeCell ref="A94:B94"/>
    <mergeCell ref="A120:B120"/>
    <mergeCell ref="A131:B131"/>
    <mergeCell ref="A133:B133"/>
    <mergeCell ref="A139:B139"/>
    <mergeCell ref="A149:B149"/>
    <mergeCell ref="A150:B150"/>
    <mergeCell ref="Q33:Q34"/>
    <mergeCell ref="A36:B36"/>
    <mergeCell ref="A54:B54"/>
    <mergeCell ref="A56:B56"/>
    <mergeCell ref="A66:B66"/>
    <mergeCell ref="O33:O34"/>
    <mergeCell ref="P33:P34"/>
    <mergeCell ref="A68:B68"/>
    <mergeCell ref="A33:A34"/>
    <mergeCell ref="B33:B34"/>
    <mergeCell ref="C33:G33"/>
    <mergeCell ref="H33:K33"/>
    <mergeCell ref="A30:Q32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A1:Q2"/>
    <mergeCell ref="A3:A8"/>
    <mergeCell ref="B3:B8"/>
    <mergeCell ref="C3:H3"/>
    <mergeCell ref="I3:K3"/>
    <mergeCell ref="L3:N3"/>
    <mergeCell ref="O3:O8"/>
    <mergeCell ref="P3:P8"/>
    <mergeCell ref="Q3:Q8"/>
    <mergeCell ref="C4:C8"/>
  </mergeCells>
  <pageMargins left="0.25" right="0.25" top="0.75" bottom="0.75" header="0.3" footer="0.3"/>
  <pageSetup paperSize="9" scale="8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F13" sqref="F13"/>
    </sheetView>
  </sheetViews>
  <sheetFormatPr defaultRowHeight="15" x14ac:dyDescent="0.25"/>
  <cols>
    <col min="1" max="1" width="6.28515625" customWidth="1"/>
    <col min="2" max="2" width="11" customWidth="1"/>
    <col min="3" max="3" width="12" customWidth="1"/>
    <col min="4" max="4" width="8.5703125" customWidth="1"/>
    <col min="5" max="5" width="11.28515625" bestFit="1" customWidth="1"/>
    <col min="6" max="6" width="10.140625" bestFit="1" customWidth="1"/>
    <col min="7" max="7" width="8.140625" customWidth="1"/>
    <col min="8" max="9" width="10.140625" bestFit="1" customWidth="1"/>
    <col min="10" max="10" width="9.28515625" bestFit="1" customWidth="1"/>
  </cols>
  <sheetData>
    <row r="1" spans="1:10" ht="15" customHeight="1" x14ac:dyDescent="0.25">
      <c r="A1" s="356"/>
      <c r="B1" s="357" t="s">
        <v>233</v>
      </c>
      <c r="C1" s="358"/>
      <c r="D1" s="358"/>
      <c r="E1" s="358" t="s">
        <v>234</v>
      </c>
      <c r="F1" s="358"/>
      <c r="G1" s="359"/>
      <c r="H1" s="311"/>
      <c r="I1" s="311" t="s">
        <v>3</v>
      </c>
      <c r="J1" s="27"/>
    </row>
    <row r="2" spans="1:10" ht="60" customHeight="1" x14ac:dyDescent="0.25">
      <c r="A2" s="327"/>
      <c r="B2" s="310" t="s">
        <v>7</v>
      </c>
      <c r="C2" s="310" t="s">
        <v>28</v>
      </c>
      <c r="D2" s="30" t="s">
        <v>29</v>
      </c>
      <c r="E2" s="310" t="s">
        <v>11</v>
      </c>
      <c r="F2" s="310" t="s">
        <v>28</v>
      </c>
      <c r="G2" s="30" t="s">
        <v>29</v>
      </c>
      <c r="H2" s="310" t="s">
        <v>11</v>
      </c>
      <c r="I2" s="310" t="s">
        <v>28</v>
      </c>
      <c r="J2" s="30" t="s">
        <v>29</v>
      </c>
    </row>
    <row r="3" spans="1:10" s="18" customFormat="1" x14ac:dyDescent="0.25">
      <c r="A3" s="312">
        <v>2012</v>
      </c>
      <c r="B3" s="313">
        <v>119426756</v>
      </c>
      <c r="C3" s="313">
        <v>102106107</v>
      </c>
      <c r="D3" s="314">
        <f t="shared" ref="D3" si="0">B3/C3*100</f>
        <v>116.96338202376084</v>
      </c>
      <c r="E3" s="312">
        <v>117377600</v>
      </c>
      <c r="F3" s="312">
        <v>95433251</v>
      </c>
      <c r="G3" s="314">
        <f>E3/F3*100</f>
        <v>122.99444771089271</v>
      </c>
      <c r="H3" s="312">
        <v>55000948</v>
      </c>
      <c r="I3" s="312">
        <v>45058626</v>
      </c>
      <c r="J3" s="314">
        <f>H3/I3*100</f>
        <v>122.06530221316558</v>
      </c>
    </row>
    <row r="4" spans="1:10" s="18" customFormat="1" x14ac:dyDescent="0.25">
      <c r="A4" s="312">
        <v>2011</v>
      </c>
      <c r="B4" s="313">
        <v>93056679</v>
      </c>
      <c r="C4" s="313">
        <v>90747074</v>
      </c>
      <c r="D4" s="314">
        <f>B4/C4*100</f>
        <v>102.54510134398383</v>
      </c>
      <c r="E4" s="312">
        <v>87169106</v>
      </c>
      <c r="F4" s="312">
        <v>80735096</v>
      </c>
      <c r="G4" s="314">
        <f>E4/F4*100</f>
        <v>107.96928512972845</v>
      </c>
      <c r="H4" s="312">
        <v>38944550</v>
      </c>
      <c r="I4" s="312">
        <v>37360901</v>
      </c>
      <c r="J4" s="314">
        <f>H4/I4*100</f>
        <v>104.23878696073203</v>
      </c>
    </row>
  </sheetData>
  <mergeCells count="3">
    <mergeCell ref="A1:A2"/>
    <mergeCell ref="B1:D1"/>
    <mergeCell ref="E1:G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M278"/>
  <sheetViews>
    <sheetView topLeftCell="A37" workbookViewId="0">
      <selection activeCell="N19" sqref="N19"/>
    </sheetView>
  </sheetViews>
  <sheetFormatPr defaultRowHeight="15" x14ac:dyDescent="0.25"/>
  <cols>
    <col min="1" max="1" width="3.28515625" customWidth="1"/>
    <col min="2" max="2" width="29" customWidth="1"/>
    <col min="3" max="3" width="10.5703125" customWidth="1"/>
    <col min="4" max="4" width="11" customWidth="1"/>
    <col min="5" max="5" width="6.28515625" customWidth="1"/>
    <col min="6" max="6" width="10.140625" customWidth="1"/>
    <col min="7" max="7" width="10.28515625" customWidth="1"/>
    <col min="8" max="8" width="6.5703125" customWidth="1"/>
    <col min="9" max="10" width="11.28515625" customWidth="1"/>
    <col min="11" max="11" width="6.140625" customWidth="1"/>
    <col min="12" max="12" width="10.5703125" customWidth="1"/>
    <col min="13" max="13" width="10.7109375" customWidth="1"/>
    <col min="14" max="14" width="9.28515625" customWidth="1"/>
    <col min="15" max="15" width="7.28515625" customWidth="1"/>
    <col min="16" max="16" width="7.5703125" customWidth="1"/>
    <col min="17" max="17" width="6.7109375" customWidth="1"/>
    <col min="18" max="18" width="10.28515625" customWidth="1"/>
  </cols>
  <sheetData>
    <row r="3" spans="1:18" x14ac:dyDescent="0.25">
      <c r="A3" s="337" t="s">
        <v>175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</row>
    <row r="4" spans="1:18" x14ac:dyDescent="0.25">
      <c r="A4" s="338"/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1"/>
    </row>
    <row r="5" spans="1:18" x14ac:dyDescent="0.25">
      <c r="A5" s="339" t="s">
        <v>0</v>
      </c>
      <c r="B5" s="340" t="s">
        <v>1</v>
      </c>
      <c r="C5" s="341" t="s">
        <v>172</v>
      </c>
      <c r="D5" s="341"/>
      <c r="E5" s="341"/>
      <c r="F5" s="341"/>
      <c r="G5" s="341"/>
      <c r="H5" s="341"/>
      <c r="I5" s="342" t="s">
        <v>2</v>
      </c>
      <c r="J5" s="343"/>
      <c r="K5" s="344"/>
      <c r="L5" s="345" t="s">
        <v>3</v>
      </c>
      <c r="M5" s="346"/>
      <c r="N5" s="347"/>
      <c r="O5" s="340" t="s">
        <v>4</v>
      </c>
      <c r="P5" s="348" t="s">
        <v>5</v>
      </c>
      <c r="Q5" s="340" t="s">
        <v>6</v>
      </c>
      <c r="R5" s="2"/>
    </row>
    <row r="6" spans="1:18" x14ac:dyDescent="0.25">
      <c r="A6" s="339"/>
      <c r="B6" s="340"/>
      <c r="C6" s="340" t="s">
        <v>7</v>
      </c>
      <c r="D6" s="340" t="s">
        <v>8</v>
      </c>
      <c r="E6" s="349" t="s">
        <v>9</v>
      </c>
      <c r="F6" s="340" t="s">
        <v>10</v>
      </c>
      <c r="G6" s="340" t="s">
        <v>8</v>
      </c>
      <c r="H6" s="349" t="s">
        <v>9</v>
      </c>
      <c r="I6" s="340" t="s">
        <v>11</v>
      </c>
      <c r="J6" s="340" t="s">
        <v>8</v>
      </c>
      <c r="K6" s="349" t="s">
        <v>9</v>
      </c>
      <c r="L6" s="340" t="s">
        <v>11</v>
      </c>
      <c r="M6" s="340" t="s">
        <v>8</v>
      </c>
      <c r="N6" s="349" t="s">
        <v>9</v>
      </c>
      <c r="O6" s="340"/>
      <c r="P6" s="348"/>
      <c r="Q6" s="340"/>
      <c r="R6" s="2"/>
    </row>
    <row r="7" spans="1:18" x14ac:dyDescent="0.25">
      <c r="A7" s="339"/>
      <c r="B7" s="340"/>
      <c r="C7" s="340"/>
      <c r="D7" s="340"/>
      <c r="E7" s="349"/>
      <c r="F7" s="340"/>
      <c r="G7" s="340"/>
      <c r="H7" s="349"/>
      <c r="I7" s="340"/>
      <c r="J7" s="340"/>
      <c r="K7" s="349"/>
      <c r="L7" s="340"/>
      <c r="M7" s="340"/>
      <c r="N7" s="349"/>
      <c r="O7" s="340"/>
      <c r="P7" s="348"/>
      <c r="Q7" s="340"/>
      <c r="R7" s="2"/>
    </row>
    <row r="8" spans="1:18" x14ac:dyDescent="0.25">
      <c r="A8" s="339"/>
      <c r="B8" s="340"/>
      <c r="C8" s="340"/>
      <c r="D8" s="340"/>
      <c r="E8" s="349"/>
      <c r="F8" s="340"/>
      <c r="G8" s="340"/>
      <c r="H8" s="349"/>
      <c r="I8" s="340"/>
      <c r="J8" s="340"/>
      <c r="K8" s="349"/>
      <c r="L8" s="340"/>
      <c r="M8" s="340"/>
      <c r="N8" s="349"/>
      <c r="O8" s="340"/>
      <c r="P8" s="348"/>
      <c r="Q8" s="340"/>
      <c r="R8" s="2"/>
    </row>
    <row r="9" spans="1:18" x14ac:dyDescent="0.25">
      <c r="A9" s="339"/>
      <c r="B9" s="340"/>
      <c r="C9" s="340"/>
      <c r="D9" s="340"/>
      <c r="E9" s="349"/>
      <c r="F9" s="340"/>
      <c r="G9" s="340"/>
      <c r="H9" s="349"/>
      <c r="I9" s="340"/>
      <c r="J9" s="340"/>
      <c r="K9" s="349"/>
      <c r="L9" s="340"/>
      <c r="M9" s="340"/>
      <c r="N9" s="349"/>
      <c r="O9" s="340"/>
      <c r="P9" s="348"/>
      <c r="Q9" s="340"/>
      <c r="R9" s="2"/>
    </row>
    <row r="10" spans="1:18" x14ac:dyDescent="0.25">
      <c r="A10" s="339"/>
      <c r="B10" s="340"/>
      <c r="C10" s="340"/>
      <c r="D10" s="340"/>
      <c r="E10" s="349"/>
      <c r="F10" s="340"/>
      <c r="G10" s="340"/>
      <c r="H10" s="349"/>
      <c r="I10" s="340"/>
      <c r="J10" s="340"/>
      <c r="K10" s="349"/>
      <c r="L10" s="340"/>
      <c r="M10" s="340"/>
      <c r="N10" s="349"/>
      <c r="O10" s="340"/>
      <c r="P10" s="348"/>
      <c r="Q10" s="340"/>
      <c r="R10" s="2"/>
    </row>
    <row r="11" spans="1:18" ht="26.25" customHeight="1" x14ac:dyDescent="0.25">
      <c r="A11" s="134">
        <v>1</v>
      </c>
      <c r="B11" s="134">
        <v>2</v>
      </c>
      <c r="C11" s="135">
        <v>3</v>
      </c>
      <c r="D11" s="135">
        <v>4</v>
      </c>
      <c r="E11" s="5">
        <v>5</v>
      </c>
      <c r="F11" s="135">
        <v>6</v>
      </c>
      <c r="G11" s="135">
        <v>7</v>
      </c>
      <c r="H11" s="135">
        <v>8</v>
      </c>
      <c r="I11" s="135">
        <v>11</v>
      </c>
      <c r="J11" s="135">
        <v>12</v>
      </c>
      <c r="K11" s="135">
        <v>13</v>
      </c>
      <c r="L11" s="135">
        <v>17</v>
      </c>
      <c r="M11" s="135">
        <v>18</v>
      </c>
      <c r="N11" s="135">
        <v>19</v>
      </c>
      <c r="O11" s="135">
        <v>20</v>
      </c>
      <c r="P11" s="5">
        <v>21</v>
      </c>
      <c r="Q11" s="135">
        <v>22</v>
      </c>
      <c r="R11" s="6"/>
    </row>
    <row r="12" spans="1:18" ht="32.25" customHeight="1" x14ac:dyDescent="0.25">
      <c r="A12" s="7">
        <v>1</v>
      </c>
      <c r="B12" s="141" t="s">
        <v>178</v>
      </c>
      <c r="C12" s="5">
        <f t="shared" ref="C12:P12" si="0">C161</f>
        <v>47709990</v>
      </c>
      <c r="D12" s="5">
        <f t="shared" si="0"/>
        <v>46655235</v>
      </c>
      <c r="E12" s="9">
        <f t="shared" si="0"/>
        <v>102.26074308702979</v>
      </c>
      <c r="F12" s="5">
        <f t="shared" si="0"/>
        <v>23981636</v>
      </c>
      <c r="G12" s="10">
        <f t="shared" si="0"/>
        <v>24019979</v>
      </c>
      <c r="H12" s="11">
        <f t="shared" si="0"/>
        <v>99.840370385003254</v>
      </c>
      <c r="I12" s="10">
        <f t="shared" si="0"/>
        <v>42440605</v>
      </c>
      <c r="J12" s="10">
        <f t="shared" si="0"/>
        <v>46390599</v>
      </c>
      <c r="K12" s="11">
        <f t="shared" si="0"/>
        <v>91.48535676377017</v>
      </c>
      <c r="L12" s="5">
        <f t="shared" si="0"/>
        <v>31959740</v>
      </c>
      <c r="M12" s="5">
        <f t="shared" si="0"/>
        <v>37255978</v>
      </c>
      <c r="N12" s="9">
        <f t="shared" si="0"/>
        <v>85.784192807930054</v>
      </c>
      <c r="O12" s="5">
        <f t="shared" si="0"/>
        <v>8975</v>
      </c>
      <c r="P12" s="9">
        <f t="shared" si="0"/>
        <v>157.13225626740947</v>
      </c>
      <c r="Q12" s="5">
        <f>Q161</f>
        <v>8973</v>
      </c>
      <c r="R12" s="12">
        <f t="shared" ref="R12:R22" si="1">O12*P12</f>
        <v>1410262</v>
      </c>
    </row>
    <row r="13" spans="1:18" ht="32.25" customHeight="1" x14ac:dyDescent="0.25">
      <c r="A13" s="7">
        <v>2</v>
      </c>
      <c r="B13" s="141" t="s">
        <v>179</v>
      </c>
      <c r="C13" s="5">
        <f t="shared" ref="C13:P13" si="2">C169</f>
        <v>1227826</v>
      </c>
      <c r="D13" s="5">
        <f t="shared" si="2"/>
        <v>1557656</v>
      </c>
      <c r="E13" s="9">
        <f t="shared" si="2"/>
        <v>78.825234840041702</v>
      </c>
      <c r="F13" s="5">
        <f t="shared" si="2"/>
        <v>531439</v>
      </c>
      <c r="G13" s="10">
        <f t="shared" si="2"/>
        <v>614200</v>
      </c>
      <c r="H13" s="11">
        <f t="shared" si="2"/>
        <v>86.525398892868779</v>
      </c>
      <c r="I13" s="10">
        <f t="shared" si="2"/>
        <v>1348515</v>
      </c>
      <c r="J13" s="10">
        <f t="shared" si="2"/>
        <v>1166955</v>
      </c>
      <c r="K13" s="11">
        <f t="shared" si="2"/>
        <v>115.55844055683382</v>
      </c>
      <c r="L13" s="5">
        <f t="shared" si="2"/>
        <v>650955</v>
      </c>
      <c r="M13" s="5">
        <f t="shared" si="2"/>
        <v>340589</v>
      </c>
      <c r="N13" s="9">
        <f t="shared" si="2"/>
        <v>191.1262548115177</v>
      </c>
      <c r="O13" s="5">
        <f t="shared" si="2"/>
        <v>1071</v>
      </c>
      <c r="P13" s="9">
        <f t="shared" si="2"/>
        <v>73.250233426704014</v>
      </c>
      <c r="Q13" s="5">
        <f>Q169</f>
        <v>1069</v>
      </c>
      <c r="R13" s="12">
        <f t="shared" si="1"/>
        <v>78451</v>
      </c>
    </row>
    <row r="14" spans="1:18" ht="32.25" customHeight="1" x14ac:dyDescent="0.25">
      <c r="A14" s="7">
        <v>3</v>
      </c>
      <c r="B14" s="141" t="s">
        <v>180</v>
      </c>
      <c r="C14" s="5">
        <f t="shared" ref="C14:P14" si="3">C183</f>
        <v>1121292</v>
      </c>
      <c r="D14" s="5">
        <f t="shared" si="3"/>
        <v>1380553</v>
      </c>
      <c r="E14" s="9">
        <f t="shared" si="3"/>
        <v>81.220496424258968</v>
      </c>
      <c r="F14" s="5">
        <f t="shared" si="3"/>
        <v>440612</v>
      </c>
      <c r="G14" s="10">
        <f t="shared" si="3"/>
        <v>1097605</v>
      </c>
      <c r="H14" s="11">
        <f t="shared" si="3"/>
        <v>40.143038707002972</v>
      </c>
      <c r="I14" s="10">
        <f t="shared" si="3"/>
        <v>1215481</v>
      </c>
      <c r="J14" s="10">
        <f t="shared" si="3"/>
        <v>1370811</v>
      </c>
      <c r="K14" s="11">
        <f t="shared" si="3"/>
        <v>88.668751563855267</v>
      </c>
      <c r="L14" s="5">
        <f t="shared" si="3"/>
        <v>1213697</v>
      </c>
      <c r="M14" s="5">
        <f t="shared" si="3"/>
        <v>1361691</v>
      </c>
      <c r="N14" s="9">
        <f t="shared" si="3"/>
        <v>89.131601809808529</v>
      </c>
      <c r="O14" s="5">
        <f t="shared" si="3"/>
        <v>516</v>
      </c>
      <c r="P14" s="9">
        <f t="shared" si="3"/>
        <v>85.815891472868216</v>
      </c>
      <c r="Q14" s="5">
        <f>Q183</f>
        <v>524</v>
      </c>
      <c r="R14" s="12">
        <f t="shared" si="1"/>
        <v>44281</v>
      </c>
    </row>
    <row r="15" spans="1:18" ht="32.25" customHeight="1" x14ac:dyDescent="0.25">
      <c r="A15" s="7">
        <v>4</v>
      </c>
      <c r="B15" s="141" t="s">
        <v>181</v>
      </c>
      <c r="C15" s="5">
        <f t="shared" ref="C15:Q15" si="4">C61</f>
        <v>313984</v>
      </c>
      <c r="D15" s="10">
        <f t="shared" si="4"/>
        <v>342702</v>
      </c>
      <c r="E15" s="11">
        <f t="shared" si="4"/>
        <v>91.620124773126506</v>
      </c>
      <c r="F15" s="10">
        <f t="shared" si="4"/>
        <v>218449</v>
      </c>
      <c r="G15" s="10">
        <f t="shared" si="4"/>
        <v>196124</v>
      </c>
      <c r="H15" s="11">
        <f t="shared" si="4"/>
        <v>111.38310456649873</v>
      </c>
      <c r="I15" s="10">
        <f t="shared" si="4"/>
        <v>384245</v>
      </c>
      <c r="J15" s="10">
        <f t="shared" si="4"/>
        <v>228039</v>
      </c>
      <c r="K15" s="11">
        <f t="shared" si="4"/>
        <v>168.49968645714111</v>
      </c>
      <c r="L15" s="10">
        <f t="shared" si="4"/>
        <v>225845</v>
      </c>
      <c r="M15" s="10">
        <f t="shared" si="4"/>
        <v>108677</v>
      </c>
      <c r="N15" s="11">
        <f t="shared" si="4"/>
        <v>207.81306072121976</v>
      </c>
      <c r="O15" s="10">
        <f t="shared" si="4"/>
        <v>790</v>
      </c>
      <c r="P15" s="11">
        <f t="shared" si="4"/>
        <v>80.599999999999994</v>
      </c>
      <c r="Q15" s="10">
        <f t="shared" si="4"/>
        <v>777</v>
      </c>
      <c r="R15" s="12">
        <f t="shared" si="1"/>
        <v>63673.999999999993</v>
      </c>
    </row>
    <row r="16" spans="1:18" ht="32.25" customHeight="1" x14ac:dyDescent="0.25">
      <c r="A16" s="7">
        <v>5</v>
      </c>
      <c r="B16" s="141" t="s">
        <v>182</v>
      </c>
      <c r="C16" s="5">
        <f t="shared" ref="C16:Q16" si="5">C73</f>
        <v>172136</v>
      </c>
      <c r="D16" s="10">
        <f t="shared" si="5"/>
        <v>161778</v>
      </c>
      <c r="E16" s="11">
        <f t="shared" si="5"/>
        <v>106.40260109532818</v>
      </c>
      <c r="F16" s="10">
        <f t="shared" si="5"/>
        <v>128173</v>
      </c>
      <c r="G16" s="10">
        <f t="shared" si="5"/>
        <v>98572</v>
      </c>
      <c r="H16" s="11">
        <f t="shared" si="5"/>
        <v>130.02982591405268</v>
      </c>
      <c r="I16" s="10">
        <f t="shared" si="5"/>
        <v>144937</v>
      </c>
      <c r="J16" s="10">
        <f t="shared" si="5"/>
        <v>144187</v>
      </c>
      <c r="K16" s="11">
        <f t="shared" si="5"/>
        <v>100.52015785056905</v>
      </c>
      <c r="L16" s="10">
        <f t="shared" si="5"/>
        <v>88311</v>
      </c>
      <c r="M16" s="10">
        <f t="shared" si="5"/>
        <v>75509</v>
      </c>
      <c r="N16" s="11">
        <f t="shared" si="5"/>
        <v>116.95427035187858</v>
      </c>
      <c r="O16" s="10">
        <f t="shared" si="5"/>
        <v>563</v>
      </c>
      <c r="P16" s="11">
        <f t="shared" si="5"/>
        <v>61.989342806394319</v>
      </c>
      <c r="Q16" s="10">
        <f t="shared" si="5"/>
        <v>502</v>
      </c>
      <c r="R16" s="12">
        <f t="shared" si="1"/>
        <v>34900</v>
      </c>
    </row>
    <row r="17" spans="1:18" ht="32.25" customHeight="1" x14ac:dyDescent="0.25">
      <c r="A17" s="7">
        <v>6</v>
      </c>
      <c r="B17" s="141" t="s">
        <v>183</v>
      </c>
      <c r="C17" s="5">
        <f t="shared" ref="C17:Q17" si="6">C84</f>
        <v>242959</v>
      </c>
      <c r="D17" s="10">
        <f t="shared" si="6"/>
        <v>114355</v>
      </c>
      <c r="E17" s="11">
        <f t="shared" si="6"/>
        <v>212.46032093043593</v>
      </c>
      <c r="F17" s="10">
        <f t="shared" si="6"/>
        <v>107892</v>
      </c>
      <c r="G17" s="10">
        <f t="shared" si="6"/>
        <v>87069</v>
      </c>
      <c r="H17" s="11">
        <f t="shared" si="6"/>
        <v>123.91551528098405</v>
      </c>
      <c r="I17" s="10">
        <f t="shared" si="6"/>
        <v>245289</v>
      </c>
      <c r="J17" s="10">
        <f t="shared" si="6"/>
        <v>106566</v>
      </c>
      <c r="K17" s="11">
        <f t="shared" si="6"/>
        <v>230.1756657845842</v>
      </c>
      <c r="L17" s="10">
        <f t="shared" si="6"/>
        <v>128423</v>
      </c>
      <c r="M17" s="10">
        <f t="shared" si="6"/>
        <v>23596</v>
      </c>
      <c r="N17" s="11">
        <f t="shared" si="6"/>
        <v>544.25750127140191</v>
      </c>
      <c r="O17" s="10">
        <f t="shared" si="6"/>
        <v>405</v>
      </c>
      <c r="P17" s="11">
        <f t="shared" si="6"/>
        <v>51.45432098765432</v>
      </c>
      <c r="Q17" s="10">
        <f t="shared" si="6"/>
        <v>391</v>
      </c>
      <c r="R17" s="12">
        <f t="shared" si="1"/>
        <v>20839</v>
      </c>
    </row>
    <row r="18" spans="1:18" ht="32.25" customHeight="1" x14ac:dyDescent="0.25">
      <c r="A18" s="7">
        <v>7</v>
      </c>
      <c r="B18" s="141" t="s">
        <v>184</v>
      </c>
      <c r="C18" s="5">
        <f t="shared" ref="C18:Q18" si="7">C99</f>
        <v>752033</v>
      </c>
      <c r="D18" s="10">
        <f t="shared" si="7"/>
        <v>856345</v>
      </c>
      <c r="E18" s="11">
        <f t="shared" si="7"/>
        <v>87.818928118924035</v>
      </c>
      <c r="F18" s="10">
        <f t="shared" si="7"/>
        <v>423888</v>
      </c>
      <c r="G18" s="10">
        <f t="shared" si="7"/>
        <v>512849</v>
      </c>
      <c r="H18" s="11">
        <f t="shared" si="7"/>
        <v>82.653568594264598</v>
      </c>
      <c r="I18" s="10">
        <f t="shared" si="7"/>
        <v>845518</v>
      </c>
      <c r="J18" s="10">
        <f t="shared" si="7"/>
        <v>767474</v>
      </c>
      <c r="K18" s="11">
        <f t="shared" si="7"/>
        <v>110.16894383392793</v>
      </c>
      <c r="L18" s="10">
        <f t="shared" si="7"/>
        <v>281602</v>
      </c>
      <c r="M18" s="10">
        <f t="shared" si="7"/>
        <v>279667</v>
      </c>
      <c r="N18" s="11">
        <f t="shared" si="7"/>
        <v>100.69189428856463</v>
      </c>
      <c r="O18" s="10">
        <f t="shared" si="7"/>
        <v>4109</v>
      </c>
      <c r="P18" s="11">
        <f t="shared" si="7"/>
        <v>106.69432952056461</v>
      </c>
      <c r="Q18" s="10">
        <f t="shared" si="7"/>
        <v>4098</v>
      </c>
      <c r="R18" s="12">
        <f t="shared" si="1"/>
        <v>438407</v>
      </c>
    </row>
    <row r="19" spans="1:18" ht="32.25" customHeight="1" x14ac:dyDescent="0.25">
      <c r="A19" s="7">
        <v>8</v>
      </c>
      <c r="B19" s="141" t="s">
        <v>177</v>
      </c>
      <c r="C19" s="5">
        <f>Փետրվար!C133</f>
        <v>561621</v>
      </c>
      <c r="D19" s="10">
        <f>Փետրվար!D133</f>
        <v>210871</v>
      </c>
      <c r="E19" s="11">
        <f>Փետրվար!E133</f>
        <v>266.33391978982411</v>
      </c>
      <c r="F19" s="10">
        <f>Փետրվար!F133</f>
        <v>335324</v>
      </c>
      <c r="G19" s="10">
        <f>Փետրվար!G133</f>
        <v>150367</v>
      </c>
      <c r="H19" s="11">
        <f>Փետրվար!H133</f>
        <v>223.00371757100962</v>
      </c>
      <c r="I19" s="10">
        <f>Փետրվար!I133</f>
        <v>540052</v>
      </c>
      <c r="J19" s="10">
        <f>Փետրվար!J133</f>
        <v>205769</v>
      </c>
      <c r="K19" s="11">
        <f>Փետրվար!K133</f>
        <v>262.45547191267877</v>
      </c>
      <c r="L19" s="10">
        <f>Փետրվար!L133</f>
        <v>76110</v>
      </c>
      <c r="M19" s="10">
        <f>Փետրվար!M133</f>
        <v>0</v>
      </c>
      <c r="N19" s="11" t="e">
        <f>Փետրվար!N133</f>
        <v>#DIV/0!</v>
      </c>
      <c r="O19" s="10">
        <f>Փետրվար!O133</f>
        <v>611</v>
      </c>
      <c r="P19" s="11">
        <f>Փետրվար!P133</f>
        <v>281.62684124386254</v>
      </c>
      <c r="Q19" s="10">
        <f>Փետրվար!Q133</f>
        <v>607</v>
      </c>
      <c r="R19" s="12"/>
    </row>
    <row r="20" spans="1:18" ht="32.25" customHeight="1" x14ac:dyDescent="0.25">
      <c r="A20" s="7">
        <v>9</v>
      </c>
      <c r="B20" s="141" t="s">
        <v>185</v>
      </c>
      <c r="C20" s="5">
        <f t="shared" ref="C20:Q20" si="8">C127</f>
        <v>362377</v>
      </c>
      <c r="D20" s="10">
        <f t="shared" si="8"/>
        <v>286502</v>
      </c>
      <c r="E20" s="11">
        <f t="shared" si="8"/>
        <v>126.48323571912239</v>
      </c>
      <c r="F20" s="10">
        <f t="shared" si="8"/>
        <v>210254</v>
      </c>
      <c r="G20" s="10">
        <f t="shared" si="8"/>
        <v>149173</v>
      </c>
      <c r="H20" s="11">
        <f t="shared" si="8"/>
        <v>140.94641791745156</v>
      </c>
      <c r="I20" s="10">
        <f t="shared" si="8"/>
        <v>281796</v>
      </c>
      <c r="J20" s="10">
        <f t="shared" si="8"/>
        <v>241035</v>
      </c>
      <c r="K20" s="11">
        <f t="shared" si="8"/>
        <v>116.91082207978094</v>
      </c>
      <c r="L20" s="10">
        <f t="shared" si="8"/>
        <v>177402</v>
      </c>
      <c r="M20" s="10">
        <f t="shared" si="8"/>
        <v>103070</v>
      </c>
      <c r="N20" s="11">
        <f t="shared" si="8"/>
        <v>172.11797807315418</v>
      </c>
      <c r="O20" s="10">
        <f t="shared" si="8"/>
        <v>1735</v>
      </c>
      <c r="P20" s="11">
        <f t="shared" si="8"/>
        <v>59.131412103746399</v>
      </c>
      <c r="Q20" s="10">
        <f t="shared" si="8"/>
        <v>1800</v>
      </c>
      <c r="R20" s="12">
        <f t="shared" si="1"/>
        <v>102593</v>
      </c>
    </row>
    <row r="21" spans="1:18" ht="32.25" customHeight="1" x14ac:dyDescent="0.25">
      <c r="A21" s="7">
        <v>10</v>
      </c>
      <c r="B21" s="141" t="s">
        <v>186</v>
      </c>
      <c r="C21" s="5">
        <f t="shared" ref="C21:Q21" si="9">C143</f>
        <v>57111</v>
      </c>
      <c r="D21" s="10">
        <f t="shared" si="9"/>
        <v>13043</v>
      </c>
      <c r="E21" s="11">
        <f t="shared" si="9"/>
        <v>437.86705512535457</v>
      </c>
      <c r="F21" s="10">
        <f t="shared" si="9"/>
        <v>40850</v>
      </c>
      <c r="G21" s="10">
        <f t="shared" si="9"/>
        <v>9489</v>
      </c>
      <c r="H21" s="11">
        <f t="shared" si="9"/>
        <v>430.49847191484878</v>
      </c>
      <c r="I21" s="10">
        <f t="shared" si="9"/>
        <v>59641</v>
      </c>
      <c r="J21" s="10">
        <f t="shared" si="9"/>
        <v>14172</v>
      </c>
      <c r="K21" s="11">
        <f t="shared" si="9"/>
        <v>420.83686141687838</v>
      </c>
      <c r="L21" s="10">
        <f>L143</f>
        <v>0</v>
      </c>
      <c r="M21" s="10">
        <f t="shared" si="9"/>
        <v>0</v>
      </c>
      <c r="N21" s="11">
        <f t="shared" si="9"/>
        <v>0</v>
      </c>
      <c r="O21" s="10">
        <f t="shared" si="9"/>
        <v>135</v>
      </c>
      <c r="P21" s="11">
        <f t="shared" si="9"/>
        <v>73.222222222222229</v>
      </c>
      <c r="Q21" s="10">
        <f t="shared" si="9"/>
        <v>135</v>
      </c>
      <c r="R21" s="12">
        <f t="shared" si="1"/>
        <v>9885</v>
      </c>
    </row>
    <row r="22" spans="1:18" ht="32.25" customHeight="1" x14ac:dyDescent="0.25">
      <c r="A22" s="7">
        <v>11</v>
      </c>
      <c r="B22" s="141" t="s">
        <v>187</v>
      </c>
      <c r="C22" s="5">
        <f t="shared" ref="C22:P22" si="10">C197</f>
        <v>127482.8</v>
      </c>
      <c r="D22" s="10">
        <f t="shared" si="10"/>
        <v>205018.9</v>
      </c>
      <c r="E22" s="11">
        <f t="shared" si="10"/>
        <v>62.180998922538365</v>
      </c>
      <c r="F22" s="10">
        <f t="shared" si="10"/>
        <v>73929.2</v>
      </c>
      <c r="G22" s="10">
        <f t="shared" si="10"/>
        <v>100597.9</v>
      </c>
      <c r="H22" s="11">
        <f t="shared" si="10"/>
        <v>73.48980445913881</v>
      </c>
      <c r="I22" s="10">
        <f t="shared" si="10"/>
        <v>69667</v>
      </c>
      <c r="J22" s="10">
        <f t="shared" si="10"/>
        <v>149699.1</v>
      </c>
      <c r="K22" s="11">
        <f t="shared" si="10"/>
        <v>46.538021938675648</v>
      </c>
      <c r="L22" s="10">
        <f t="shared" si="10"/>
        <v>1571</v>
      </c>
      <c r="M22" s="10">
        <f t="shared" si="10"/>
        <v>112509.2</v>
      </c>
      <c r="N22" s="11">
        <f t="shared" si="10"/>
        <v>1.3963302556590929</v>
      </c>
      <c r="O22" s="10">
        <f t="shared" si="10"/>
        <v>700</v>
      </c>
      <c r="P22" s="11">
        <f t="shared" si="10"/>
        <v>122.72142857142858</v>
      </c>
      <c r="Q22" s="10">
        <f>Q197</f>
        <v>679</v>
      </c>
      <c r="R22" s="12">
        <f t="shared" si="1"/>
        <v>85905</v>
      </c>
    </row>
    <row r="23" spans="1:18" ht="32.25" customHeight="1" x14ac:dyDescent="0.25">
      <c r="A23" s="7">
        <v>12</v>
      </c>
      <c r="B23" s="141" t="s">
        <v>188</v>
      </c>
      <c r="C23" s="5">
        <f t="shared" ref="C23:P23" si="11">C202</f>
        <v>6937</v>
      </c>
      <c r="D23" s="10">
        <f t="shared" si="11"/>
        <v>8389</v>
      </c>
      <c r="E23" s="11">
        <f t="shared" si="11"/>
        <v>82.691619978543329</v>
      </c>
      <c r="F23" s="10">
        <f t="shared" si="11"/>
        <v>5446</v>
      </c>
      <c r="G23" s="10">
        <f t="shared" si="11"/>
        <v>3433</v>
      </c>
      <c r="H23" s="11">
        <f>H202</f>
        <v>158.63676085056801</v>
      </c>
      <c r="I23" s="10">
        <f t="shared" si="11"/>
        <v>6937</v>
      </c>
      <c r="J23" s="10">
        <f t="shared" si="11"/>
        <v>8389</v>
      </c>
      <c r="K23" s="11">
        <f t="shared" si="11"/>
        <v>82.691619978543329</v>
      </c>
      <c r="L23" s="10">
        <f t="shared" si="11"/>
        <v>6937</v>
      </c>
      <c r="M23" s="10">
        <f t="shared" si="11"/>
        <v>8389</v>
      </c>
      <c r="N23" s="11">
        <f t="shared" si="11"/>
        <v>82.691619978543329</v>
      </c>
      <c r="O23" s="10">
        <f>O202</f>
        <v>243</v>
      </c>
      <c r="P23" s="11">
        <f t="shared" si="11"/>
        <v>60.637860082304528</v>
      </c>
      <c r="Q23" s="10">
        <f>Q202</f>
        <v>243</v>
      </c>
      <c r="R23" s="12"/>
    </row>
    <row r="24" spans="1:18" s="16" customFormat="1" ht="26.25" customHeight="1" x14ac:dyDescent="0.25">
      <c r="A24" s="133"/>
      <c r="B24" s="133" t="s">
        <v>189</v>
      </c>
      <c r="C24" s="13">
        <f>SUM(C12:C23)</f>
        <v>52655748.799999997</v>
      </c>
      <c r="D24" s="13">
        <f>SUM(D12:D23)</f>
        <v>51792447.899999999</v>
      </c>
      <c r="E24" s="14">
        <f>C24/D24*100</f>
        <v>101.66684706941606</v>
      </c>
      <c r="F24" s="13">
        <f>SUM(F12:F23)</f>
        <v>26497892.199999999</v>
      </c>
      <c r="G24" s="13">
        <f>SUM(G12:G23)</f>
        <v>27039457.899999999</v>
      </c>
      <c r="H24" s="14">
        <f>F24/G24*100</f>
        <v>97.99712811550117</v>
      </c>
      <c r="I24" s="13">
        <f>SUM(I12:I23)</f>
        <v>47582683</v>
      </c>
      <c r="J24" s="13">
        <f>SUM(J12:J23)</f>
        <v>50793695.100000001</v>
      </c>
      <c r="K24" s="14">
        <f>I24/J24*100</f>
        <v>93.678325442403192</v>
      </c>
      <c r="L24" s="13">
        <f>SUM(L12:L23)</f>
        <v>34810593</v>
      </c>
      <c r="M24" s="13">
        <f>SUM(M12:M23)</f>
        <v>39669675.200000003</v>
      </c>
      <c r="N24" s="14">
        <f>L24/M24*100</f>
        <v>87.751141960446404</v>
      </c>
      <c r="O24" s="13">
        <f>SUM(O12:O23)</f>
        <v>19853</v>
      </c>
      <c r="P24" s="14">
        <f>R24/O24</f>
        <v>115.3073590893064</v>
      </c>
      <c r="Q24" s="13">
        <f>SUM(Q12:Q23)</f>
        <v>19798</v>
      </c>
      <c r="R24" s="15">
        <f>SUM(R12:R23)</f>
        <v>2289197</v>
      </c>
    </row>
    <row r="25" spans="1:18" x14ac:dyDescent="0.2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7"/>
      <c r="Q25" s="17"/>
      <c r="R25" s="18"/>
    </row>
    <row r="26" spans="1:18" s="22" customFormat="1" x14ac:dyDescent="0.25">
      <c r="A26" s="19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20"/>
      <c r="Q26" s="20"/>
      <c r="R26" s="21"/>
    </row>
    <row r="27" spans="1:18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18" x14ac:dyDescent="0.25">
      <c r="A31" s="18"/>
      <c r="B31" s="18"/>
      <c r="C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spans="1:18" x14ac:dyDescent="0.25">
      <c r="A32" s="18"/>
      <c r="B32" s="18"/>
      <c r="C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</row>
    <row r="33" spans="1:18" x14ac:dyDescent="0.25">
      <c r="A33" s="18"/>
      <c r="B33" s="18"/>
      <c r="C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</row>
    <row r="34" spans="1:18" x14ac:dyDescent="0.25">
      <c r="A34" s="18"/>
      <c r="B34" s="18"/>
      <c r="C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</row>
    <row r="35" spans="1:18" x14ac:dyDescent="0.25">
      <c r="A35" s="18"/>
      <c r="B35" s="18"/>
      <c r="C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</row>
    <row r="36" spans="1:18" ht="1.5" customHeight="1" x14ac:dyDescent="0.25">
      <c r="A36" s="18"/>
      <c r="B36" s="18"/>
      <c r="C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</row>
    <row r="37" spans="1:18" s="24" customFormat="1" ht="14.25" x14ac:dyDescent="0.2">
      <c r="A37" s="325" t="s">
        <v>170</v>
      </c>
      <c r="B37" s="325"/>
      <c r="C37" s="325"/>
      <c r="D37" s="325"/>
      <c r="E37" s="325"/>
      <c r="F37" s="325"/>
      <c r="G37" s="325"/>
      <c r="H37" s="325"/>
      <c r="I37" s="325"/>
      <c r="J37" s="325"/>
      <c r="K37" s="325"/>
      <c r="L37" s="325"/>
      <c r="M37" s="325"/>
      <c r="N37" s="325"/>
      <c r="O37" s="325"/>
      <c r="P37" s="325"/>
      <c r="Q37" s="325"/>
      <c r="R37" s="23"/>
    </row>
    <row r="38" spans="1:18" s="24" customFormat="1" ht="14.25" x14ac:dyDescent="0.2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23"/>
    </row>
    <row r="39" spans="1:18" s="24" customFormat="1" x14ac:dyDescent="0.2">
      <c r="A39" s="326"/>
      <c r="B39" s="326"/>
      <c r="C39" s="326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6"/>
      <c r="Q39" s="326"/>
      <c r="R39" s="25"/>
    </row>
    <row r="40" spans="1:18" x14ac:dyDescent="0.25">
      <c r="A40" s="327" t="s">
        <v>0</v>
      </c>
      <c r="B40" s="329" t="s">
        <v>24</v>
      </c>
      <c r="C40" s="331" t="s">
        <v>172</v>
      </c>
      <c r="D40" s="331"/>
      <c r="E40" s="331"/>
      <c r="F40" s="331"/>
      <c r="G40" s="331"/>
      <c r="H40" s="331" t="s">
        <v>2</v>
      </c>
      <c r="I40" s="331"/>
      <c r="J40" s="331"/>
      <c r="K40" s="331"/>
      <c r="L40" s="138"/>
      <c r="M40" s="138" t="s">
        <v>3</v>
      </c>
      <c r="N40" s="27"/>
      <c r="O40" s="329" t="s">
        <v>25</v>
      </c>
      <c r="P40" s="332" t="s">
        <v>26</v>
      </c>
      <c r="Q40" s="329" t="s">
        <v>27</v>
      </c>
      <c r="R40" s="28"/>
    </row>
    <row r="41" spans="1:18" ht="60" x14ac:dyDescent="0.25">
      <c r="A41" s="328"/>
      <c r="B41" s="330"/>
      <c r="C41" s="137" t="s">
        <v>7</v>
      </c>
      <c r="D41" s="137" t="s">
        <v>28</v>
      </c>
      <c r="E41" s="30" t="s">
        <v>29</v>
      </c>
      <c r="F41" s="137" t="s">
        <v>10</v>
      </c>
      <c r="G41" s="137" t="s">
        <v>30</v>
      </c>
      <c r="H41" s="30" t="s">
        <v>29</v>
      </c>
      <c r="I41" s="137" t="s">
        <v>11</v>
      </c>
      <c r="J41" s="137" t="s">
        <v>28</v>
      </c>
      <c r="K41" s="30" t="s">
        <v>29</v>
      </c>
      <c r="L41" s="137" t="s">
        <v>11</v>
      </c>
      <c r="M41" s="137" t="s">
        <v>28</v>
      </c>
      <c r="N41" s="30" t="s">
        <v>29</v>
      </c>
      <c r="O41" s="330"/>
      <c r="P41" s="333"/>
      <c r="Q41" s="330"/>
      <c r="R41" s="31"/>
    </row>
    <row r="42" spans="1:18" x14ac:dyDescent="0.25">
      <c r="A42" s="32"/>
      <c r="B42" s="33" t="s">
        <v>31</v>
      </c>
      <c r="C42" s="32"/>
      <c r="D42" s="32"/>
      <c r="E42" s="32"/>
      <c r="F42" s="32"/>
      <c r="G42" s="32"/>
      <c r="H42" s="32"/>
      <c r="I42" s="32"/>
      <c r="J42" s="32"/>
      <c r="K42" s="34"/>
      <c r="L42" s="32"/>
      <c r="M42" s="32"/>
      <c r="N42" s="32"/>
      <c r="O42" s="32"/>
      <c r="P42" s="35"/>
      <c r="Q42" s="35"/>
      <c r="R42" s="36"/>
    </row>
    <row r="43" spans="1:18" x14ac:dyDescent="0.25">
      <c r="A43" s="319" t="s">
        <v>32</v>
      </c>
      <c r="B43" s="320"/>
      <c r="C43" s="37">
        <v>3</v>
      </c>
      <c r="D43" s="37">
        <v>4</v>
      </c>
      <c r="E43" s="136">
        <v>5</v>
      </c>
      <c r="F43" s="37">
        <v>6</v>
      </c>
      <c r="G43" s="37">
        <v>7</v>
      </c>
      <c r="H43" s="37">
        <v>8</v>
      </c>
      <c r="I43" s="37">
        <v>9</v>
      </c>
      <c r="J43" s="37">
        <v>10</v>
      </c>
      <c r="K43" s="37">
        <v>11</v>
      </c>
      <c r="L43" s="37">
        <v>12</v>
      </c>
      <c r="M43" s="37">
        <v>13</v>
      </c>
      <c r="N43" s="37">
        <v>14</v>
      </c>
      <c r="O43" s="37">
        <v>15</v>
      </c>
      <c r="P43" s="136">
        <v>16</v>
      </c>
      <c r="Q43" s="37">
        <v>17</v>
      </c>
      <c r="R43" s="39"/>
    </row>
    <row r="44" spans="1:18" x14ac:dyDescent="0.25">
      <c r="A44" s="40">
        <v>1</v>
      </c>
      <c r="B44" s="41" t="s">
        <v>33</v>
      </c>
      <c r="C44" s="42">
        <v>17017</v>
      </c>
      <c r="D44" s="42">
        <v>16114</v>
      </c>
      <c r="E44" s="43">
        <f t="shared" ref="E44:E61" si="12">C44/D44*100</f>
        <v>105.60382276281494</v>
      </c>
      <c r="F44" s="42">
        <v>9808</v>
      </c>
      <c r="G44" s="42">
        <v>11863</v>
      </c>
      <c r="H44" s="43">
        <f>F44/G44*100</f>
        <v>82.677231728904999</v>
      </c>
      <c r="I44" s="42">
        <v>17017</v>
      </c>
      <c r="J44" s="42">
        <v>9014</v>
      </c>
      <c r="K44" s="43">
        <f>I44/J44*100</f>
        <v>188.78411360106503</v>
      </c>
      <c r="L44" s="42">
        <v>0</v>
      </c>
      <c r="M44" s="42">
        <v>0</v>
      </c>
      <c r="N44" s="43">
        <v>0</v>
      </c>
      <c r="O44" s="139">
        <v>93</v>
      </c>
      <c r="P44" s="44">
        <v>75</v>
      </c>
      <c r="Q44" s="139">
        <v>90</v>
      </c>
      <c r="R44" s="45">
        <f t="shared" ref="R44:R60" si="13">Q44*P44</f>
        <v>6750</v>
      </c>
    </row>
    <row r="45" spans="1:18" x14ac:dyDescent="0.25">
      <c r="A45" s="40">
        <v>2</v>
      </c>
      <c r="B45" s="41" t="s">
        <v>34</v>
      </c>
      <c r="C45" s="42">
        <v>0</v>
      </c>
      <c r="D45" s="42">
        <v>0</v>
      </c>
      <c r="E45" s="43">
        <v>0</v>
      </c>
      <c r="F45" s="42">
        <v>0</v>
      </c>
      <c r="G45" s="42">
        <v>0</v>
      </c>
      <c r="H45" s="43">
        <v>0</v>
      </c>
      <c r="I45" s="42">
        <v>0</v>
      </c>
      <c r="J45" s="42">
        <v>0</v>
      </c>
      <c r="K45" s="43">
        <v>0</v>
      </c>
      <c r="L45" s="42">
        <v>0</v>
      </c>
      <c r="M45" s="42">
        <v>0</v>
      </c>
      <c r="N45" s="47">
        <v>0</v>
      </c>
      <c r="O45" s="139">
        <v>0</v>
      </c>
      <c r="P45" s="44">
        <v>0</v>
      </c>
      <c r="Q45" s="139">
        <v>0</v>
      </c>
      <c r="R45" s="45">
        <f t="shared" si="13"/>
        <v>0</v>
      </c>
    </row>
    <row r="46" spans="1:18" x14ac:dyDescent="0.25">
      <c r="A46" s="40">
        <v>3</v>
      </c>
      <c r="B46" s="41" t="s">
        <v>35</v>
      </c>
      <c r="C46" s="42">
        <v>3182</v>
      </c>
      <c r="D46" s="42">
        <v>11215</v>
      </c>
      <c r="E46" s="43">
        <f t="shared" si="12"/>
        <v>28.372715113687025</v>
      </c>
      <c r="F46" s="42">
        <v>3182</v>
      </c>
      <c r="G46" s="42">
        <v>11215</v>
      </c>
      <c r="H46" s="43">
        <f t="shared" ref="H46" si="14">F46/G46*100</f>
        <v>28.372715113687025</v>
      </c>
      <c r="I46" s="42">
        <v>17207</v>
      </c>
      <c r="J46" s="42">
        <v>11440</v>
      </c>
      <c r="K46" s="43">
        <f t="shared" ref="K46" si="15">I46/J46*100</f>
        <v>150.41083916083917</v>
      </c>
      <c r="L46" s="42">
        <v>0</v>
      </c>
      <c r="M46" s="42">
        <v>0</v>
      </c>
      <c r="N46" s="43">
        <v>0</v>
      </c>
      <c r="O46" s="139">
        <v>20</v>
      </c>
      <c r="P46" s="44">
        <v>60</v>
      </c>
      <c r="Q46" s="139">
        <v>20</v>
      </c>
      <c r="R46" s="45">
        <f t="shared" si="13"/>
        <v>1200</v>
      </c>
    </row>
    <row r="47" spans="1:18" x14ac:dyDescent="0.25">
      <c r="A47" s="40">
        <v>4</v>
      </c>
      <c r="B47" s="41" t="s">
        <v>36</v>
      </c>
      <c r="C47" s="42">
        <v>0</v>
      </c>
      <c r="D47" s="42">
        <v>0</v>
      </c>
      <c r="E47" s="43">
        <v>0</v>
      </c>
      <c r="F47" s="42">
        <v>0</v>
      </c>
      <c r="G47" s="42">
        <v>0</v>
      </c>
      <c r="H47" s="43">
        <v>0</v>
      </c>
      <c r="I47" s="42">
        <v>0</v>
      </c>
      <c r="J47" s="42">
        <v>9682</v>
      </c>
      <c r="K47" s="43">
        <v>0</v>
      </c>
      <c r="L47" s="42">
        <v>0</v>
      </c>
      <c r="M47" s="42">
        <v>9682</v>
      </c>
      <c r="N47" s="43">
        <v>0</v>
      </c>
      <c r="O47" s="139">
        <v>21</v>
      </c>
      <c r="P47" s="44">
        <v>60</v>
      </c>
      <c r="Q47" s="139">
        <v>21</v>
      </c>
      <c r="R47" s="45">
        <f t="shared" si="13"/>
        <v>1260</v>
      </c>
    </row>
    <row r="48" spans="1:18" x14ac:dyDescent="0.25">
      <c r="A48" s="40">
        <v>5</v>
      </c>
      <c r="B48" s="41" t="s">
        <v>37</v>
      </c>
      <c r="C48" s="48">
        <v>9099</v>
      </c>
      <c r="D48" s="48">
        <v>7047</v>
      </c>
      <c r="E48" s="43">
        <f t="shared" si="12"/>
        <v>129.11877394636016</v>
      </c>
      <c r="F48" s="48">
        <v>4572</v>
      </c>
      <c r="G48" s="48">
        <v>5807</v>
      </c>
      <c r="H48" s="43">
        <f t="shared" ref="H48:H49" si="16">F48/G48*100</f>
        <v>78.732564146719469</v>
      </c>
      <c r="I48" s="48">
        <v>8401</v>
      </c>
      <c r="J48" s="48">
        <v>10187</v>
      </c>
      <c r="K48" s="43">
        <f t="shared" ref="K48:K61" si="17">I48/J48*100</f>
        <v>82.467851182880139</v>
      </c>
      <c r="L48" s="48">
        <v>0</v>
      </c>
      <c r="M48" s="48">
        <v>1815</v>
      </c>
      <c r="N48" s="43">
        <v>0</v>
      </c>
      <c r="O48" s="139">
        <v>53</v>
      </c>
      <c r="P48" s="44">
        <v>50</v>
      </c>
      <c r="Q48" s="139">
        <v>50</v>
      </c>
      <c r="R48" s="45">
        <f t="shared" si="13"/>
        <v>2500</v>
      </c>
    </row>
    <row r="49" spans="1:18" x14ac:dyDescent="0.25">
      <c r="A49" s="40">
        <v>6</v>
      </c>
      <c r="B49" s="41" t="s">
        <v>38</v>
      </c>
      <c r="C49" s="49">
        <v>6637</v>
      </c>
      <c r="D49" s="42">
        <v>7628</v>
      </c>
      <c r="E49" s="43">
        <f t="shared" si="12"/>
        <v>87.008390141583632</v>
      </c>
      <c r="F49" s="42">
        <v>2831</v>
      </c>
      <c r="G49" s="42">
        <v>7628</v>
      </c>
      <c r="H49" s="43">
        <f t="shared" si="16"/>
        <v>37.113266911379128</v>
      </c>
      <c r="I49" s="42">
        <v>6604</v>
      </c>
      <c r="J49" s="42">
        <v>6789</v>
      </c>
      <c r="K49" s="43">
        <f t="shared" si="17"/>
        <v>97.275003682427453</v>
      </c>
      <c r="L49" s="42">
        <v>0</v>
      </c>
      <c r="M49" s="42">
        <v>0</v>
      </c>
      <c r="N49" s="43">
        <v>0</v>
      </c>
      <c r="O49" s="139">
        <v>65</v>
      </c>
      <c r="P49" s="44">
        <v>75</v>
      </c>
      <c r="Q49" s="139">
        <v>63</v>
      </c>
      <c r="R49" s="45">
        <f t="shared" si="13"/>
        <v>4725</v>
      </c>
    </row>
    <row r="50" spans="1:18" x14ac:dyDescent="0.25">
      <c r="A50" s="40">
        <v>7</v>
      </c>
      <c r="B50" s="41" t="s">
        <v>39</v>
      </c>
      <c r="C50" s="42">
        <v>0</v>
      </c>
      <c r="D50" s="42">
        <v>300</v>
      </c>
      <c r="E50" s="43">
        <v>0</v>
      </c>
      <c r="F50" s="42">
        <v>0</v>
      </c>
      <c r="G50" s="42">
        <v>300</v>
      </c>
      <c r="H50" s="43">
        <v>0</v>
      </c>
      <c r="I50" s="42">
        <v>0</v>
      </c>
      <c r="J50" s="42">
        <v>300</v>
      </c>
      <c r="K50" s="43">
        <v>0</v>
      </c>
      <c r="L50" s="42">
        <v>0</v>
      </c>
      <c r="M50" s="42">
        <v>0</v>
      </c>
      <c r="N50" s="43">
        <v>0</v>
      </c>
      <c r="O50" s="139">
        <v>24</v>
      </c>
      <c r="P50" s="44">
        <v>65</v>
      </c>
      <c r="Q50" s="139">
        <v>26</v>
      </c>
      <c r="R50" s="45">
        <f t="shared" si="13"/>
        <v>1690</v>
      </c>
    </row>
    <row r="51" spans="1:18" x14ac:dyDescent="0.25">
      <c r="A51" s="40">
        <v>8</v>
      </c>
      <c r="B51" s="41" t="s">
        <v>41</v>
      </c>
      <c r="C51" s="51">
        <v>12944</v>
      </c>
      <c r="D51" s="42">
        <v>11953</v>
      </c>
      <c r="E51" s="43">
        <f t="shared" si="12"/>
        <v>108.29080565548396</v>
      </c>
      <c r="F51" s="42">
        <v>6030</v>
      </c>
      <c r="G51" s="42">
        <v>7368</v>
      </c>
      <c r="H51" s="43">
        <f t="shared" ref="H51:H61" si="18">F51/G51*100</f>
        <v>81.840390879478832</v>
      </c>
      <c r="I51" s="42">
        <v>16114</v>
      </c>
      <c r="J51" s="42">
        <v>12395</v>
      </c>
      <c r="K51" s="43">
        <f t="shared" si="17"/>
        <v>130.0040338846309</v>
      </c>
      <c r="L51" s="42">
        <v>0</v>
      </c>
      <c r="M51" s="42">
        <v>0</v>
      </c>
      <c r="N51" s="43">
        <v>0</v>
      </c>
      <c r="O51" s="139">
        <v>48</v>
      </c>
      <c r="P51" s="44">
        <v>65</v>
      </c>
      <c r="Q51" s="139">
        <v>48</v>
      </c>
      <c r="R51" s="45">
        <f t="shared" si="13"/>
        <v>3120</v>
      </c>
    </row>
    <row r="52" spans="1:18" x14ac:dyDescent="0.25">
      <c r="A52" s="40">
        <v>9</v>
      </c>
      <c r="B52" s="41" t="s">
        <v>42</v>
      </c>
      <c r="C52" s="51">
        <v>31731</v>
      </c>
      <c r="D52" s="42">
        <v>17842</v>
      </c>
      <c r="E52" s="52">
        <f t="shared" si="12"/>
        <v>177.8444120614281</v>
      </c>
      <c r="F52" s="42">
        <v>19086</v>
      </c>
      <c r="G52" s="42">
        <v>12232</v>
      </c>
      <c r="H52" s="43">
        <f t="shared" si="18"/>
        <v>156.03335513407458</v>
      </c>
      <c r="I52" s="42">
        <v>18704</v>
      </c>
      <c r="J52" s="53">
        <v>6163</v>
      </c>
      <c r="K52" s="43">
        <f t="shared" si="17"/>
        <v>303.48856076586077</v>
      </c>
      <c r="L52" s="42">
        <v>0</v>
      </c>
      <c r="M52" s="42">
        <v>0</v>
      </c>
      <c r="N52" s="43">
        <v>0</v>
      </c>
      <c r="O52" s="139">
        <v>77</v>
      </c>
      <c r="P52" s="44">
        <v>90</v>
      </c>
      <c r="Q52" s="139">
        <v>77</v>
      </c>
      <c r="R52" s="45">
        <f t="shared" si="13"/>
        <v>6930</v>
      </c>
    </row>
    <row r="53" spans="1:18" x14ac:dyDescent="0.25">
      <c r="A53" s="40">
        <v>10</v>
      </c>
      <c r="B53" s="41" t="s">
        <v>43</v>
      </c>
      <c r="C53" s="51">
        <v>137392</v>
      </c>
      <c r="D53" s="42">
        <v>185984</v>
      </c>
      <c r="E53" s="43">
        <f t="shared" si="12"/>
        <v>73.873021335168616</v>
      </c>
      <c r="F53" s="51">
        <v>127866</v>
      </c>
      <c r="G53" s="42">
        <v>97527</v>
      </c>
      <c r="H53" s="43">
        <f t="shared" si="18"/>
        <v>131.10830846842413</v>
      </c>
      <c r="I53" s="42">
        <v>212023</v>
      </c>
      <c r="J53" s="42">
        <v>92542</v>
      </c>
      <c r="K53" s="43">
        <f t="shared" si="17"/>
        <v>229.11002571805233</v>
      </c>
      <c r="L53" s="42">
        <v>212023</v>
      </c>
      <c r="M53" s="42">
        <v>91770</v>
      </c>
      <c r="N53" s="43">
        <f t="shared" ref="N53:N55" si="19">L53/M53*100</f>
        <v>231.03737604881772</v>
      </c>
      <c r="O53" s="139">
        <v>180</v>
      </c>
      <c r="P53" s="44">
        <v>84</v>
      </c>
      <c r="Q53" s="139">
        <v>180</v>
      </c>
      <c r="R53" s="45">
        <f t="shared" si="13"/>
        <v>15120</v>
      </c>
    </row>
    <row r="54" spans="1:18" x14ac:dyDescent="0.25">
      <c r="A54" s="40">
        <v>11</v>
      </c>
      <c r="B54" s="41" t="s">
        <v>44</v>
      </c>
      <c r="C54" s="51">
        <v>0</v>
      </c>
      <c r="D54" s="42">
        <v>5417</v>
      </c>
      <c r="E54" s="43">
        <f t="shared" si="12"/>
        <v>0</v>
      </c>
      <c r="F54" s="42">
        <v>0</v>
      </c>
      <c r="G54" s="42">
        <v>4035</v>
      </c>
      <c r="H54" s="43">
        <v>0</v>
      </c>
      <c r="I54" s="42">
        <v>0</v>
      </c>
      <c r="J54" s="42">
        <v>3363</v>
      </c>
      <c r="K54" s="43">
        <f t="shared" si="17"/>
        <v>0</v>
      </c>
      <c r="L54" s="42">
        <v>0</v>
      </c>
      <c r="M54" s="42">
        <v>3363</v>
      </c>
      <c r="N54" s="43">
        <f t="shared" si="19"/>
        <v>0</v>
      </c>
      <c r="O54" s="139">
        <v>24</v>
      </c>
      <c r="P54" s="44">
        <v>65</v>
      </c>
      <c r="Q54" s="139">
        <v>13</v>
      </c>
      <c r="R54" s="45">
        <f t="shared" si="13"/>
        <v>845</v>
      </c>
    </row>
    <row r="55" spans="1:18" x14ac:dyDescent="0.25">
      <c r="A55" s="40">
        <v>12</v>
      </c>
      <c r="B55" s="41" t="s">
        <v>45</v>
      </c>
      <c r="C55" s="42">
        <v>12036</v>
      </c>
      <c r="D55" s="42">
        <v>13717</v>
      </c>
      <c r="E55" s="43">
        <f t="shared" si="12"/>
        <v>87.745133775606917</v>
      </c>
      <c r="F55" s="54">
        <v>0</v>
      </c>
      <c r="G55" s="54">
        <v>4729</v>
      </c>
      <c r="H55" s="43">
        <f t="shared" si="18"/>
        <v>0</v>
      </c>
      <c r="I55" s="54">
        <v>13822</v>
      </c>
      <c r="J55" s="54">
        <v>2047</v>
      </c>
      <c r="K55" s="43">
        <f t="shared" si="17"/>
        <v>675.23204689789941</v>
      </c>
      <c r="L55" s="55">
        <v>13822</v>
      </c>
      <c r="M55" s="54">
        <v>2047</v>
      </c>
      <c r="N55" s="43">
        <f t="shared" si="19"/>
        <v>675.23204689789941</v>
      </c>
      <c r="O55" s="139">
        <v>27</v>
      </c>
      <c r="P55" s="44">
        <v>137</v>
      </c>
      <c r="Q55" s="139">
        <v>27</v>
      </c>
      <c r="R55" s="45">
        <f t="shared" si="13"/>
        <v>3699</v>
      </c>
    </row>
    <row r="56" spans="1:18" x14ac:dyDescent="0.25">
      <c r="A56" s="40">
        <v>13</v>
      </c>
      <c r="B56" s="41" t="s">
        <v>46</v>
      </c>
      <c r="C56" s="49">
        <v>65148</v>
      </c>
      <c r="D56" s="49">
        <v>61862</v>
      </c>
      <c r="E56" s="43">
        <f t="shared" si="12"/>
        <v>105.31182309010379</v>
      </c>
      <c r="F56" s="49">
        <v>35363</v>
      </c>
      <c r="G56" s="49">
        <v>31362</v>
      </c>
      <c r="H56" s="43">
        <f t="shared" si="18"/>
        <v>112.75747720170908</v>
      </c>
      <c r="I56" s="42">
        <v>53369</v>
      </c>
      <c r="J56" s="42">
        <v>60707</v>
      </c>
      <c r="K56" s="43">
        <f t="shared" si="17"/>
        <v>87.912431844762551</v>
      </c>
      <c r="L56" s="49">
        <v>0</v>
      </c>
      <c r="M56" s="49">
        <v>0</v>
      </c>
      <c r="N56" s="43">
        <v>0</v>
      </c>
      <c r="O56" s="139">
        <v>80</v>
      </c>
      <c r="P56" s="44">
        <v>115</v>
      </c>
      <c r="Q56" s="139">
        <v>83</v>
      </c>
      <c r="R56" s="45">
        <f t="shared" si="13"/>
        <v>9545</v>
      </c>
    </row>
    <row r="57" spans="1:18" x14ac:dyDescent="0.25">
      <c r="A57" s="40">
        <v>14</v>
      </c>
      <c r="B57" s="41" t="s">
        <v>47</v>
      </c>
      <c r="C57" s="139">
        <v>3553</v>
      </c>
      <c r="D57" s="139">
        <v>3623</v>
      </c>
      <c r="E57" s="47">
        <f t="shared" si="12"/>
        <v>98.067899530775605</v>
      </c>
      <c r="F57" s="139">
        <v>2266</v>
      </c>
      <c r="G57" s="139">
        <v>2058</v>
      </c>
      <c r="H57" s="47">
        <f t="shared" si="18"/>
        <v>110.10689990281828</v>
      </c>
      <c r="I57" s="139">
        <v>5737</v>
      </c>
      <c r="J57" s="139">
        <v>3410</v>
      </c>
      <c r="K57" s="47">
        <f t="shared" si="17"/>
        <v>168.24046920821115</v>
      </c>
      <c r="L57" s="139">
        <v>0</v>
      </c>
      <c r="M57" s="139">
        <v>0</v>
      </c>
      <c r="N57" s="43">
        <v>0</v>
      </c>
      <c r="O57" s="139">
        <v>12</v>
      </c>
      <c r="P57" s="44">
        <v>80</v>
      </c>
      <c r="Q57" s="139">
        <v>13</v>
      </c>
      <c r="R57" s="45">
        <f t="shared" si="13"/>
        <v>1040</v>
      </c>
    </row>
    <row r="58" spans="1:18" x14ac:dyDescent="0.25">
      <c r="A58" s="40">
        <v>15</v>
      </c>
      <c r="B58" s="41" t="s">
        <v>48</v>
      </c>
      <c r="C58" s="42">
        <v>15</v>
      </c>
      <c r="D58" s="53">
        <v>0</v>
      </c>
      <c r="E58" s="47">
        <v>0</v>
      </c>
      <c r="F58" s="42">
        <v>15</v>
      </c>
      <c r="G58" s="42">
        <v>0</v>
      </c>
      <c r="H58" s="47">
        <v>0</v>
      </c>
      <c r="I58" s="42">
        <v>17</v>
      </c>
      <c r="J58" s="42">
        <v>0</v>
      </c>
      <c r="K58" s="43">
        <v>0</v>
      </c>
      <c r="L58" s="42">
        <v>0</v>
      </c>
      <c r="M58" s="42">
        <v>0</v>
      </c>
      <c r="N58" s="43">
        <v>0</v>
      </c>
      <c r="O58" s="139">
        <v>50</v>
      </c>
      <c r="P58" s="44">
        <v>87</v>
      </c>
      <c r="Q58" s="139">
        <v>50</v>
      </c>
      <c r="R58" s="45">
        <f t="shared" si="13"/>
        <v>4350</v>
      </c>
    </row>
    <row r="59" spans="1:18" x14ac:dyDescent="0.25">
      <c r="A59" s="40">
        <v>16</v>
      </c>
      <c r="B59" s="41" t="s">
        <v>49</v>
      </c>
      <c r="C59" s="139">
        <v>230</v>
      </c>
      <c r="D59" s="139">
        <v>0</v>
      </c>
      <c r="E59" s="47">
        <v>0</v>
      </c>
      <c r="F59" s="139">
        <v>230</v>
      </c>
      <c r="G59" s="139">
        <v>0</v>
      </c>
      <c r="H59" s="47">
        <v>0</v>
      </c>
      <c r="I59" s="139">
        <v>230</v>
      </c>
      <c r="J59" s="139">
        <v>0</v>
      </c>
      <c r="K59" s="43">
        <v>0</v>
      </c>
      <c r="L59" s="139">
        <v>0</v>
      </c>
      <c r="M59" s="139">
        <v>0</v>
      </c>
      <c r="N59" s="47">
        <v>0</v>
      </c>
      <c r="O59" s="139">
        <v>3</v>
      </c>
      <c r="P59" s="44">
        <v>40</v>
      </c>
      <c r="Q59" s="139">
        <v>3</v>
      </c>
      <c r="R59" s="45">
        <f t="shared" si="13"/>
        <v>120</v>
      </c>
    </row>
    <row r="60" spans="1:18" x14ac:dyDescent="0.25">
      <c r="A60" s="40">
        <v>17</v>
      </c>
      <c r="B60" s="41" t="s">
        <v>169</v>
      </c>
      <c r="C60" s="139">
        <v>15000</v>
      </c>
      <c r="D60" s="139">
        <v>0</v>
      </c>
      <c r="E60" s="47">
        <v>0</v>
      </c>
      <c r="F60" s="139">
        <v>7200</v>
      </c>
      <c r="G60" s="139">
        <v>0</v>
      </c>
      <c r="H60" s="47">
        <v>0</v>
      </c>
      <c r="I60" s="139">
        <v>15000</v>
      </c>
      <c r="J60" s="139">
        <v>0</v>
      </c>
      <c r="K60" s="43">
        <v>0</v>
      </c>
      <c r="L60" s="139">
        <v>0</v>
      </c>
      <c r="M60" s="139">
        <v>0</v>
      </c>
      <c r="N60" s="47">
        <v>0</v>
      </c>
      <c r="O60" s="139">
        <v>13</v>
      </c>
      <c r="P60" s="44">
        <v>60</v>
      </c>
      <c r="Q60" s="139">
        <v>13</v>
      </c>
      <c r="R60" s="45">
        <f t="shared" si="13"/>
        <v>780</v>
      </c>
    </row>
    <row r="61" spans="1:18" s="60" customFormat="1" x14ac:dyDescent="0.25">
      <c r="A61" s="315" t="s">
        <v>50</v>
      </c>
      <c r="B61" s="315"/>
      <c r="C61" s="56">
        <f>SUM(C44:C60)</f>
        <v>313984</v>
      </c>
      <c r="D61" s="56">
        <f>SUM(D44:D60)</f>
        <v>342702</v>
      </c>
      <c r="E61" s="57">
        <f t="shared" si="12"/>
        <v>91.620124773126506</v>
      </c>
      <c r="F61" s="56">
        <f>SUM(F44:F60)</f>
        <v>218449</v>
      </c>
      <c r="G61" s="56">
        <f>SUM(G44:G59)</f>
        <v>196124</v>
      </c>
      <c r="H61" s="57">
        <f t="shared" si="18"/>
        <v>111.38310456649873</v>
      </c>
      <c r="I61" s="56">
        <f>SUM(I44:I60)</f>
        <v>384245</v>
      </c>
      <c r="J61" s="56">
        <f>SUM(J44:J60)</f>
        <v>228039</v>
      </c>
      <c r="K61" s="57">
        <f t="shared" si="17"/>
        <v>168.49968645714111</v>
      </c>
      <c r="L61" s="56">
        <f>SUM(L44:L60)</f>
        <v>225845</v>
      </c>
      <c r="M61" s="56">
        <f>SUM(M44:M60)</f>
        <v>108677</v>
      </c>
      <c r="N61" s="57">
        <f>L61/M61*100</f>
        <v>207.81306072121976</v>
      </c>
      <c r="O61" s="56">
        <f>SUM(O44:O60)</f>
        <v>790</v>
      </c>
      <c r="P61" s="57">
        <f>R61/O61</f>
        <v>80.599999999999994</v>
      </c>
      <c r="Q61" s="56">
        <f>SUM(Q44:Q60)</f>
        <v>777</v>
      </c>
      <c r="R61" s="56">
        <f>SUM(R44:R60)</f>
        <v>63674</v>
      </c>
    </row>
    <row r="62" spans="1:18" x14ac:dyDescent="0.25">
      <c r="A62" s="139"/>
      <c r="B62" s="61"/>
      <c r="C62" s="139"/>
      <c r="D62" s="139"/>
      <c r="E62" s="139"/>
      <c r="F62" s="139"/>
      <c r="G62" s="139"/>
      <c r="H62" s="139"/>
      <c r="I62" s="139"/>
      <c r="J62" s="139"/>
      <c r="K62" s="34"/>
      <c r="L62" s="139"/>
      <c r="M62" s="139"/>
      <c r="N62" s="139"/>
      <c r="O62" s="139"/>
      <c r="P62" s="62"/>
      <c r="Q62" s="139"/>
      <c r="R62" s="39"/>
    </row>
    <row r="63" spans="1:18" x14ac:dyDescent="0.25">
      <c r="A63" s="319" t="s">
        <v>51</v>
      </c>
      <c r="B63" s="320"/>
      <c r="C63" s="37">
        <v>3</v>
      </c>
      <c r="D63" s="37">
        <v>4</v>
      </c>
      <c r="E63" s="136">
        <v>5</v>
      </c>
      <c r="F63" s="37">
        <v>6</v>
      </c>
      <c r="G63" s="37">
        <v>7</v>
      </c>
      <c r="H63" s="37">
        <v>8</v>
      </c>
      <c r="I63" s="37">
        <v>9</v>
      </c>
      <c r="J63" s="37">
        <v>10</v>
      </c>
      <c r="K63" s="37">
        <v>11</v>
      </c>
      <c r="L63" s="37">
        <v>12</v>
      </c>
      <c r="M63" s="37">
        <v>13</v>
      </c>
      <c r="N63" s="37">
        <v>14</v>
      </c>
      <c r="O63" s="37">
        <v>15</v>
      </c>
      <c r="P63" s="136">
        <v>16</v>
      </c>
      <c r="Q63" s="37">
        <v>17</v>
      </c>
      <c r="R63" s="39"/>
    </row>
    <row r="64" spans="1:18" s="66" customFormat="1" x14ac:dyDescent="0.25">
      <c r="A64" s="44">
        <v>1</v>
      </c>
      <c r="B64" s="63" t="s">
        <v>52</v>
      </c>
      <c r="C64" s="64">
        <v>80274</v>
      </c>
      <c r="D64" s="65">
        <v>41869</v>
      </c>
      <c r="E64" s="43">
        <f t="shared" ref="E64:E70" si="20">C64/D64*100</f>
        <v>191.72657574816691</v>
      </c>
      <c r="F64" s="65">
        <v>58241</v>
      </c>
      <c r="G64" s="65">
        <v>29175</v>
      </c>
      <c r="H64" s="43">
        <f>F64/G64*100</f>
        <v>199.62639245929734</v>
      </c>
      <c r="I64" s="65">
        <v>67290</v>
      </c>
      <c r="J64" s="65">
        <v>34140</v>
      </c>
      <c r="K64" s="43">
        <f t="shared" ref="K64:K70" si="21">I64/J64*100</f>
        <v>197.10017574692444</v>
      </c>
      <c r="L64" s="65">
        <v>66313</v>
      </c>
      <c r="M64" s="65">
        <v>33859</v>
      </c>
      <c r="N64" s="43">
        <f>L64/M64*100</f>
        <v>195.85043858353762</v>
      </c>
      <c r="O64" s="68">
        <v>155</v>
      </c>
      <c r="P64" s="65">
        <v>70</v>
      </c>
      <c r="Q64" s="68">
        <v>107</v>
      </c>
      <c r="R64" s="45">
        <f t="shared" ref="R64:R72" si="22">Q64*P64</f>
        <v>7490</v>
      </c>
    </row>
    <row r="65" spans="1:18" x14ac:dyDescent="0.25">
      <c r="A65" s="67">
        <v>2</v>
      </c>
      <c r="B65" s="63" t="s">
        <v>53</v>
      </c>
      <c r="C65" s="42">
        <v>5800</v>
      </c>
      <c r="D65" s="42">
        <v>17684</v>
      </c>
      <c r="E65" s="43">
        <f t="shared" si="20"/>
        <v>32.798009500113096</v>
      </c>
      <c r="F65" s="68">
        <v>5240</v>
      </c>
      <c r="G65" s="68">
        <v>16080</v>
      </c>
      <c r="H65" s="43">
        <f t="shared" ref="H65:H70" si="23">F65/G65*100</f>
        <v>32.587064676616919</v>
      </c>
      <c r="I65" s="68">
        <v>15157</v>
      </c>
      <c r="J65" s="68">
        <v>17834</v>
      </c>
      <c r="K65" s="43">
        <f t="shared" si="21"/>
        <v>84.989346192665693</v>
      </c>
      <c r="L65" s="68">
        <v>0</v>
      </c>
      <c r="M65" s="68">
        <v>830</v>
      </c>
      <c r="N65" s="43">
        <v>0</v>
      </c>
      <c r="O65" s="68">
        <v>130</v>
      </c>
      <c r="P65" s="68">
        <v>105</v>
      </c>
      <c r="Q65" s="68">
        <v>130</v>
      </c>
      <c r="R65" s="45">
        <f t="shared" si="22"/>
        <v>13650</v>
      </c>
    </row>
    <row r="66" spans="1:18" x14ac:dyDescent="0.25">
      <c r="A66" s="67">
        <v>3</v>
      </c>
      <c r="B66" s="63" t="s">
        <v>54</v>
      </c>
      <c r="C66" s="68">
        <v>26460</v>
      </c>
      <c r="D66" s="68">
        <v>35197</v>
      </c>
      <c r="E66" s="43">
        <f t="shared" si="20"/>
        <v>75.17686166434639</v>
      </c>
      <c r="F66" s="68">
        <v>10070</v>
      </c>
      <c r="G66" s="68">
        <v>17768</v>
      </c>
      <c r="H66" s="43">
        <f t="shared" si="23"/>
        <v>56.674921206663662</v>
      </c>
      <c r="I66" s="68">
        <v>26460</v>
      </c>
      <c r="J66" s="68">
        <v>35197</v>
      </c>
      <c r="K66" s="43">
        <f t="shared" si="21"/>
        <v>75.17686166434639</v>
      </c>
      <c r="L66" s="68">
        <v>0</v>
      </c>
      <c r="M66" s="68">
        <v>0</v>
      </c>
      <c r="N66" s="43">
        <v>0</v>
      </c>
      <c r="O66" s="68">
        <v>118</v>
      </c>
      <c r="P66" s="68">
        <v>50</v>
      </c>
      <c r="Q66" s="68">
        <v>118</v>
      </c>
      <c r="R66" s="45">
        <f t="shared" si="22"/>
        <v>5900</v>
      </c>
    </row>
    <row r="67" spans="1:18" x14ac:dyDescent="0.25">
      <c r="A67" s="44">
        <v>4</v>
      </c>
      <c r="B67" s="63" t="s">
        <v>55</v>
      </c>
      <c r="C67" s="68">
        <v>52843</v>
      </c>
      <c r="D67" s="68">
        <v>45712</v>
      </c>
      <c r="E67" s="43">
        <f t="shared" si="20"/>
        <v>115.59984249212461</v>
      </c>
      <c r="F67" s="68">
        <v>50602</v>
      </c>
      <c r="G67" s="68">
        <v>24922</v>
      </c>
      <c r="H67" s="43">
        <f t="shared" si="23"/>
        <v>203.04148944707487</v>
      </c>
      <c r="I67" s="48">
        <v>27832</v>
      </c>
      <c r="J67" s="48">
        <v>30679</v>
      </c>
      <c r="K67" s="43">
        <f>I67/J67*100</f>
        <v>90.720036507056946</v>
      </c>
      <c r="L67" s="68">
        <v>13888</v>
      </c>
      <c r="M67" s="68">
        <f>12261+2313</f>
        <v>14574</v>
      </c>
      <c r="N67" s="43">
        <f t="shared" ref="N67:N69" si="24">L67/M67*100</f>
        <v>95.292987512007684</v>
      </c>
      <c r="O67" s="68">
        <v>62</v>
      </c>
      <c r="P67" s="68">
        <v>55</v>
      </c>
      <c r="Q67" s="68">
        <v>63</v>
      </c>
      <c r="R67" s="45">
        <f t="shared" si="22"/>
        <v>3465</v>
      </c>
    </row>
    <row r="68" spans="1:18" x14ac:dyDescent="0.25">
      <c r="A68" s="67">
        <v>5</v>
      </c>
      <c r="B68" s="63" t="s">
        <v>56</v>
      </c>
      <c r="C68" s="139">
        <v>0</v>
      </c>
      <c r="D68" s="139">
        <v>0</v>
      </c>
      <c r="E68" s="139">
        <v>0</v>
      </c>
      <c r="F68" s="139">
        <v>0</v>
      </c>
      <c r="G68" s="139">
        <v>0</v>
      </c>
      <c r="H68" s="139">
        <v>0</v>
      </c>
      <c r="I68" s="139">
        <v>0</v>
      </c>
      <c r="J68" s="139">
        <v>0</v>
      </c>
      <c r="K68" s="139">
        <v>0</v>
      </c>
      <c r="L68" s="139">
        <v>0</v>
      </c>
      <c r="M68" s="139">
        <v>0</v>
      </c>
      <c r="N68" s="47">
        <v>0</v>
      </c>
      <c r="O68" s="68">
        <v>0</v>
      </c>
      <c r="P68" s="44">
        <v>0</v>
      </c>
      <c r="Q68" s="68">
        <v>0</v>
      </c>
      <c r="R68" s="45">
        <f t="shared" si="22"/>
        <v>0</v>
      </c>
    </row>
    <row r="69" spans="1:18" x14ac:dyDescent="0.25">
      <c r="A69" s="67">
        <v>6</v>
      </c>
      <c r="B69" s="63" t="s">
        <v>57</v>
      </c>
      <c r="C69" s="68">
        <v>6759</v>
      </c>
      <c r="D69" s="68">
        <v>8026</v>
      </c>
      <c r="E69" s="43">
        <f t="shared" si="20"/>
        <v>84.213805133316725</v>
      </c>
      <c r="F69" s="68">
        <v>4020</v>
      </c>
      <c r="G69" s="68">
        <v>3754</v>
      </c>
      <c r="H69" s="43">
        <f t="shared" si="23"/>
        <v>107.08577517314863</v>
      </c>
      <c r="I69" s="68">
        <v>8185</v>
      </c>
      <c r="J69" s="68">
        <v>11207</v>
      </c>
      <c r="K69" s="43">
        <f t="shared" si="21"/>
        <v>73.03471044882663</v>
      </c>
      <c r="L69" s="68">
        <v>8110</v>
      </c>
      <c r="M69" s="68">
        <v>11207</v>
      </c>
      <c r="N69" s="43">
        <f t="shared" si="24"/>
        <v>72.365485857053628</v>
      </c>
      <c r="O69" s="68">
        <v>45</v>
      </c>
      <c r="P69" s="68">
        <v>40</v>
      </c>
      <c r="Q69" s="68">
        <v>31</v>
      </c>
      <c r="R69" s="45">
        <f t="shared" si="22"/>
        <v>1240</v>
      </c>
    </row>
    <row r="70" spans="1:18" x14ac:dyDescent="0.25">
      <c r="A70" s="44">
        <v>7</v>
      </c>
      <c r="B70" s="63" t="s">
        <v>58</v>
      </c>
      <c r="C70" s="42">
        <v>0</v>
      </c>
      <c r="D70" s="42">
        <v>13290</v>
      </c>
      <c r="E70" s="43">
        <f t="shared" si="20"/>
        <v>0</v>
      </c>
      <c r="F70" s="42">
        <v>0</v>
      </c>
      <c r="G70" s="42">
        <v>6873</v>
      </c>
      <c r="H70" s="43">
        <f t="shared" si="23"/>
        <v>0</v>
      </c>
      <c r="I70" s="42">
        <v>13</v>
      </c>
      <c r="J70" s="42">
        <v>15130</v>
      </c>
      <c r="K70" s="43">
        <f t="shared" si="21"/>
        <v>8.5922009253139461E-2</v>
      </c>
      <c r="L70" s="69">
        <v>0</v>
      </c>
      <c r="M70" s="42">
        <v>15039</v>
      </c>
      <c r="N70" s="43">
        <f>L70/M70*100</f>
        <v>0</v>
      </c>
      <c r="O70" s="68">
        <v>41</v>
      </c>
      <c r="P70" s="68">
        <v>55</v>
      </c>
      <c r="Q70" s="68">
        <v>41</v>
      </c>
      <c r="R70" s="45">
        <f t="shared" si="22"/>
        <v>2255</v>
      </c>
    </row>
    <row r="71" spans="1:18" s="66" customFormat="1" x14ac:dyDescent="0.25">
      <c r="A71" s="67">
        <v>8</v>
      </c>
      <c r="B71" s="63" t="s">
        <v>59</v>
      </c>
      <c r="C71" s="42">
        <v>0</v>
      </c>
      <c r="D71" s="42">
        <v>0</v>
      </c>
      <c r="E71" s="43">
        <v>0</v>
      </c>
      <c r="F71" s="42">
        <v>0</v>
      </c>
      <c r="G71" s="42">
        <v>0</v>
      </c>
      <c r="H71" s="43">
        <v>0</v>
      </c>
      <c r="I71" s="42">
        <v>0</v>
      </c>
      <c r="J71" s="42">
        <v>0</v>
      </c>
      <c r="K71" s="43">
        <v>0</v>
      </c>
      <c r="L71" s="42">
        <v>0</v>
      </c>
      <c r="M71" s="42">
        <v>0</v>
      </c>
      <c r="N71" s="43">
        <v>0</v>
      </c>
      <c r="O71" s="68">
        <v>12</v>
      </c>
      <c r="P71" s="65">
        <v>75</v>
      </c>
      <c r="Q71" s="68">
        <v>12</v>
      </c>
      <c r="R71" s="45">
        <f t="shared" si="22"/>
        <v>900</v>
      </c>
    </row>
    <row r="72" spans="1:18" s="66" customFormat="1" x14ac:dyDescent="0.25">
      <c r="A72" s="67">
        <v>9</v>
      </c>
      <c r="B72" s="63" t="s">
        <v>60</v>
      </c>
      <c r="C72" s="139">
        <v>0</v>
      </c>
      <c r="D72" s="139">
        <v>0</v>
      </c>
      <c r="E72" s="139">
        <v>0</v>
      </c>
      <c r="F72" s="139">
        <v>0</v>
      </c>
      <c r="G72" s="139">
        <v>0</v>
      </c>
      <c r="H72" s="139">
        <v>0</v>
      </c>
      <c r="I72" s="139">
        <v>0</v>
      </c>
      <c r="J72" s="139">
        <v>0</v>
      </c>
      <c r="K72" s="139">
        <v>0</v>
      </c>
      <c r="L72" s="139">
        <v>0</v>
      </c>
      <c r="M72" s="139">
        <v>0</v>
      </c>
      <c r="N72" s="47">
        <v>0</v>
      </c>
      <c r="O72" s="68">
        <v>0</v>
      </c>
      <c r="P72" s="44">
        <v>0</v>
      </c>
      <c r="Q72" s="68">
        <v>0</v>
      </c>
      <c r="R72" s="45">
        <f t="shared" si="22"/>
        <v>0</v>
      </c>
    </row>
    <row r="73" spans="1:18" s="60" customFormat="1" x14ac:dyDescent="0.25">
      <c r="A73" s="334" t="s">
        <v>61</v>
      </c>
      <c r="B73" s="334"/>
      <c r="C73" s="70">
        <f>SUM(C64:C72)</f>
        <v>172136</v>
      </c>
      <c r="D73" s="70">
        <f>SUM(D64:D72)</f>
        <v>161778</v>
      </c>
      <c r="E73" s="71">
        <f>C73/D73*100</f>
        <v>106.40260109532818</v>
      </c>
      <c r="F73" s="70">
        <f>SUM(F64:F72)</f>
        <v>128173</v>
      </c>
      <c r="G73" s="70">
        <f>SUM(G64:G72)</f>
        <v>98572</v>
      </c>
      <c r="H73" s="71">
        <f>F73/G73*100</f>
        <v>130.02982591405268</v>
      </c>
      <c r="I73" s="72">
        <f>SUM(I64:I72)</f>
        <v>144937</v>
      </c>
      <c r="J73" s="70">
        <f>SUM(J64:J72)</f>
        <v>144187</v>
      </c>
      <c r="K73" s="71">
        <f>I73/J73*100</f>
        <v>100.52015785056905</v>
      </c>
      <c r="L73" s="70">
        <f>SUM(L64:L72)</f>
        <v>88311</v>
      </c>
      <c r="M73" s="70">
        <f>SUM(M64:M72)</f>
        <v>75509</v>
      </c>
      <c r="N73" s="71">
        <f>L73/M73*100</f>
        <v>116.95427035187858</v>
      </c>
      <c r="O73" s="72">
        <f>SUM(O64:O72)</f>
        <v>563</v>
      </c>
      <c r="P73" s="71">
        <f>R73/O73</f>
        <v>61.989342806394319</v>
      </c>
      <c r="Q73" s="70">
        <f>SUM(Q64:Q72)</f>
        <v>502</v>
      </c>
      <c r="R73" s="59">
        <f>SUM(R64:R72)</f>
        <v>34900</v>
      </c>
    </row>
    <row r="74" spans="1:18" x14ac:dyDescent="0.25">
      <c r="A74" s="39"/>
      <c r="B74" s="73"/>
      <c r="C74" s="39"/>
      <c r="D74" s="39"/>
      <c r="E74" s="39"/>
      <c r="F74" s="39"/>
      <c r="G74" s="39"/>
      <c r="H74" s="39"/>
      <c r="I74" s="39"/>
      <c r="J74" s="39"/>
      <c r="K74" s="74"/>
      <c r="L74" s="39"/>
      <c r="M74" s="39"/>
      <c r="N74" s="39"/>
      <c r="O74" s="39"/>
      <c r="P74" s="75"/>
      <c r="Q74" s="39"/>
      <c r="R74" s="39"/>
    </row>
    <row r="75" spans="1:18" x14ac:dyDescent="0.25">
      <c r="A75" s="319" t="s">
        <v>62</v>
      </c>
      <c r="B75" s="320"/>
      <c r="C75" s="37">
        <v>3</v>
      </c>
      <c r="D75" s="37">
        <v>4</v>
      </c>
      <c r="E75" s="136">
        <v>5</v>
      </c>
      <c r="F75" s="37">
        <v>6</v>
      </c>
      <c r="G75" s="37">
        <v>7</v>
      </c>
      <c r="H75" s="37">
        <v>8</v>
      </c>
      <c r="I75" s="37">
        <v>9</v>
      </c>
      <c r="J75" s="37">
        <v>10</v>
      </c>
      <c r="K75" s="37">
        <v>11</v>
      </c>
      <c r="L75" s="37">
        <v>12</v>
      </c>
      <c r="M75" s="37">
        <v>13</v>
      </c>
      <c r="N75" s="37">
        <v>14</v>
      </c>
      <c r="O75" s="37">
        <v>15</v>
      </c>
      <c r="P75" s="136">
        <v>16</v>
      </c>
      <c r="Q75" s="37">
        <v>17</v>
      </c>
      <c r="R75" s="39"/>
    </row>
    <row r="76" spans="1:18" x14ac:dyDescent="0.25">
      <c r="A76" s="40">
        <v>1</v>
      </c>
      <c r="B76" s="41" t="s">
        <v>63</v>
      </c>
      <c r="C76" s="139">
        <v>39618</v>
      </c>
      <c r="D76" s="139">
        <v>557</v>
      </c>
      <c r="E76" s="47">
        <f t="shared" ref="E76:E83" si="25">C76/D76*100</f>
        <v>7112.7468581687608</v>
      </c>
      <c r="F76" s="139">
        <v>39618</v>
      </c>
      <c r="G76" s="139">
        <v>549</v>
      </c>
      <c r="H76" s="47">
        <f t="shared" ref="H76:H82" si="26">F76/G76*100</f>
        <v>7216.3934426229498</v>
      </c>
      <c r="I76" s="139">
        <v>44523</v>
      </c>
      <c r="J76" s="139">
        <v>37558</v>
      </c>
      <c r="K76" s="47">
        <f>I76/J76*100</f>
        <v>118.54465093987965</v>
      </c>
      <c r="L76" s="139">
        <v>38608</v>
      </c>
      <c r="M76" s="139">
        <v>0</v>
      </c>
      <c r="N76" s="47">
        <v>0</v>
      </c>
      <c r="O76" s="139">
        <v>168</v>
      </c>
      <c r="P76" s="62">
        <v>55</v>
      </c>
      <c r="Q76" s="139">
        <v>167</v>
      </c>
      <c r="R76" s="45">
        <f t="shared" ref="R76:R83" si="27">Q76*P76</f>
        <v>9185</v>
      </c>
    </row>
    <row r="77" spans="1:18" x14ac:dyDescent="0.25">
      <c r="A77" s="40">
        <v>2</v>
      </c>
      <c r="B77" s="41" t="s">
        <v>40</v>
      </c>
      <c r="C77" s="51">
        <v>64931</v>
      </c>
      <c r="D77" s="51">
        <v>23551</v>
      </c>
      <c r="E77" s="47">
        <f t="shared" si="25"/>
        <v>275.70379177105002</v>
      </c>
      <c r="F77" s="51">
        <v>31429</v>
      </c>
      <c r="G77" s="51">
        <v>23551</v>
      </c>
      <c r="H77" s="47">
        <f t="shared" si="26"/>
        <v>133.45080888285</v>
      </c>
      <c r="I77" s="51">
        <v>64971</v>
      </c>
      <c r="J77" s="51">
        <v>23551</v>
      </c>
      <c r="K77" s="47">
        <f t="shared" ref="K77" si="28">I77/J77*100</f>
        <v>275.87363593902597</v>
      </c>
      <c r="L77" s="51">
        <v>64971</v>
      </c>
      <c r="M77" s="51">
        <v>23551</v>
      </c>
      <c r="N77" s="47">
        <f t="shared" ref="N77" si="29">L77/M77*100</f>
        <v>275.87363593902597</v>
      </c>
      <c r="O77" s="139">
        <v>23</v>
      </c>
      <c r="P77" s="44">
        <v>71</v>
      </c>
      <c r="Q77" s="139">
        <v>21</v>
      </c>
      <c r="R77" s="45">
        <f t="shared" si="27"/>
        <v>1491</v>
      </c>
    </row>
    <row r="78" spans="1:18" x14ac:dyDescent="0.25">
      <c r="A78" s="40">
        <v>3</v>
      </c>
      <c r="B78" s="41" t="s">
        <v>64</v>
      </c>
      <c r="C78" s="139">
        <v>16034</v>
      </c>
      <c r="D78" s="139">
        <v>0</v>
      </c>
      <c r="E78" s="47">
        <v>0</v>
      </c>
      <c r="F78" s="139">
        <v>0</v>
      </c>
      <c r="G78" s="139">
        <v>0</v>
      </c>
      <c r="H78" s="47">
        <v>0</v>
      </c>
      <c r="I78" s="139">
        <v>16096</v>
      </c>
      <c r="J78" s="139">
        <v>46</v>
      </c>
      <c r="K78" s="47">
        <f t="shared" ref="K78:K83" si="30">I78/J78*100</f>
        <v>34991.304347826088</v>
      </c>
      <c r="L78" s="139">
        <v>0</v>
      </c>
      <c r="M78" s="139">
        <v>0</v>
      </c>
      <c r="N78" s="47">
        <v>0</v>
      </c>
      <c r="O78" s="139">
        <v>58</v>
      </c>
      <c r="P78" s="62">
        <v>57</v>
      </c>
      <c r="Q78" s="139">
        <v>47</v>
      </c>
      <c r="R78" s="45">
        <f t="shared" si="27"/>
        <v>2679</v>
      </c>
    </row>
    <row r="79" spans="1:18" x14ac:dyDescent="0.25">
      <c r="A79" s="40">
        <v>4</v>
      </c>
      <c r="B79" s="41" t="s">
        <v>65</v>
      </c>
      <c r="C79" s="139">
        <v>3130</v>
      </c>
      <c r="D79" s="139">
        <v>1225</v>
      </c>
      <c r="E79" s="47">
        <f t="shared" si="25"/>
        <v>255.51020408163265</v>
      </c>
      <c r="F79" s="139">
        <v>1968</v>
      </c>
      <c r="G79" s="139">
        <v>1086</v>
      </c>
      <c r="H79" s="47">
        <f t="shared" si="26"/>
        <v>181.21546961325967</v>
      </c>
      <c r="I79" s="139">
        <v>5454</v>
      </c>
      <c r="J79" s="139">
        <v>1956</v>
      </c>
      <c r="K79" s="47">
        <f t="shared" si="30"/>
        <v>278.83435582822085</v>
      </c>
      <c r="L79" s="139">
        <v>0</v>
      </c>
      <c r="M79" s="139">
        <v>0</v>
      </c>
      <c r="N79" s="47">
        <v>0</v>
      </c>
      <c r="O79" s="139">
        <v>74</v>
      </c>
      <c r="P79" s="76">
        <v>50</v>
      </c>
      <c r="Q79" s="139">
        <v>74</v>
      </c>
      <c r="R79" s="45">
        <f t="shared" si="27"/>
        <v>3700</v>
      </c>
    </row>
    <row r="80" spans="1:18" x14ac:dyDescent="0.25">
      <c r="A80" s="40">
        <v>5</v>
      </c>
      <c r="B80" s="41" t="s">
        <v>66</v>
      </c>
      <c r="C80" s="139">
        <v>25</v>
      </c>
      <c r="D80" s="139">
        <v>10993</v>
      </c>
      <c r="E80" s="47">
        <f t="shared" si="25"/>
        <v>0.22741744746656964</v>
      </c>
      <c r="F80" s="139">
        <v>0</v>
      </c>
      <c r="G80" s="139">
        <v>17147</v>
      </c>
      <c r="H80" s="47">
        <f t="shared" si="26"/>
        <v>0</v>
      </c>
      <c r="I80" s="139">
        <v>130</v>
      </c>
      <c r="J80" s="139">
        <v>11238</v>
      </c>
      <c r="K80" s="47">
        <f t="shared" si="30"/>
        <v>1.1567894643174943</v>
      </c>
      <c r="L80" s="139">
        <v>0</v>
      </c>
      <c r="M80" s="139">
        <v>0</v>
      </c>
      <c r="N80" s="47">
        <v>0</v>
      </c>
      <c r="O80" s="139">
        <v>54</v>
      </c>
      <c r="P80" s="62">
        <v>48</v>
      </c>
      <c r="Q80" s="139">
        <v>54</v>
      </c>
      <c r="R80" s="45">
        <f t="shared" si="27"/>
        <v>2592</v>
      </c>
    </row>
    <row r="81" spans="1:18" x14ac:dyDescent="0.25">
      <c r="A81" s="40">
        <v>6</v>
      </c>
      <c r="B81" s="41" t="s">
        <v>67</v>
      </c>
      <c r="C81" s="139">
        <v>511</v>
      </c>
      <c r="D81" s="139">
        <v>100</v>
      </c>
      <c r="E81" s="47">
        <f t="shared" si="25"/>
        <v>511.00000000000006</v>
      </c>
      <c r="F81" s="139">
        <v>145</v>
      </c>
      <c r="G81" s="139">
        <v>34</v>
      </c>
      <c r="H81" s="47">
        <f t="shared" si="26"/>
        <v>426.47058823529409</v>
      </c>
      <c r="I81" s="139">
        <v>673</v>
      </c>
      <c r="J81" s="139">
        <v>197</v>
      </c>
      <c r="K81" s="47">
        <f t="shared" si="30"/>
        <v>341.62436548223354</v>
      </c>
      <c r="L81" s="139">
        <v>0</v>
      </c>
      <c r="M81" s="139">
        <v>45</v>
      </c>
      <c r="N81" s="47">
        <f t="shared" ref="N81" si="31">L81/M81*100</f>
        <v>0</v>
      </c>
      <c r="O81" s="139">
        <v>9</v>
      </c>
      <c r="P81" s="62">
        <v>48</v>
      </c>
      <c r="Q81" s="139">
        <v>9</v>
      </c>
      <c r="R81" s="45">
        <f t="shared" si="27"/>
        <v>432</v>
      </c>
    </row>
    <row r="82" spans="1:18" x14ac:dyDescent="0.25">
      <c r="A82" s="40">
        <v>7</v>
      </c>
      <c r="B82" s="41" t="s">
        <v>168</v>
      </c>
      <c r="C82" s="42">
        <v>117910</v>
      </c>
      <c r="D82" s="42">
        <v>76868</v>
      </c>
      <c r="E82" s="47">
        <f t="shared" si="25"/>
        <v>153.39282926575427</v>
      </c>
      <c r="F82" s="42">
        <v>33932</v>
      </c>
      <c r="G82" s="42">
        <v>44702</v>
      </c>
      <c r="H82" s="47">
        <f t="shared" si="26"/>
        <v>75.907118249742751</v>
      </c>
      <c r="I82" s="42">
        <v>112562</v>
      </c>
      <c r="J82" s="42">
        <v>30853</v>
      </c>
      <c r="K82" s="47">
        <f t="shared" si="30"/>
        <v>364.83324150001624</v>
      </c>
      <c r="L82" s="42">
        <v>24844</v>
      </c>
      <c r="M82" s="42">
        <v>0</v>
      </c>
      <c r="N82" s="43">
        <v>0</v>
      </c>
      <c r="O82" s="139"/>
      <c r="P82" s="44"/>
      <c r="Q82" s="139"/>
      <c r="R82" s="45">
        <f t="shared" si="27"/>
        <v>0</v>
      </c>
    </row>
    <row r="83" spans="1:18" x14ac:dyDescent="0.25">
      <c r="A83" s="40">
        <v>8</v>
      </c>
      <c r="B83" s="41" t="s">
        <v>68</v>
      </c>
      <c r="C83" s="139">
        <v>800</v>
      </c>
      <c r="D83" s="139">
        <v>1061</v>
      </c>
      <c r="E83" s="47">
        <f t="shared" si="25"/>
        <v>75.400565504241285</v>
      </c>
      <c r="F83" s="139">
        <v>800</v>
      </c>
      <c r="G83" s="139">
        <v>0</v>
      </c>
      <c r="H83" s="47">
        <v>0</v>
      </c>
      <c r="I83" s="139">
        <v>880</v>
      </c>
      <c r="J83" s="139">
        <v>1167</v>
      </c>
      <c r="K83" s="47">
        <f t="shared" si="30"/>
        <v>75.407026563838912</v>
      </c>
      <c r="L83" s="139">
        <v>0</v>
      </c>
      <c r="M83" s="139">
        <v>0</v>
      </c>
      <c r="N83" s="47">
        <v>0</v>
      </c>
      <c r="O83" s="139">
        <v>19</v>
      </c>
      <c r="P83" s="62">
        <v>40</v>
      </c>
      <c r="Q83" s="139">
        <v>19</v>
      </c>
      <c r="R83" s="45">
        <f t="shared" si="27"/>
        <v>760</v>
      </c>
    </row>
    <row r="84" spans="1:18" s="60" customFormat="1" x14ac:dyDescent="0.25">
      <c r="A84" s="315" t="s">
        <v>69</v>
      </c>
      <c r="B84" s="315" t="s">
        <v>69</v>
      </c>
      <c r="C84" s="56">
        <f>SUM(C76:C83)</f>
        <v>242959</v>
      </c>
      <c r="D84" s="56">
        <f>SUM(D76:D83)</f>
        <v>114355</v>
      </c>
      <c r="E84" s="57">
        <f>C84/D84*100</f>
        <v>212.46032093043593</v>
      </c>
      <c r="F84" s="56">
        <f>SUM(F76:F83)</f>
        <v>107892</v>
      </c>
      <c r="G84" s="56">
        <f>SUM(G76:G83)</f>
        <v>87069</v>
      </c>
      <c r="H84" s="57">
        <f>F84/G84*100</f>
        <v>123.91551528098405</v>
      </c>
      <c r="I84" s="56">
        <f>SUM(I76:I83)</f>
        <v>245289</v>
      </c>
      <c r="J84" s="56">
        <f>SUM(J76:J83)</f>
        <v>106566</v>
      </c>
      <c r="K84" s="57">
        <f>I84/J84*100</f>
        <v>230.1756657845842</v>
      </c>
      <c r="L84" s="56">
        <f>SUM(L76:L83)</f>
        <v>128423</v>
      </c>
      <c r="M84" s="56">
        <f>SUM(M76:M83)</f>
        <v>23596</v>
      </c>
      <c r="N84" s="58">
        <f>L84/M84*100</f>
        <v>544.25750127140191</v>
      </c>
      <c r="O84" s="56">
        <f>SUM(O76:O83)</f>
        <v>405</v>
      </c>
      <c r="P84" s="57">
        <f>R84/O84</f>
        <v>51.45432098765432</v>
      </c>
      <c r="Q84" s="56">
        <f>SUM(Q76:Q83)</f>
        <v>391</v>
      </c>
      <c r="R84" s="59">
        <f>SUM(R76:R83)</f>
        <v>20839</v>
      </c>
    </row>
    <row r="85" spans="1:18" s="60" customFormat="1" x14ac:dyDescent="0.25">
      <c r="A85" s="315" t="s">
        <v>70</v>
      </c>
      <c r="B85" s="315" t="s">
        <v>70</v>
      </c>
      <c r="C85" s="56">
        <f>C61+C73+C84</f>
        <v>729079</v>
      </c>
      <c r="D85" s="56">
        <f>D61+D73+D84</f>
        <v>618835</v>
      </c>
      <c r="E85" s="57">
        <f>C85/D85*100</f>
        <v>117.81476484038555</v>
      </c>
      <c r="F85" s="56">
        <f>F61+F73+F84</f>
        <v>454514</v>
      </c>
      <c r="G85" s="56">
        <f>G61+G73+G84</f>
        <v>381765</v>
      </c>
      <c r="H85" s="57">
        <f>F85/G85*100</f>
        <v>119.05596374733148</v>
      </c>
      <c r="I85" s="56">
        <f>I61+I73+I84</f>
        <v>774471</v>
      </c>
      <c r="J85" s="56">
        <f>J61+J73+J84</f>
        <v>478792</v>
      </c>
      <c r="K85" s="57">
        <f>I85/J85*100</f>
        <v>161.75520894250531</v>
      </c>
      <c r="L85" s="56">
        <f>L61+L73+L84</f>
        <v>442579</v>
      </c>
      <c r="M85" s="56">
        <f>M61+M73+M84</f>
        <v>207782</v>
      </c>
      <c r="N85" s="57">
        <f>L85/M85*100</f>
        <v>213.00160745396619</v>
      </c>
      <c r="O85" s="56">
        <f>O61+O73+O84</f>
        <v>1758</v>
      </c>
      <c r="P85" s="57">
        <f>R85/O85</f>
        <v>67.925483503981795</v>
      </c>
      <c r="Q85" s="58">
        <f>SUM(Q61:Q73:Q84)</f>
        <v>2597</v>
      </c>
      <c r="R85" s="59">
        <f>R61+R73+R84</f>
        <v>119413</v>
      </c>
    </row>
    <row r="86" spans="1:18" x14ac:dyDescent="0.25">
      <c r="A86" s="139"/>
      <c r="B86" s="61"/>
      <c r="C86" s="139"/>
      <c r="D86" s="139"/>
      <c r="E86" s="139"/>
      <c r="F86" s="139"/>
      <c r="G86" s="139"/>
      <c r="H86" s="139"/>
      <c r="I86" s="139"/>
      <c r="J86" s="139"/>
      <c r="K86" s="34"/>
      <c r="L86" s="139"/>
      <c r="M86" s="139"/>
      <c r="N86" s="139"/>
      <c r="O86" s="139"/>
      <c r="P86" s="62"/>
      <c r="Q86" s="139"/>
      <c r="R86" s="39"/>
    </row>
    <row r="87" spans="1:18" x14ac:dyDescent="0.25">
      <c r="A87" s="316" t="s">
        <v>18</v>
      </c>
      <c r="B87" s="317"/>
      <c r="C87" s="37">
        <v>3</v>
      </c>
      <c r="D87" s="37">
        <v>4</v>
      </c>
      <c r="E87" s="136">
        <v>5</v>
      </c>
      <c r="F87" s="37">
        <v>6</v>
      </c>
      <c r="G87" s="37">
        <v>7</v>
      </c>
      <c r="H87" s="37">
        <v>8</v>
      </c>
      <c r="I87" s="37">
        <v>9</v>
      </c>
      <c r="J87" s="37">
        <v>10</v>
      </c>
      <c r="K87" s="37">
        <v>11</v>
      </c>
      <c r="L87" s="37">
        <v>12</v>
      </c>
      <c r="M87" s="37">
        <v>13</v>
      </c>
      <c r="N87" s="37">
        <v>14</v>
      </c>
      <c r="O87" s="37">
        <v>15</v>
      </c>
      <c r="P87" s="136">
        <v>16</v>
      </c>
      <c r="Q87" s="37">
        <v>17</v>
      </c>
      <c r="R87" s="39"/>
    </row>
    <row r="88" spans="1:18" x14ac:dyDescent="0.25">
      <c r="A88" s="77">
        <v>1</v>
      </c>
      <c r="B88" s="78" t="s">
        <v>71</v>
      </c>
      <c r="C88" s="51">
        <v>208</v>
      </c>
      <c r="D88" s="51">
        <v>168</v>
      </c>
      <c r="E88" s="47">
        <f>C88/D88*100</f>
        <v>123.80952380952381</v>
      </c>
      <c r="F88" s="51">
        <v>170</v>
      </c>
      <c r="G88" s="51">
        <v>168</v>
      </c>
      <c r="H88" s="47">
        <f>F88/G88*100</f>
        <v>101.19047619047619</v>
      </c>
      <c r="I88" s="51">
        <v>208</v>
      </c>
      <c r="J88" s="51">
        <v>168</v>
      </c>
      <c r="K88" s="47">
        <f>I88/J88*100</f>
        <v>123.80952380952381</v>
      </c>
      <c r="L88" s="139">
        <v>0</v>
      </c>
      <c r="M88" s="51">
        <v>0</v>
      </c>
      <c r="N88" s="47" t="e">
        <f>L88/M88*100</f>
        <v>#DIV/0!</v>
      </c>
      <c r="O88" s="139">
        <v>2888</v>
      </c>
      <c r="P88" s="51">
        <v>113</v>
      </c>
      <c r="Q88" s="139">
        <v>2896</v>
      </c>
      <c r="R88" s="45">
        <f t="shared" ref="R88:R98" si="32">Q88*P88</f>
        <v>327248</v>
      </c>
    </row>
    <row r="89" spans="1:18" s="80" customFormat="1" x14ac:dyDescent="0.25">
      <c r="A89" s="79">
        <v>2</v>
      </c>
      <c r="B89" s="78" t="s">
        <v>72</v>
      </c>
      <c r="C89" s="51">
        <v>73361</v>
      </c>
      <c r="D89" s="51">
        <v>129406</v>
      </c>
      <c r="E89" s="47">
        <f>C89/D89*100</f>
        <v>56.690570761788486</v>
      </c>
      <c r="F89" s="51">
        <v>17984</v>
      </c>
      <c r="G89" s="51">
        <v>63489</v>
      </c>
      <c r="H89" s="47">
        <f t="shared" ref="H89:H98" si="33">F89/G89*100</f>
        <v>28.326166737545087</v>
      </c>
      <c r="I89" s="51">
        <v>123073</v>
      </c>
      <c r="J89" s="51">
        <v>95314</v>
      </c>
      <c r="K89" s="47">
        <f>I89/J89*100</f>
        <v>129.12373838051073</v>
      </c>
      <c r="L89" s="51">
        <v>122609</v>
      </c>
      <c r="M89" s="51">
        <v>95124</v>
      </c>
      <c r="N89" s="47">
        <f t="shared" ref="N89:N98" si="34">L89/M89*100</f>
        <v>128.89386485009041</v>
      </c>
      <c r="O89" s="139">
        <v>564</v>
      </c>
      <c r="P89" s="51">
        <v>82</v>
      </c>
      <c r="Q89" s="139">
        <v>549</v>
      </c>
      <c r="R89" s="45">
        <f t="shared" si="32"/>
        <v>45018</v>
      </c>
    </row>
    <row r="90" spans="1:18" x14ac:dyDescent="0.25">
      <c r="A90" s="77">
        <v>3</v>
      </c>
      <c r="B90" s="78" t="s">
        <v>73</v>
      </c>
      <c r="C90" s="51">
        <v>66995</v>
      </c>
      <c r="D90" s="51">
        <v>88702</v>
      </c>
      <c r="E90" s="47">
        <f>C90/D90*100</f>
        <v>75.528172983698227</v>
      </c>
      <c r="F90" s="51">
        <v>63761</v>
      </c>
      <c r="G90" s="51">
        <v>78673</v>
      </c>
      <c r="H90" s="47">
        <f t="shared" si="33"/>
        <v>81.045593786940884</v>
      </c>
      <c r="I90" s="51">
        <v>127468</v>
      </c>
      <c r="J90" s="51">
        <v>114856</v>
      </c>
      <c r="K90" s="47">
        <f>I90/J90*100</f>
        <v>110.98070627568433</v>
      </c>
      <c r="L90" s="51">
        <v>10918</v>
      </c>
      <c r="M90" s="51">
        <v>30439</v>
      </c>
      <c r="N90" s="47">
        <f t="shared" si="34"/>
        <v>35.868458227931271</v>
      </c>
      <c r="O90" s="139">
        <v>21</v>
      </c>
      <c r="P90" s="51">
        <v>176</v>
      </c>
      <c r="Q90" s="139">
        <v>21</v>
      </c>
      <c r="R90" s="45">
        <f t="shared" si="32"/>
        <v>3696</v>
      </c>
    </row>
    <row r="91" spans="1:18" x14ac:dyDescent="0.25">
      <c r="A91" s="79">
        <v>4</v>
      </c>
      <c r="B91" s="78" t="s">
        <v>74</v>
      </c>
      <c r="C91" s="51">
        <v>130763</v>
      </c>
      <c r="D91" s="51">
        <v>135341</v>
      </c>
      <c r="E91" s="47">
        <f t="shared" ref="E91:E98" si="35">C91/D91*100</f>
        <v>96.617433002563885</v>
      </c>
      <c r="F91" s="51">
        <v>69038</v>
      </c>
      <c r="G91" s="51">
        <v>46049</v>
      </c>
      <c r="H91" s="47">
        <f t="shared" si="33"/>
        <v>149.92290820647571</v>
      </c>
      <c r="I91" s="51">
        <v>122240</v>
      </c>
      <c r="J91" s="51">
        <v>111179</v>
      </c>
      <c r="K91" s="47">
        <f t="shared" ref="K91:K98" si="36">I91/J91*100</f>
        <v>109.94882127020391</v>
      </c>
      <c r="L91" s="139">
        <v>86122</v>
      </c>
      <c r="M91" s="51">
        <v>65594</v>
      </c>
      <c r="N91" s="47">
        <f t="shared" si="34"/>
        <v>131.29554532426747</v>
      </c>
      <c r="O91" s="139">
        <v>175</v>
      </c>
      <c r="P91" s="51">
        <v>35</v>
      </c>
      <c r="Q91" s="139">
        <v>175</v>
      </c>
      <c r="R91" s="45">
        <f t="shared" si="32"/>
        <v>6125</v>
      </c>
    </row>
    <row r="92" spans="1:18" x14ac:dyDescent="0.25">
      <c r="A92" s="77">
        <v>5</v>
      </c>
      <c r="B92" s="78" t="s">
        <v>75</v>
      </c>
      <c r="C92" s="62">
        <v>33141</v>
      </c>
      <c r="D92" s="62">
        <v>26069</v>
      </c>
      <c r="E92" s="47">
        <f t="shared" si="35"/>
        <v>127.12800644443591</v>
      </c>
      <c r="F92" s="62">
        <v>20374</v>
      </c>
      <c r="G92" s="62">
        <v>19986</v>
      </c>
      <c r="H92" s="47">
        <f t="shared" si="33"/>
        <v>101.94135895126588</v>
      </c>
      <c r="I92" s="62">
        <v>33645</v>
      </c>
      <c r="J92" s="62">
        <v>27595</v>
      </c>
      <c r="K92" s="47">
        <f t="shared" si="36"/>
        <v>121.92426164160175</v>
      </c>
      <c r="L92" s="139" t="s">
        <v>176</v>
      </c>
      <c r="M92" s="62" t="s">
        <v>176</v>
      </c>
      <c r="N92" s="47">
        <v>0</v>
      </c>
      <c r="O92" s="139">
        <v>90</v>
      </c>
      <c r="P92" s="62">
        <v>42</v>
      </c>
      <c r="Q92" s="139">
        <v>87</v>
      </c>
      <c r="R92" s="45">
        <f t="shared" si="32"/>
        <v>3654</v>
      </c>
    </row>
    <row r="93" spans="1:18" x14ac:dyDescent="0.25">
      <c r="A93" s="79">
        <v>6</v>
      </c>
      <c r="B93" s="78" t="s">
        <v>76</v>
      </c>
      <c r="C93" s="139">
        <v>0</v>
      </c>
      <c r="D93" s="139">
        <v>0</v>
      </c>
      <c r="E93" s="139">
        <v>0</v>
      </c>
      <c r="F93" s="139">
        <v>0</v>
      </c>
      <c r="G93" s="13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47">
        <v>0</v>
      </c>
      <c r="O93" s="139">
        <v>0</v>
      </c>
      <c r="P93" s="44">
        <v>0</v>
      </c>
      <c r="Q93" s="139">
        <v>0</v>
      </c>
      <c r="R93" s="45">
        <f t="shared" si="32"/>
        <v>0</v>
      </c>
    </row>
    <row r="94" spans="1:18" x14ac:dyDescent="0.25">
      <c r="A94" s="77">
        <v>7</v>
      </c>
      <c r="B94" s="78" t="s">
        <v>77</v>
      </c>
      <c r="C94" s="51">
        <v>0</v>
      </c>
      <c r="D94" s="62">
        <v>410</v>
      </c>
      <c r="E94" s="47">
        <v>0</v>
      </c>
      <c r="F94" s="51">
        <v>0</v>
      </c>
      <c r="G94" s="62">
        <v>410</v>
      </c>
      <c r="H94" s="47">
        <v>0</v>
      </c>
      <c r="I94" s="51">
        <v>0</v>
      </c>
      <c r="J94" s="62">
        <v>410</v>
      </c>
      <c r="K94" s="47">
        <v>0</v>
      </c>
      <c r="L94" s="139">
        <v>0</v>
      </c>
      <c r="M94" s="62">
        <v>0</v>
      </c>
      <c r="N94" s="47">
        <v>0</v>
      </c>
      <c r="O94" s="139">
        <v>9</v>
      </c>
      <c r="P94" s="51">
        <v>73</v>
      </c>
      <c r="Q94" s="139">
        <v>11</v>
      </c>
      <c r="R94" s="45">
        <f t="shared" si="32"/>
        <v>803</v>
      </c>
    </row>
    <row r="95" spans="1:18" x14ac:dyDescent="0.25">
      <c r="A95" s="79">
        <v>8</v>
      </c>
      <c r="B95" s="81" t="s">
        <v>78</v>
      </c>
      <c r="C95" s="51">
        <v>50155</v>
      </c>
      <c r="D95" s="51">
        <v>76650</v>
      </c>
      <c r="E95" s="47">
        <f t="shared" si="35"/>
        <v>65.433789954337897</v>
      </c>
      <c r="F95" s="51">
        <v>34792</v>
      </c>
      <c r="G95" s="51">
        <v>63121</v>
      </c>
      <c r="H95" s="47">
        <f t="shared" si="33"/>
        <v>55.119532326800901</v>
      </c>
      <c r="I95" s="51">
        <v>80521</v>
      </c>
      <c r="J95" s="51">
        <v>72613</v>
      </c>
      <c r="K95" s="47">
        <f t="shared" si="36"/>
        <v>110.89061187390688</v>
      </c>
      <c r="L95" s="139">
        <v>9928</v>
      </c>
      <c r="M95" s="51">
        <v>7873</v>
      </c>
      <c r="N95" s="47">
        <f t="shared" si="34"/>
        <v>126.10186714086117</v>
      </c>
      <c r="O95" s="139">
        <v>84</v>
      </c>
      <c r="P95" s="51">
        <v>85</v>
      </c>
      <c r="Q95" s="139">
        <v>84</v>
      </c>
      <c r="R95" s="45">
        <f t="shared" si="32"/>
        <v>7140</v>
      </c>
    </row>
    <row r="96" spans="1:18" x14ac:dyDescent="0.25">
      <c r="A96" s="77">
        <v>9</v>
      </c>
      <c r="B96" s="81" t="s">
        <v>79</v>
      </c>
      <c r="C96" s="51">
        <v>185467</v>
      </c>
      <c r="D96" s="51">
        <v>203918</v>
      </c>
      <c r="E96" s="47">
        <f t="shared" si="35"/>
        <v>90.951755117253015</v>
      </c>
      <c r="F96" s="51">
        <v>87133</v>
      </c>
      <c r="G96" s="51">
        <v>116288</v>
      </c>
      <c r="H96" s="47">
        <f t="shared" si="33"/>
        <v>74.928625481563017</v>
      </c>
      <c r="I96" s="51">
        <v>183269</v>
      </c>
      <c r="J96" s="51">
        <v>217177</v>
      </c>
      <c r="K96" s="47">
        <f t="shared" si="36"/>
        <v>84.386928634247639</v>
      </c>
      <c r="L96" s="139">
        <v>0</v>
      </c>
      <c r="M96" s="51">
        <v>0</v>
      </c>
      <c r="N96" s="47">
        <v>0</v>
      </c>
      <c r="O96" s="139">
        <v>127</v>
      </c>
      <c r="P96" s="51">
        <v>145</v>
      </c>
      <c r="Q96" s="139">
        <v>127</v>
      </c>
      <c r="R96" s="45">
        <f t="shared" si="32"/>
        <v>18415</v>
      </c>
    </row>
    <row r="97" spans="1:18" x14ac:dyDescent="0.25">
      <c r="A97" s="79">
        <v>10</v>
      </c>
      <c r="B97" s="78" t="s">
        <v>80</v>
      </c>
      <c r="C97" s="51">
        <v>169488</v>
      </c>
      <c r="D97" s="51">
        <v>171053</v>
      </c>
      <c r="E97" s="47">
        <f t="shared" si="35"/>
        <v>99.085078893676226</v>
      </c>
      <c r="F97" s="51">
        <v>105024</v>
      </c>
      <c r="G97" s="51">
        <v>113734</v>
      </c>
      <c r="H97" s="47">
        <f t="shared" si="33"/>
        <v>92.341779942673256</v>
      </c>
      <c r="I97" s="51">
        <v>149482</v>
      </c>
      <c r="J97" s="51">
        <v>117231</v>
      </c>
      <c r="K97" s="47">
        <f t="shared" si="36"/>
        <v>127.51064138325188</v>
      </c>
      <c r="L97" s="139">
        <f>2456+40247</f>
        <v>42703</v>
      </c>
      <c r="M97" s="51">
        <f>42981+20325</f>
        <v>63306</v>
      </c>
      <c r="N97" s="47">
        <f t="shared" si="34"/>
        <v>67.454901589106868</v>
      </c>
      <c r="O97" s="139">
        <v>100</v>
      </c>
      <c r="P97" s="51">
        <v>142</v>
      </c>
      <c r="Q97" s="139">
        <v>99</v>
      </c>
      <c r="R97" s="45">
        <f t="shared" si="32"/>
        <v>14058</v>
      </c>
    </row>
    <row r="98" spans="1:18" x14ac:dyDescent="0.25">
      <c r="A98" s="77">
        <v>11</v>
      </c>
      <c r="B98" s="78" t="s">
        <v>81</v>
      </c>
      <c r="C98" s="51">
        <v>42455</v>
      </c>
      <c r="D98" s="51">
        <v>24628</v>
      </c>
      <c r="E98" s="47">
        <f t="shared" si="35"/>
        <v>172.38509014130258</v>
      </c>
      <c r="F98" s="51">
        <v>25612</v>
      </c>
      <c r="G98" s="51">
        <v>10931</v>
      </c>
      <c r="H98" s="47">
        <f t="shared" si="33"/>
        <v>234.30610191199341</v>
      </c>
      <c r="I98" s="82">
        <v>25612</v>
      </c>
      <c r="J98" s="83">
        <v>10931</v>
      </c>
      <c r="K98" s="47">
        <f t="shared" si="36"/>
        <v>234.30610191199341</v>
      </c>
      <c r="L98" s="82">
        <v>9322</v>
      </c>
      <c r="M98" s="83">
        <v>17331</v>
      </c>
      <c r="N98" s="47">
        <f t="shared" si="34"/>
        <v>53.788009924412904</v>
      </c>
      <c r="O98" s="139">
        <v>51</v>
      </c>
      <c r="P98" s="51">
        <v>250</v>
      </c>
      <c r="Q98" s="139">
        <v>49</v>
      </c>
      <c r="R98" s="45">
        <f t="shared" si="32"/>
        <v>12250</v>
      </c>
    </row>
    <row r="99" spans="1:18" s="60" customFormat="1" x14ac:dyDescent="0.25">
      <c r="A99" s="315" t="s">
        <v>82</v>
      </c>
      <c r="B99" s="315" t="s">
        <v>83</v>
      </c>
      <c r="C99" s="58">
        <f>SUM(C88:C98)</f>
        <v>752033</v>
      </c>
      <c r="D99" s="58">
        <f>SUM(D88:D98)</f>
        <v>856345</v>
      </c>
      <c r="E99" s="57">
        <f>C99/D99*100</f>
        <v>87.818928118924035</v>
      </c>
      <c r="F99" s="58">
        <f>SUM(F88:F98)</f>
        <v>423888</v>
      </c>
      <c r="G99" s="58">
        <f>SUM(G88:G98)</f>
        <v>512849</v>
      </c>
      <c r="H99" s="57">
        <f>F99/G99*100</f>
        <v>82.653568594264598</v>
      </c>
      <c r="I99" s="58">
        <f>SUM(I88:I98)</f>
        <v>845518</v>
      </c>
      <c r="J99" s="58">
        <f>SUM(J88:J98)</f>
        <v>767474</v>
      </c>
      <c r="K99" s="57">
        <f>I99/J99*100</f>
        <v>110.16894383392793</v>
      </c>
      <c r="L99" s="58">
        <f>SUM(L88:L98)</f>
        <v>281602</v>
      </c>
      <c r="M99" s="58">
        <f>SUM(M88:M98)</f>
        <v>279667</v>
      </c>
      <c r="N99" s="57">
        <f>L99/M99*100</f>
        <v>100.69189428856463</v>
      </c>
      <c r="O99" s="56">
        <f>SUM(O88:O98)</f>
        <v>4109</v>
      </c>
      <c r="P99" s="57">
        <f>R99/O99</f>
        <v>106.69432952056461</v>
      </c>
      <c r="Q99" s="58">
        <f>SUM(Q88:Q98)</f>
        <v>4098</v>
      </c>
      <c r="R99" s="59">
        <f>SUM(R88:R98)</f>
        <v>438407</v>
      </c>
    </row>
    <row r="100" spans="1:18" x14ac:dyDescent="0.25">
      <c r="A100" s="139"/>
      <c r="B100" s="139"/>
      <c r="C100" s="139"/>
      <c r="D100" s="139"/>
      <c r="E100" s="139"/>
      <c r="F100" s="139"/>
      <c r="G100" s="139"/>
      <c r="H100" s="139"/>
      <c r="I100" s="139"/>
      <c r="J100" s="139"/>
      <c r="K100" s="34"/>
      <c r="L100" s="139"/>
      <c r="M100" s="139"/>
      <c r="N100" s="139"/>
      <c r="O100" s="139"/>
      <c r="P100" s="62"/>
      <c r="Q100" s="139"/>
      <c r="R100" s="39"/>
    </row>
    <row r="101" spans="1:18" x14ac:dyDescent="0.25">
      <c r="A101" s="316" t="s">
        <v>19</v>
      </c>
      <c r="B101" s="317"/>
      <c r="C101" s="37">
        <v>3</v>
      </c>
      <c r="D101" s="37">
        <v>4</v>
      </c>
      <c r="E101" s="136">
        <v>5</v>
      </c>
      <c r="F101" s="37">
        <v>6</v>
      </c>
      <c r="G101" s="37">
        <v>7</v>
      </c>
      <c r="H101" s="37">
        <v>8</v>
      </c>
      <c r="I101" s="37">
        <v>9</v>
      </c>
      <c r="J101" s="37">
        <v>10</v>
      </c>
      <c r="K101" s="37">
        <v>11</v>
      </c>
      <c r="L101" s="37">
        <v>12</v>
      </c>
      <c r="M101" s="37">
        <v>13</v>
      </c>
      <c r="N101" s="37">
        <v>14</v>
      </c>
      <c r="O101" s="37">
        <v>15</v>
      </c>
      <c r="P101" s="136">
        <v>16</v>
      </c>
      <c r="Q101" s="37">
        <v>17</v>
      </c>
      <c r="R101" s="39"/>
    </row>
    <row r="102" spans="1:18" x14ac:dyDescent="0.25">
      <c r="A102" s="85">
        <v>1</v>
      </c>
      <c r="B102" s="81" t="s">
        <v>84</v>
      </c>
      <c r="C102" s="139">
        <v>13356</v>
      </c>
      <c r="D102" s="139">
        <v>27329</v>
      </c>
      <c r="E102" s="47">
        <f t="shared" ref="E102" si="37">C102/D102*100</f>
        <v>48.871162501372169</v>
      </c>
      <c r="F102" s="139">
        <v>0</v>
      </c>
      <c r="G102" s="139">
        <v>10183</v>
      </c>
      <c r="H102" s="47">
        <v>0</v>
      </c>
      <c r="I102" s="139">
        <v>18550</v>
      </c>
      <c r="J102" s="139">
        <v>34912</v>
      </c>
      <c r="K102" s="47">
        <f t="shared" ref="K102" si="38">I102/J102*100</f>
        <v>53.13359303391384</v>
      </c>
      <c r="L102" s="139">
        <v>18505</v>
      </c>
      <c r="M102" s="139">
        <v>31362</v>
      </c>
      <c r="N102" s="47">
        <f t="shared" ref="N102" si="39">L102/M102*100</f>
        <v>59.00452777246349</v>
      </c>
      <c r="O102" s="129">
        <v>10</v>
      </c>
      <c r="P102" s="62">
        <v>83</v>
      </c>
      <c r="Q102" s="129">
        <v>100</v>
      </c>
      <c r="R102" s="45">
        <f t="shared" ref="R102:R126" si="40">Q102*P102</f>
        <v>8300</v>
      </c>
    </row>
    <row r="103" spans="1:18" x14ac:dyDescent="0.25">
      <c r="A103" s="85">
        <v>2</v>
      </c>
      <c r="B103" s="81" t="s">
        <v>85</v>
      </c>
      <c r="C103" s="140">
        <v>0</v>
      </c>
      <c r="D103" s="140">
        <v>0</v>
      </c>
      <c r="E103" s="140">
        <v>0</v>
      </c>
      <c r="F103" s="140">
        <v>0</v>
      </c>
      <c r="G103" s="140">
        <v>0</v>
      </c>
      <c r="H103" s="140">
        <v>0</v>
      </c>
      <c r="I103" s="140">
        <v>0</v>
      </c>
      <c r="J103" s="140">
        <v>0</v>
      </c>
      <c r="K103" s="140">
        <v>0</v>
      </c>
      <c r="L103" s="140">
        <v>0</v>
      </c>
      <c r="M103" s="140">
        <v>0</v>
      </c>
      <c r="N103" s="86">
        <v>0</v>
      </c>
      <c r="O103" s="140">
        <v>0</v>
      </c>
      <c r="P103" s="44">
        <v>0</v>
      </c>
      <c r="Q103" s="139">
        <v>0</v>
      </c>
      <c r="R103" s="45">
        <f t="shared" si="40"/>
        <v>0</v>
      </c>
    </row>
    <row r="104" spans="1:18" x14ac:dyDescent="0.25">
      <c r="A104" s="85">
        <v>3</v>
      </c>
      <c r="B104" s="78" t="s">
        <v>86</v>
      </c>
      <c r="C104" s="140">
        <v>0</v>
      </c>
      <c r="D104" s="140">
        <v>0</v>
      </c>
      <c r="E104" s="140">
        <v>0</v>
      </c>
      <c r="F104" s="140">
        <v>0</v>
      </c>
      <c r="G104" s="140">
        <v>0</v>
      </c>
      <c r="H104" s="140">
        <v>0</v>
      </c>
      <c r="I104" s="140">
        <v>0</v>
      </c>
      <c r="J104" s="140">
        <v>0</v>
      </c>
      <c r="K104" s="140">
        <v>0</v>
      </c>
      <c r="L104" s="140">
        <v>0</v>
      </c>
      <c r="M104" s="140">
        <v>0</v>
      </c>
      <c r="N104" s="86">
        <v>0</v>
      </c>
      <c r="O104" s="140">
        <v>0</v>
      </c>
      <c r="P104" s="44">
        <v>0</v>
      </c>
      <c r="Q104" s="139">
        <v>0</v>
      </c>
      <c r="R104" s="45">
        <f t="shared" si="40"/>
        <v>0</v>
      </c>
    </row>
    <row r="105" spans="1:18" x14ac:dyDescent="0.25">
      <c r="A105" s="85">
        <v>4</v>
      </c>
      <c r="B105" s="81" t="s">
        <v>87</v>
      </c>
      <c r="C105" s="86">
        <v>0</v>
      </c>
      <c r="D105" s="87">
        <v>14268</v>
      </c>
      <c r="E105" s="47">
        <f t="shared" ref="E105:E126" si="41">C105/D105*100</f>
        <v>0</v>
      </c>
      <c r="F105" s="86">
        <v>0</v>
      </c>
      <c r="G105" s="87">
        <v>3427</v>
      </c>
      <c r="H105" s="47">
        <f t="shared" ref="H105:H126" si="42">F105/G105*100</f>
        <v>0</v>
      </c>
      <c r="I105" s="86">
        <v>9664</v>
      </c>
      <c r="J105" s="86">
        <v>2189</v>
      </c>
      <c r="K105" s="47">
        <f t="shared" ref="K105:K126" si="43">I105/J105*100</f>
        <v>441.48012791228871</v>
      </c>
      <c r="L105" s="87">
        <v>0</v>
      </c>
      <c r="M105" s="87">
        <v>0</v>
      </c>
      <c r="N105" s="47">
        <v>0</v>
      </c>
      <c r="O105" s="129">
        <v>7</v>
      </c>
      <c r="P105" s="87">
        <v>68</v>
      </c>
      <c r="Q105" s="129">
        <v>7</v>
      </c>
      <c r="R105" s="45">
        <f t="shared" si="40"/>
        <v>476</v>
      </c>
    </row>
    <row r="106" spans="1:18" x14ac:dyDescent="0.25">
      <c r="A106" s="85">
        <v>5</v>
      </c>
      <c r="B106" s="81" t="s">
        <v>88</v>
      </c>
      <c r="C106" s="87">
        <v>64009</v>
      </c>
      <c r="D106" s="87">
        <v>50476</v>
      </c>
      <c r="E106" s="47">
        <f t="shared" si="41"/>
        <v>126.81076155004358</v>
      </c>
      <c r="F106" s="87">
        <v>40919</v>
      </c>
      <c r="G106" s="87">
        <v>29327</v>
      </c>
      <c r="H106" s="47">
        <f t="shared" si="42"/>
        <v>139.52671599549902</v>
      </c>
      <c r="I106" s="87">
        <v>55168</v>
      </c>
      <c r="J106" s="87">
        <v>46347</v>
      </c>
      <c r="K106" s="47">
        <f t="shared" si="43"/>
        <v>119.032515588927</v>
      </c>
      <c r="L106" s="87">
        <v>55168</v>
      </c>
      <c r="M106" s="87">
        <v>46347</v>
      </c>
      <c r="N106" s="47">
        <f t="shared" ref="N106:N114" si="44">L106/M106*100</f>
        <v>119.032515588927</v>
      </c>
      <c r="O106" s="129">
        <v>433</v>
      </c>
      <c r="P106" s="87">
        <v>52</v>
      </c>
      <c r="Q106" s="129">
        <v>468</v>
      </c>
      <c r="R106" s="45">
        <f t="shared" si="40"/>
        <v>24336</v>
      </c>
    </row>
    <row r="107" spans="1:18" x14ac:dyDescent="0.25">
      <c r="A107" s="85">
        <v>6</v>
      </c>
      <c r="B107" s="81" t="s">
        <v>89</v>
      </c>
      <c r="C107" s="140">
        <v>0</v>
      </c>
      <c r="D107" s="140">
        <v>0</v>
      </c>
      <c r="E107" s="140">
        <v>0</v>
      </c>
      <c r="F107" s="140">
        <v>0</v>
      </c>
      <c r="G107" s="140">
        <v>0</v>
      </c>
      <c r="H107" s="140">
        <v>0</v>
      </c>
      <c r="I107" s="140">
        <v>0</v>
      </c>
      <c r="J107" s="140">
        <v>0</v>
      </c>
      <c r="K107" s="140">
        <v>0</v>
      </c>
      <c r="L107" s="140">
        <v>0</v>
      </c>
      <c r="M107" s="140">
        <v>0</v>
      </c>
      <c r="N107" s="86">
        <v>0</v>
      </c>
      <c r="O107" s="140">
        <v>0</v>
      </c>
      <c r="P107" s="44">
        <v>0</v>
      </c>
      <c r="Q107" s="139">
        <v>0</v>
      </c>
      <c r="R107" s="45">
        <f t="shared" si="40"/>
        <v>0</v>
      </c>
    </row>
    <row r="108" spans="1:18" x14ac:dyDescent="0.25">
      <c r="A108" s="85">
        <v>7</v>
      </c>
      <c r="B108" s="78" t="s">
        <v>90</v>
      </c>
      <c r="C108" s="140">
        <v>0</v>
      </c>
      <c r="D108" s="140">
        <v>0</v>
      </c>
      <c r="E108" s="140">
        <v>0</v>
      </c>
      <c r="F108" s="140">
        <v>0</v>
      </c>
      <c r="G108" s="140">
        <v>0</v>
      </c>
      <c r="H108" s="140">
        <v>0</v>
      </c>
      <c r="I108" s="140">
        <v>0</v>
      </c>
      <c r="J108" s="140">
        <v>0</v>
      </c>
      <c r="K108" s="140">
        <v>0</v>
      </c>
      <c r="L108" s="140">
        <v>0</v>
      </c>
      <c r="M108" s="140">
        <v>0</v>
      </c>
      <c r="N108" s="86">
        <v>0</v>
      </c>
      <c r="O108" s="140">
        <v>0</v>
      </c>
      <c r="P108" s="44">
        <v>0</v>
      </c>
      <c r="Q108" s="139">
        <v>0</v>
      </c>
      <c r="R108" s="45">
        <f t="shared" si="40"/>
        <v>0</v>
      </c>
    </row>
    <row r="109" spans="1:18" x14ac:dyDescent="0.25">
      <c r="A109" s="85">
        <v>8</v>
      </c>
      <c r="B109" s="81" t="s">
        <v>91</v>
      </c>
      <c r="C109" s="87">
        <v>39305</v>
      </c>
      <c r="D109" s="87">
        <v>44129</v>
      </c>
      <c r="E109" s="47">
        <f t="shared" si="41"/>
        <v>89.068413061705456</v>
      </c>
      <c r="F109" s="87">
        <v>18869</v>
      </c>
      <c r="G109" s="87">
        <v>24006</v>
      </c>
      <c r="H109" s="47">
        <f t="shared" si="42"/>
        <v>78.601183037573946</v>
      </c>
      <c r="I109" s="87">
        <v>13948</v>
      </c>
      <c r="J109" s="86">
        <v>9062</v>
      </c>
      <c r="K109" s="47">
        <f t="shared" si="43"/>
        <v>153.91745751489739</v>
      </c>
      <c r="L109" s="87">
        <v>0</v>
      </c>
      <c r="M109" s="87">
        <v>0</v>
      </c>
      <c r="N109" s="47">
        <v>0</v>
      </c>
      <c r="O109" s="129">
        <v>139</v>
      </c>
      <c r="P109" s="87">
        <v>66</v>
      </c>
      <c r="Q109" s="129">
        <v>140</v>
      </c>
      <c r="R109" s="45">
        <f t="shared" si="40"/>
        <v>9240</v>
      </c>
    </row>
    <row r="110" spans="1:18" x14ac:dyDescent="0.25">
      <c r="A110" s="85">
        <v>9</v>
      </c>
      <c r="B110" s="81" t="s">
        <v>92</v>
      </c>
      <c r="C110" s="140">
        <v>0</v>
      </c>
      <c r="D110" s="140">
        <v>0</v>
      </c>
      <c r="E110" s="140">
        <v>0</v>
      </c>
      <c r="F110" s="140">
        <v>0</v>
      </c>
      <c r="G110" s="140">
        <v>0</v>
      </c>
      <c r="H110" s="140">
        <v>0</v>
      </c>
      <c r="I110" s="140">
        <v>0</v>
      </c>
      <c r="J110" s="140">
        <v>0</v>
      </c>
      <c r="K110" s="140">
        <v>0</v>
      </c>
      <c r="L110" s="140">
        <v>0</v>
      </c>
      <c r="M110" s="140">
        <v>0</v>
      </c>
      <c r="N110" s="86">
        <v>0</v>
      </c>
      <c r="O110" s="140">
        <v>0</v>
      </c>
      <c r="P110" s="44">
        <v>0</v>
      </c>
      <c r="Q110" s="139">
        <v>0</v>
      </c>
      <c r="R110" s="45">
        <f t="shared" si="40"/>
        <v>0</v>
      </c>
    </row>
    <row r="111" spans="1:18" x14ac:dyDescent="0.25">
      <c r="A111" s="85">
        <v>10</v>
      </c>
      <c r="B111" s="78" t="s">
        <v>93</v>
      </c>
      <c r="C111" s="87">
        <v>23009</v>
      </c>
      <c r="D111" s="87">
        <v>30184</v>
      </c>
      <c r="E111" s="47">
        <f t="shared" si="41"/>
        <v>76.229128014842303</v>
      </c>
      <c r="F111" s="87">
        <v>23009</v>
      </c>
      <c r="G111" s="87">
        <v>15417</v>
      </c>
      <c r="H111" s="47">
        <f t="shared" si="42"/>
        <v>149.24434066290459</v>
      </c>
      <c r="I111" s="87">
        <v>23009</v>
      </c>
      <c r="J111" s="87">
        <v>30184</v>
      </c>
      <c r="K111" s="47">
        <f t="shared" si="43"/>
        <v>76.229128014842303</v>
      </c>
      <c r="L111" s="87">
        <v>0</v>
      </c>
      <c r="M111" s="87">
        <v>0</v>
      </c>
      <c r="N111" s="47">
        <v>0</v>
      </c>
      <c r="O111" s="129">
        <v>22</v>
      </c>
      <c r="P111" s="87">
        <v>43</v>
      </c>
      <c r="Q111" s="129">
        <v>10</v>
      </c>
      <c r="R111" s="45">
        <f t="shared" si="40"/>
        <v>430</v>
      </c>
    </row>
    <row r="112" spans="1:18" x14ac:dyDescent="0.25">
      <c r="A112" s="85">
        <v>11</v>
      </c>
      <c r="B112" s="81" t="s">
        <v>94</v>
      </c>
      <c r="C112" s="140">
        <v>0</v>
      </c>
      <c r="D112" s="140">
        <v>0</v>
      </c>
      <c r="E112" s="140">
        <v>0</v>
      </c>
      <c r="F112" s="140">
        <v>0</v>
      </c>
      <c r="G112" s="140">
        <v>0</v>
      </c>
      <c r="H112" s="140">
        <v>0</v>
      </c>
      <c r="I112" s="140">
        <v>0</v>
      </c>
      <c r="J112" s="140">
        <v>0</v>
      </c>
      <c r="K112" s="140">
        <v>0</v>
      </c>
      <c r="L112" s="140">
        <v>0</v>
      </c>
      <c r="M112" s="140">
        <v>0</v>
      </c>
      <c r="N112" s="86">
        <v>0</v>
      </c>
      <c r="O112" s="140">
        <v>0</v>
      </c>
      <c r="P112" s="44">
        <v>0</v>
      </c>
      <c r="Q112" s="139">
        <v>0</v>
      </c>
      <c r="R112" s="45">
        <f t="shared" si="40"/>
        <v>0</v>
      </c>
    </row>
    <row r="113" spans="1:91" x14ac:dyDescent="0.25">
      <c r="A113" s="85">
        <v>12</v>
      </c>
      <c r="B113" s="81" t="s">
        <v>95</v>
      </c>
      <c r="C113" s="86">
        <v>4270</v>
      </c>
      <c r="D113" s="87">
        <v>0</v>
      </c>
      <c r="E113" s="47">
        <v>0</v>
      </c>
      <c r="F113" s="86">
        <v>4270</v>
      </c>
      <c r="G113" s="87">
        <v>0</v>
      </c>
      <c r="H113" s="47">
        <v>0</v>
      </c>
      <c r="I113" s="86">
        <v>0</v>
      </c>
      <c r="J113" s="86">
        <v>0</v>
      </c>
      <c r="K113" s="47">
        <v>0</v>
      </c>
      <c r="L113" s="87">
        <v>0</v>
      </c>
      <c r="M113" s="87">
        <v>0</v>
      </c>
      <c r="N113" s="47">
        <v>0</v>
      </c>
      <c r="O113" s="129">
        <v>12</v>
      </c>
      <c r="P113" s="87">
        <v>50</v>
      </c>
      <c r="Q113" s="129">
        <v>20</v>
      </c>
      <c r="R113" s="45">
        <f t="shared" si="40"/>
        <v>1000</v>
      </c>
    </row>
    <row r="114" spans="1:91" x14ac:dyDescent="0.25">
      <c r="A114" s="85">
        <v>13</v>
      </c>
      <c r="B114" s="81" t="s">
        <v>96</v>
      </c>
      <c r="C114" s="86">
        <v>23277</v>
      </c>
      <c r="D114" s="87">
        <v>15111</v>
      </c>
      <c r="E114" s="47">
        <f t="shared" si="41"/>
        <v>154.04010323605323</v>
      </c>
      <c r="F114" s="86">
        <v>16868</v>
      </c>
      <c r="G114" s="86">
        <v>11148</v>
      </c>
      <c r="H114" s="47">
        <f t="shared" si="42"/>
        <v>151.30965195550772</v>
      </c>
      <c r="I114" s="86">
        <v>26784</v>
      </c>
      <c r="J114" s="86">
        <v>9669</v>
      </c>
      <c r="K114" s="47">
        <f t="shared" si="43"/>
        <v>277.00899782811047</v>
      </c>
      <c r="L114" s="87">
        <v>25989</v>
      </c>
      <c r="M114" s="87">
        <v>8534</v>
      </c>
      <c r="N114" s="47">
        <f t="shared" si="44"/>
        <v>304.53480196859618</v>
      </c>
      <c r="O114" s="129">
        <v>225</v>
      </c>
      <c r="P114" s="87">
        <v>41</v>
      </c>
      <c r="Q114" s="129">
        <v>203</v>
      </c>
      <c r="R114" s="45">
        <f t="shared" si="40"/>
        <v>8323</v>
      </c>
    </row>
    <row r="115" spans="1:91" x14ac:dyDescent="0.25">
      <c r="A115" s="85">
        <v>14</v>
      </c>
      <c r="B115" s="81" t="s">
        <v>97</v>
      </c>
      <c r="C115" s="140">
        <v>0</v>
      </c>
      <c r="D115" s="140">
        <v>0</v>
      </c>
      <c r="E115" s="140">
        <v>0</v>
      </c>
      <c r="F115" s="140">
        <v>0</v>
      </c>
      <c r="G115" s="140">
        <v>0</v>
      </c>
      <c r="H115" s="140">
        <v>0</v>
      </c>
      <c r="I115" s="140">
        <v>0</v>
      </c>
      <c r="J115" s="140">
        <v>0</v>
      </c>
      <c r="K115" s="140">
        <v>0</v>
      </c>
      <c r="L115" s="140">
        <v>0</v>
      </c>
      <c r="M115" s="140">
        <v>0</v>
      </c>
      <c r="N115" s="86">
        <v>0</v>
      </c>
      <c r="O115" s="140">
        <v>0</v>
      </c>
      <c r="P115" s="44">
        <v>0</v>
      </c>
      <c r="Q115" s="139">
        <v>0</v>
      </c>
      <c r="R115" s="45">
        <f t="shared" si="40"/>
        <v>0</v>
      </c>
    </row>
    <row r="116" spans="1:91" x14ac:dyDescent="0.25">
      <c r="A116" s="85">
        <v>15</v>
      </c>
      <c r="B116" s="81" t="s">
        <v>98</v>
      </c>
      <c r="C116" s="140">
        <v>0</v>
      </c>
      <c r="D116" s="140">
        <v>0</v>
      </c>
      <c r="E116" s="140">
        <v>0</v>
      </c>
      <c r="F116" s="140">
        <v>0</v>
      </c>
      <c r="G116" s="140">
        <v>0</v>
      </c>
      <c r="H116" s="140">
        <v>0</v>
      </c>
      <c r="I116" s="140">
        <v>0</v>
      </c>
      <c r="J116" s="140">
        <v>0</v>
      </c>
      <c r="K116" s="140">
        <v>0</v>
      </c>
      <c r="L116" s="140">
        <v>0</v>
      </c>
      <c r="M116" s="140">
        <v>0</v>
      </c>
      <c r="N116" s="86">
        <v>0</v>
      </c>
      <c r="O116" s="140">
        <v>0</v>
      </c>
      <c r="P116" s="44">
        <v>0</v>
      </c>
      <c r="Q116" s="139">
        <v>0</v>
      </c>
      <c r="R116" s="45">
        <f t="shared" si="40"/>
        <v>0</v>
      </c>
    </row>
    <row r="117" spans="1:91" x14ac:dyDescent="0.25">
      <c r="A117" s="85">
        <v>16</v>
      </c>
      <c r="B117" s="81" t="s">
        <v>99</v>
      </c>
      <c r="C117" s="51">
        <v>9790</v>
      </c>
      <c r="D117" s="51">
        <v>29735</v>
      </c>
      <c r="E117" s="47">
        <f t="shared" si="41"/>
        <v>32.924163443753152</v>
      </c>
      <c r="F117" s="51">
        <v>9790</v>
      </c>
      <c r="G117" s="51">
        <v>7615</v>
      </c>
      <c r="H117" s="47">
        <f t="shared" si="42"/>
        <v>128.56204858831256</v>
      </c>
      <c r="I117" s="51">
        <v>2290</v>
      </c>
      <c r="J117" s="51">
        <v>29703</v>
      </c>
      <c r="K117" s="47">
        <f t="shared" ref="K117" si="45">I117/J117*100</f>
        <v>7.7096589570077088</v>
      </c>
      <c r="L117" s="51">
        <v>0</v>
      </c>
      <c r="M117" s="51">
        <v>0</v>
      </c>
      <c r="N117" s="47">
        <v>0</v>
      </c>
      <c r="O117" s="129">
        <v>25</v>
      </c>
      <c r="P117" s="44">
        <v>60</v>
      </c>
      <c r="Q117" s="129">
        <v>20</v>
      </c>
      <c r="R117" s="45">
        <f t="shared" si="40"/>
        <v>1200</v>
      </c>
    </row>
    <row r="118" spans="1:91" x14ac:dyDescent="0.25">
      <c r="A118" s="85">
        <v>17</v>
      </c>
      <c r="B118" s="81" t="s">
        <v>100</v>
      </c>
      <c r="C118" s="86">
        <v>83116</v>
      </c>
      <c r="D118" s="87">
        <v>39198</v>
      </c>
      <c r="E118" s="47">
        <f t="shared" si="41"/>
        <v>212.04143068523905</v>
      </c>
      <c r="F118" s="86">
        <v>41931</v>
      </c>
      <c r="G118" s="86">
        <v>23215</v>
      </c>
      <c r="H118" s="47">
        <f t="shared" si="42"/>
        <v>180.6202886065044</v>
      </c>
      <c r="I118" s="86">
        <v>21040</v>
      </c>
      <c r="J118" s="86">
        <v>14753</v>
      </c>
      <c r="K118" s="47">
        <f t="shared" si="43"/>
        <v>142.61506134345555</v>
      </c>
      <c r="L118" s="87">
        <v>0</v>
      </c>
      <c r="M118" s="87">
        <v>0</v>
      </c>
      <c r="N118" s="47">
        <v>0</v>
      </c>
      <c r="O118" s="129">
        <v>159</v>
      </c>
      <c r="P118" s="87">
        <v>50</v>
      </c>
      <c r="Q118" s="129">
        <v>158</v>
      </c>
      <c r="R118" s="45">
        <f t="shared" si="40"/>
        <v>7900</v>
      </c>
    </row>
    <row r="119" spans="1:91" x14ac:dyDescent="0.25">
      <c r="A119" s="85">
        <v>18</v>
      </c>
      <c r="B119" s="78" t="s">
        <v>101</v>
      </c>
      <c r="C119" s="51">
        <v>73403</v>
      </c>
      <c r="D119" s="51">
        <v>0</v>
      </c>
      <c r="E119" s="47">
        <v>0</v>
      </c>
      <c r="F119" s="51">
        <v>38332</v>
      </c>
      <c r="G119" s="51">
        <v>0</v>
      </c>
      <c r="H119" s="47">
        <v>0</v>
      </c>
      <c r="I119" s="51">
        <v>73403</v>
      </c>
      <c r="J119" s="51">
        <v>0</v>
      </c>
      <c r="K119" s="47">
        <v>0</v>
      </c>
      <c r="L119" s="51">
        <v>73403</v>
      </c>
      <c r="M119" s="51">
        <v>0</v>
      </c>
      <c r="N119" s="47">
        <v>0</v>
      </c>
      <c r="O119" s="129">
        <v>566</v>
      </c>
      <c r="P119" s="87">
        <v>65</v>
      </c>
      <c r="Q119" s="129">
        <v>531</v>
      </c>
      <c r="R119" s="45">
        <f t="shared" si="40"/>
        <v>34515</v>
      </c>
    </row>
    <row r="120" spans="1:91" x14ac:dyDescent="0.25">
      <c r="A120" s="85">
        <v>19</v>
      </c>
      <c r="B120" s="81" t="s">
        <v>102</v>
      </c>
      <c r="C120" s="140">
        <v>0</v>
      </c>
      <c r="D120" s="140">
        <v>0</v>
      </c>
      <c r="E120" s="140">
        <v>0</v>
      </c>
      <c r="F120" s="140">
        <v>0</v>
      </c>
      <c r="G120" s="140">
        <v>0</v>
      </c>
      <c r="H120" s="140">
        <v>0</v>
      </c>
      <c r="I120" s="140">
        <v>0</v>
      </c>
      <c r="J120" s="140">
        <v>0</v>
      </c>
      <c r="K120" s="140">
        <v>0</v>
      </c>
      <c r="L120" s="140">
        <v>0</v>
      </c>
      <c r="M120" s="140">
        <v>0</v>
      </c>
      <c r="N120" s="86">
        <v>0</v>
      </c>
      <c r="O120" s="140">
        <v>0</v>
      </c>
      <c r="P120" s="44">
        <v>0</v>
      </c>
      <c r="Q120" s="139">
        <v>0</v>
      </c>
      <c r="R120" s="45">
        <f t="shared" si="40"/>
        <v>0</v>
      </c>
    </row>
    <row r="121" spans="1:91" x14ac:dyDescent="0.25">
      <c r="A121" s="85">
        <v>20</v>
      </c>
      <c r="B121" s="81" t="s">
        <v>103</v>
      </c>
      <c r="C121" s="140">
        <v>0</v>
      </c>
      <c r="D121" s="140">
        <v>0</v>
      </c>
      <c r="E121" s="140">
        <v>0</v>
      </c>
      <c r="F121" s="140">
        <v>0</v>
      </c>
      <c r="G121" s="140">
        <v>0</v>
      </c>
      <c r="H121" s="140">
        <v>0</v>
      </c>
      <c r="I121" s="140">
        <v>0</v>
      </c>
      <c r="J121" s="140">
        <v>0</v>
      </c>
      <c r="K121" s="140">
        <v>0</v>
      </c>
      <c r="L121" s="140">
        <v>0</v>
      </c>
      <c r="M121" s="140">
        <v>0</v>
      </c>
      <c r="N121" s="86">
        <v>0</v>
      </c>
      <c r="O121" s="140">
        <v>0</v>
      </c>
      <c r="P121" s="44">
        <v>0</v>
      </c>
      <c r="Q121" s="139">
        <v>0</v>
      </c>
      <c r="R121" s="45">
        <f t="shared" si="40"/>
        <v>0</v>
      </c>
    </row>
    <row r="122" spans="1:91" x14ac:dyDescent="0.25">
      <c r="A122" s="85">
        <v>21</v>
      </c>
      <c r="B122" s="81" t="s">
        <v>104</v>
      </c>
      <c r="C122" s="87">
        <v>4337</v>
      </c>
      <c r="D122" s="87">
        <v>16827</v>
      </c>
      <c r="E122" s="47">
        <f t="shared" si="41"/>
        <v>25.774053604326379</v>
      </c>
      <c r="F122" s="87">
        <v>2612</v>
      </c>
      <c r="G122" s="87">
        <v>9309</v>
      </c>
      <c r="H122" s="47">
        <f t="shared" ref="H122:H123" si="46">F122/G122*100</f>
        <v>28.058867762380491</v>
      </c>
      <c r="I122" s="87">
        <v>4337</v>
      </c>
      <c r="J122" s="87">
        <v>16827</v>
      </c>
      <c r="K122" s="47">
        <f t="shared" ref="K122" si="47">I122/J122*100</f>
        <v>25.774053604326379</v>
      </c>
      <c r="L122" s="87">
        <v>4337</v>
      </c>
      <c r="M122" s="87">
        <v>16827</v>
      </c>
      <c r="N122" s="47">
        <f t="shared" ref="N122" si="48">L122/M122*100</f>
        <v>25.774053604326379</v>
      </c>
      <c r="O122" s="129">
        <v>12</v>
      </c>
      <c r="P122" s="87">
        <v>37</v>
      </c>
      <c r="Q122" s="129">
        <v>14</v>
      </c>
      <c r="R122" s="45">
        <f t="shared" si="40"/>
        <v>518</v>
      </c>
    </row>
    <row r="123" spans="1:91" x14ac:dyDescent="0.25">
      <c r="A123" s="85">
        <v>22</v>
      </c>
      <c r="B123" s="78" t="s">
        <v>105</v>
      </c>
      <c r="C123" s="86">
        <v>1750</v>
      </c>
      <c r="D123" s="86">
        <v>2080</v>
      </c>
      <c r="E123" s="47">
        <f t="shared" si="41"/>
        <v>84.134615384615387</v>
      </c>
      <c r="F123" s="86">
        <v>1750</v>
      </c>
      <c r="G123" s="86">
        <v>2080</v>
      </c>
      <c r="H123" s="47">
        <f t="shared" si="46"/>
        <v>84.134615384615387</v>
      </c>
      <c r="I123" s="86">
        <v>3741</v>
      </c>
      <c r="J123" s="86">
        <v>5241</v>
      </c>
      <c r="K123" s="47">
        <f t="shared" si="43"/>
        <v>71.379507727532911</v>
      </c>
      <c r="L123" s="87">
        <v>0</v>
      </c>
      <c r="M123" s="86">
        <v>0</v>
      </c>
      <c r="N123" s="47">
        <v>0</v>
      </c>
      <c r="O123" s="129">
        <v>15</v>
      </c>
      <c r="P123" s="87">
        <v>63</v>
      </c>
      <c r="Q123" s="129">
        <v>15</v>
      </c>
      <c r="R123" s="45">
        <f t="shared" si="40"/>
        <v>945</v>
      </c>
    </row>
    <row r="124" spans="1:91" x14ac:dyDescent="0.25">
      <c r="A124" s="85">
        <v>23</v>
      </c>
      <c r="B124" s="78" t="s">
        <v>106</v>
      </c>
      <c r="C124" s="86">
        <v>13360</v>
      </c>
      <c r="D124" s="87">
        <v>13810</v>
      </c>
      <c r="E124" s="47">
        <f t="shared" si="41"/>
        <v>96.741491672700946</v>
      </c>
      <c r="F124" s="86">
        <v>6324</v>
      </c>
      <c r="G124" s="86">
        <v>11566</v>
      </c>
      <c r="H124" s="47">
        <f t="shared" si="42"/>
        <v>54.677503026111019</v>
      </c>
      <c r="I124" s="86">
        <v>14011</v>
      </c>
      <c r="J124" s="86">
        <v>15391</v>
      </c>
      <c r="K124" s="47">
        <f t="shared" si="43"/>
        <v>91.033721005782596</v>
      </c>
      <c r="L124" s="87">
        <v>0</v>
      </c>
      <c r="M124" s="87">
        <v>0</v>
      </c>
      <c r="N124" s="47">
        <v>0</v>
      </c>
      <c r="O124" s="129">
        <v>44</v>
      </c>
      <c r="P124" s="87">
        <v>45</v>
      </c>
      <c r="Q124" s="129">
        <v>44</v>
      </c>
      <c r="R124" s="45">
        <f t="shared" si="40"/>
        <v>1980</v>
      </c>
    </row>
    <row r="125" spans="1:91" x14ac:dyDescent="0.25">
      <c r="A125" s="85">
        <v>24</v>
      </c>
      <c r="B125" s="81" t="s">
        <v>107</v>
      </c>
      <c r="C125" s="87">
        <v>6172</v>
      </c>
      <c r="D125" s="87">
        <v>2342</v>
      </c>
      <c r="E125" s="47">
        <f t="shared" si="41"/>
        <v>263.53543979504701</v>
      </c>
      <c r="F125" s="87">
        <v>3641</v>
      </c>
      <c r="G125" s="86">
        <v>916</v>
      </c>
      <c r="H125" s="47">
        <f t="shared" si="42"/>
        <v>397.48908296943233</v>
      </c>
      <c r="I125" s="87">
        <v>12628</v>
      </c>
      <c r="J125" s="87">
        <v>25744</v>
      </c>
      <c r="K125" s="47">
        <f t="shared" si="43"/>
        <v>49.052206339341204</v>
      </c>
      <c r="L125" s="88">
        <v>0</v>
      </c>
      <c r="M125" s="87">
        <v>0</v>
      </c>
      <c r="N125" s="47">
        <v>0</v>
      </c>
      <c r="O125" s="129">
        <v>52</v>
      </c>
      <c r="P125" s="87">
        <v>55</v>
      </c>
      <c r="Q125" s="129">
        <v>49</v>
      </c>
      <c r="R125" s="45">
        <f t="shared" si="40"/>
        <v>2695</v>
      </c>
    </row>
    <row r="126" spans="1:91" x14ac:dyDescent="0.25">
      <c r="A126" s="85">
        <v>25</v>
      </c>
      <c r="B126" s="81" t="s">
        <v>108</v>
      </c>
      <c r="C126" s="87">
        <v>3223</v>
      </c>
      <c r="D126" s="87">
        <v>1013</v>
      </c>
      <c r="E126" s="47">
        <f t="shared" si="41"/>
        <v>318.16386969397826</v>
      </c>
      <c r="F126" s="87">
        <v>1939</v>
      </c>
      <c r="G126" s="87">
        <v>964</v>
      </c>
      <c r="H126" s="47">
        <f t="shared" si="42"/>
        <v>201.14107883817428</v>
      </c>
      <c r="I126" s="87">
        <v>3223</v>
      </c>
      <c r="J126" s="87">
        <v>1013</v>
      </c>
      <c r="K126" s="47">
        <f t="shared" si="43"/>
        <v>318.16386969397826</v>
      </c>
      <c r="L126" s="87">
        <v>0</v>
      </c>
      <c r="M126" s="87">
        <v>0</v>
      </c>
      <c r="N126" s="47">
        <v>0</v>
      </c>
      <c r="O126" s="129">
        <v>14</v>
      </c>
      <c r="P126" s="87">
        <v>35</v>
      </c>
      <c r="Q126" s="129">
        <v>21</v>
      </c>
      <c r="R126" s="45">
        <f t="shared" si="40"/>
        <v>735</v>
      </c>
    </row>
    <row r="127" spans="1:91" s="60" customFormat="1" x14ac:dyDescent="0.25">
      <c r="A127" s="315" t="s">
        <v>109</v>
      </c>
      <c r="B127" s="315" t="s">
        <v>109</v>
      </c>
      <c r="C127" s="56">
        <f>SUM(C102:C126)</f>
        <v>362377</v>
      </c>
      <c r="D127" s="56">
        <f>SUM(D102:D126)</f>
        <v>286502</v>
      </c>
      <c r="E127" s="57">
        <f>C127/D127*100</f>
        <v>126.48323571912239</v>
      </c>
      <c r="F127" s="56">
        <f>SUM(F102:F126)</f>
        <v>210254</v>
      </c>
      <c r="G127" s="56">
        <f>SUM(G102:G126)</f>
        <v>149173</v>
      </c>
      <c r="H127" s="57">
        <f>F127/G127*100</f>
        <v>140.94641791745156</v>
      </c>
      <c r="I127" s="56">
        <f>SUM(I102:I126)</f>
        <v>281796</v>
      </c>
      <c r="J127" s="56">
        <f>SUM(J102:J126)</f>
        <v>241035</v>
      </c>
      <c r="K127" s="57">
        <f>I127/J127*100</f>
        <v>116.91082207978094</v>
      </c>
      <c r="L127" s="56">
        <f>SUM(L102:L126)</f>
        <v>177402</v>
      </c>
      <c r="M127" s="56">
        <f>SUM(M102:M126)</f>
        <v>103070</v>
      </c>
      <c r="N127" s="57">
        <f>L127/M127*100</f>
        <v>172.11797807315418</v>
      </c>
      <c r="O127" s="56">
        <f>SUM(O102:O126)</f>
        <v>1735</v>
      </c>
      <c r="P127" s="57">
        <f>R127/O127</f>
        <v>59.131412103746399</v>
      </c>
      <c r="Q127" s="58">
        <f>SUM(Q102:Q126)</f>
        <v>1800</v>
      </c>
      <c r="R127" s="59">
        <f>SUM(R102:R126)</f>
        <v>102593</v>
      </c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x14ac:dyDescent="0.25">
      <c r="A128" s="85"/>
      <c r="B128" s="81"/>
      <c r="C128" s="139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86"/>
      <c r="O128" s="139"/>
      <c r="P128" s="44"/>
      <c r="Q128" s="139"/>
      <c r="R128" s="45"/>
    </row>
    <row r="129" spans="1:91" x14ac:dyDescent="0.25">
      <c r="A129" s="350" t="s">
        <v>177</v>
      </c>
      <c r="B129" s="350"/>
      <c r="C129" s="37">
        <v>3</v>
      </c>
      <c r="D129" s="37">
        <v>4</v>
      </c>
      <c r="E129" s="136">
        <v>5</v>
      </c>
      <c r="F129" s="37">
        <v>6</v>
      </c>
      <c r="G129" s="37">
        <v>7</v>
      </c>
      <c r="H129" s="37">
        <v>8</v>
      </c>
      <c r="I129" s="37">
        <v>9</v>
      </c>
      <c r="J129" s="37">
        <v>10</v>
      </c>
      <c r="K129" s="37">
        <v>11</v>
      </c>
      <c r="L129" s="37">
        <v>12</v>
      </c>
      <c r="M129" s="37">
        <v>13</v>
      </c>
      <c r="N129" s="37">
        <v>14</v>
      </c>
      <c r="O129" s="37">
        <v>15</v>
      </c>
      <c r="P129" s="136">
        <v>16</v>
      </c>
      <c r="Q129" s="37">
        <v>17</v>
      </c>
      <c r="R129" s="45"/>
    </row>
    <row r="130" spans="1:91" x14ac:dyDescent="0.25">
      <c r="A130" s="139">
        <v>1</v>
      </c>
      <c r="B130" s="146" t="s">
        <v>191</v>
      </c>
      <c r="C130" s="139">
        <v>138683</v>
      </c>
      <c r="D130" s="139">
        <v>0</v>
      </c>
      <c r="E130" s="47">
        <v>0</v>
      </c>
      <c r="F130" s="139">
        <v>78112</v>
      </c>
      <c r="G130" s="139">
        <v>0</v>
      </c>
      <c r="H130" s="47" t="e">
        <f>F130/G130*100</f>
        <v>#DIV/0!</v>
      </c>
      <c r="I130" s="139">
        <v>141576</v>
      </c>
      <c r="J130" s="139">
        <v>0</v>
      </c>
      <c r="K130" s="47" t="e">
        <f>I130/J130*100</f>
        <v>#DIV/0!</v>
      </c>
      <c r="L130" s="139">
        <f>60823+15287</f>
        <v>76110</v>
      </c>
      <c r="M130" s="139">
        <v>0</v>
      </c>
      <c r="N130" s="47" t="e">
        <f>L130/M130*100</f>
        <v>#DIV/0!</v>
      </c>
      <c r="O130" s="139">
        <v>404</v>
      </c>
      <c r="P130" s="139">
        <v>71</v>
      </c>
      <c r="Q130" s="139">
        <v>400</v>
      </c>
      <c r="R130" s="45"/>
    </row>
    <row r="131" spans="1:91" x14ac:dyDescent="0.25">
      <c r="A131" s="139">
        <v>2</v>
      </c>
      <c r="B131" s="146" t="s">
        <v>192</v>
      </c>
      <c r="C131" s="139">
        <v>73855</v>
      </c>
      <c r="D131" s="139">
        <v>0</v>
      </c>
      <c r="E131" s="47">
        <v>0</v>
      </c>
      <c r="F131" s="139">
        <v>52411</v>
      </c>
      <c r="G131" s="139">
        <v>0</v>
      </c>
      <c r="H131" s="47" t="e">
        <f>F131/G131*100</f>
        <v>#DIV/0!</v>
      </c>
      <c r="I131" s="139">
        <v>127553</v>
      </c>
      <c r="J131" s="139">
        <v>0</v>
      </c>
      <c r="K131" s="47" t="e">
        <f>I131/J131*100</f>
        <v>#DIV/0!</v>
      </c>
      <c r="L131" s="139">
        <v>0</v>
      </c>
      <c r="M131" s="139">
        <v>0</v>
      </c>
      <c r="N131" s="47" t="e">
        <f>L131/M131*100</f>
        <v>#DIV/0!</v>
      </c>
      <c r="O131" s="139">
        <v>136</v>
      </c>
      <c r="P131" s="139">
        <v>85</v>
      </c>
      <c r="Q131" s="139">
        <v>136</v>
      </c>
      <c r="R131" s="45"/>
    </row>
    <row r="132" spans="1:91" x14ac:dyDescent="0.25">
      <c r="A132" s="139">
        <v>3</v>
      </c>
      <c r="B132" s="146" t="s">
        <v>193</v>
      </c>
      <c r="C132" s="139">
        <v>349083</v>
      </c>
      <c r="D132" s="139">
        <v>210871</v>
      </c>
      <c r="E132" s="47">
        <f>C132/D132*100</f>
        <v>165.54338908621858</v>
      </c>
      <c r="F132" s="139">
        <v>204795</v>
      </c>
      <c r="G132" s="139">
        <v>150367</v>
      </c>
      <c r="H132" s="47">
        <f>F132/G132*100</f>
        <v>136.19677189808934</v>
      </c>
      <c r="I132" s="139">
        <v>270923</v>
      </c>
      <c r="J132" s="139">
        <v>205769</v>
      </c>
      <c r="K132" s="47">
        <f>I132/J132*100</f>
        <v>131.6636616788729</v>
      </c>
      <c r="L132" s="139">
        <v>0</v>
      </c>
      <c r="M132" s="139">
        <v>0</v>
      </c>
      <c r="N132" s="47" t="e">
        <f>L132/M132*100</f>
        <v>#DIV/0!</v>
      </c>
      <c r="O132" s="139">
        <v>71</v>
      </c>
      <c r="P132" s="139">
        <v>100</v>
      </c>
      <c r="Q132" s="139">
        <v>71</v>
      </c>
      <c r="R132" s="45"/>
    </row>
    <row r="133" spans="1:91" x14ac:dyDescent="0.25">
      <c r="A133" s="315" t="s">
        <v>190</v>
      </c>
      <c r="B133" s="315" t="s">
        <v>109</v>
      </c>
      <c r="C133" s="56">
        <f>SUM(C130:C132)</f>
        <v>561621</v>
      </c>
      <c r="D133" s="56">
        <f>SUM(D130:D132)</f>
        <v>210871</v>
      </c>
      <c r="E133" s="57">
        <f>C133/D133*100</f>
        <v>266.33391978982411</v>
      </c>
      <c r="F133" s="56">
        <f>SUM(F129:F132)</f>
        <v>335324</v>
      </c>
      <c r="G133" s="56">
        <f>SUM(G130:G132)</f>
        <v>150367</v>
      </c>
      <c r="H133" s="57">
        <f>F133/G133*100</f>
        <v>223.00371757100962</v>
      </c>
      <c r="I133" s="56">
        <f>SUM(I130:I132)</f>
        <v>540052</v>
      </c>
      <c r="J133" s="56">
        <f>SUM(J130:J132)</f>
        <v>205769</v>
      </c>
      <c r="K133" s="57">
        <f>I133/J133*100</f>
        <v>262.45547191267877</v>
      </c>
      <c r="L133" s="56">
        <f>SUM(L130:L132)</f>
        <v>76110</v>
      </c>
      <c r="M133" s="56">
        <f>SUM(M130:M132)</f>
        <v>0</v>
      </c>
      <c r="N133" s="57" t="e">
        <f>L133/M133*100</f>
        <v>#DIV/0!</v>
      </c>
      <c r="O133" s="56">
        <f>SUM(O130:O132)</f>
        <v>611</v>
      </c>
      <c r="P133" s="57">
        <f>Փետրվար!R133/O133</f>
        <v>281.62684124386254</v>
      </c>
      <c r="Q133" s="58">
        <f>SUM(Q130:Q132)</f>
        <v>607</v>
      </c>
      <c r="R133" s="45">
        <f>SUM(R108:R132)</f>
        <v>172074</v>
      </c>
    </row>
    <row r="134" spans="1:91" s="145" customFormat="1" x14ac:dyDescent="0.25">
      <c r="A134" s="117"/>
      <c r="B134" s="117"/>
      <c r="C134" s="103"/>
      <c r="D134" s="103"/>
      <c r="E134" s="142"/>
      <c r="F134" s="103"/>
      <c r="G134" s="103"/>
      <c r="H134" s="142"/>
      <c r="I134" s="103"/>
      <c r="J134" s="103"/>
      <c r="K134" s="142"/>
      <c r="L134" s="103"/>
      <c r="M134" s="103"/>
      <c r="N134" s="142"/>
      <c r="O134" s="103"/>
      <c r="P134" s="142"/>
      <c r="Q134" s="143"/>
      <c r="R134" s="14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x14ac:dyDescent="0.25">
      <c r="A135" s="37"/>
      <c r="B135" s="37" t="s">
        <v>20</v>
      </c>
      <c r="C135" s="37">
        <v>3</v>
      </c>
      <c r="D135" s="37">
        <v>4</v>
      </c>
      <c r="E135" s="136">
        <v>5</v>
      </c>
      <c r="F135" s="37">
        <v>6</v>
      </c>
      <c r="G135" s="37">
        <v>7</v>
      </c>
      <c r="H135" s="37">
        <v>8</v>
      </c>
      <c r="I135" s="37">
        <v>9</v>
      </c>
      <c r="J135" s="37">
        <v>10</v>
      </c>
      <c r="K135" s="37">
        <v>11</v>
      </c>
      <c r="L135" s="37">
        <v>12</v>
      </c>
      <c r="M135" s="37">
        <v>13</v>
      </c>
      <c r="N135" s="37">
        <v>14</v>
      </c>
      <c r="O135" s="37">
        <v>15</v>
      </c>
      <c r="P135" s="136">
        <v>16</v>
      </c>
      <c r="Q135" s="37">
        <v>17</v>
      </c>
      <c r="R135" s="39"/>
    </row>
    <row r="136" spans="1:91" x14ac:dyDescent="0.25">
      <c r="A136" s="50">
        <v>1</v>
      </c>
      <c r="B136" s="89" t="s">
        <v>110</v>
      </c>
      <c r="C136" s="90">
        <v>2161</v>
      </c>
      <c r="D136" s="91">
        <v>0</v>
      </c>
      <c r="E136" s="47">
        <v>0</v>
      </c>
      <c r="F136" s="90">
        <v>1827</v>
      </c>
      <c r="G136" s="51">
        <v>0</v>
      </c>
      <c r="H136" s="47">
        <v>0</v>
      </c>
      <c r="I136" s="51">
        <v>2161</v>
      </c>
      <c r="J136" s="91">
        <v>0</v>
      </c>
      <c r="K136" s="47">
        <v>0</v>
      </c>
      <c r="L136" s="90">
        <v>0</v>
      </c>
      <c r="M136" s="91">
        <v>0</v>
      </c>
      <c r="N136" s="47">
        <v>0</v>
      </c>
      <c r="O136" s="139">
        <v>27</v>
      </c>
      <c r="P136" s="92">
        <v>75</v>
      </c>
      <c r="Q136" s="139">
        <v>27</v>
      </c>
      <c r="R136" s="45">
        <f t="shared" ref="R136:R142" si="49">Q136*P136</f>
        <v>2025</v>
      </c>
    </row>
    <row r="137" spans="1:91" x14ac:dyDescent="0.25">
      <c r="A137" s="50">
        <v>2</v>
      </c>
      <c r="B137" s="89" t="s">
        <v>167</v>
      </c>
      <c r="C137" s="139">
        <v>52237</v>
      </c>
      <c r="D137" s="139">
        <v>10738</v>
      </c>
      <c r="E137" s="47">
        <f t="shared" ref="E137" si="50">C137/D137*100</f>
        <v>486.46861612963306</v>
      </c>
      <c r="F137" s="139">
        <v>39023</v>
      </c>
      <c r="G137" s="139">
        <v>7184</v>
      </c>
      <c r="H137" s="47">
        <f t="shared" ref="H137" si="51">F137/G137*100</f>
        <v>543.19320712694878</v>
      </c>
      <c r="I137" s="139">
        <v>53955</v>
      </c>
      <c r="J137" s="139">
        <v>11025</v>
      </c>
      <c r="K137" s="47">
        <f t="shared" ref="K137:K142" si="52">I137/J137*100</f>
        <v>489.38775510204079</v>
      </c>
      <c r="L137" s="139">
        <v>0</v>
      </c>
      <c r="M137" s="139">
        <v>0</v>
      </c>
      <c r="N137" s="47">
        <v>0</v>
      </c>
      <c r="O137" s="139">
        <v>83</v>
      </c>
      <c r="P137" s="44">
        <v>80</v>
      </c>
      <c r="Q137" s="139">
        <v>82</v>
      </c>
      <c r="R137" s="45">
        <f t="shared" si="49"/>
        <v>6560</v>
      </c>
    </row>
    <row r="138" spans="1:91" x14ac:dyDescent="0.25">
      <c r="A138" s="50">
        <v>3</v>
      </c>
      <c r="B138" s="89" t="s">
        <v>166</v>
      </c>
      <c r="C138" s="139">
        <v>0</v>
      </c>
      <c r="D138" s="139">
        <v>0</v>
      </c>
      <c r="E138" s="139">
        <v>0</v>
      </c>
      <c r="F138" s="139">
        <v>0</v>
      </c>
      <c r="G138" s="139">
        <v>0</v>
      </c>
      <c r="H138" s="139">
        <v>0</v>
      </c>
      <c r="I138" s="139">
        <v>0</v>
      </c>
      <c r="J138" s="139">
        <v>0</v>
      </c>
      <c r="K138" s="139">
        <v>0</v>
      </c>
      <c r="L138" s="139">
        <v>0</v>
      </c>
      <c r="M138" s="139">
        <v>0</v>
      </c>
      <c r="N138" s="86">
        <v>0</v>
      </c>
      <c r="O138" s="139">
        <v>0</v>
      </c>
      <c r="P138" s="44">
        <v>0</v>
      </c>
      <c r="Q138" s="139">
        <v>0</v>
      </c>
      <c r="R138" s="45">
        <f t="shared" si="49"/>
        <v>0</v>
      </c>
    </row>
    <row r="139" spans="1:91" x14ac:dyDescent="0.25">
      <c r="A139" s="50">
        <v>4</v>
      </c>
      <c r="B139" s="89" t="s">
        <v>111</v>
      </c>
      <c r="C139" s="139">
        <v>0</v>
      </c>
      <c r="D139" s="139">
        <v>0</v>
      </c>
      <c r="E139" s="139">
        <v>0</v>
      </c>
      <c r="F139" s="139">
        <v>0</v>
      </c>
      <c r="G139" s="139">
        <v>0</v>
      </c>
      <c r="H139" s="139">
        <v>0</v>
      </c>
      <c r="I139" s="139">
        <v>0</v>
      </c>
      <c r="J139" s="139">
        <v>0</v>
      </c>
      <c r="K139" s="139">
        <v>0</v>
      </c>
      <c r="L139" s="139">
        <v>0</v>
      </c>
      <c r="M139" s="139">
        <v>0</v>
      </c>
      <c r="N139" s="86">
        <v>0</v>
      </c>
      <c r="O139" s="139">
        <v>0</v>
      </c>
      <c r="P139" s="44">
        <v>0</v>
      </c>
      <c r="Q139" s="139">
        <v>0</v>
      </c>
      <c r="R139" s="45">
        <f t="shared" si="49"/>
        <v>0</v>
      </c>
    </row>
    <row r="140" spans="1:91" x14ac:dyDescent="0.25">
      <c r="A140" s="50">
        <v>5</v>
      </c>
      <c r="B140" s="93" t="s">
        <v>112</v>
      </c>
      <c r="C140" s="86">
        <v>0</v>
      </c>
      <c r="D140" s="86">
        <v>181</v>
      </c>
      <c r="E140" s="94">
        <v>0</v>
      </c>
      <c r="F140" s="86">
        <v>0</v>
      </c>
      <c r="G140" s="86">
        <v>181</v>
      </c>
      <c r="H140" s="47">
        <v>0</v>
      </c>
      <c r="I140" s="86">
        <v>812</v>
      </c>
      <c r="J140" s="86">
        <v>1023</v>
      </c>
      <c r="K140" s="94">
        <f t="shared" si="52"/>
        <v>79.374389051808407</v>
      </c>
      <c r="L140" s="86">
        <v>0</v>
      </c>
      <c r="M140" s="86">
        <v>0</v>
      </c>
      <c r="N140" s="86">
        <v>0</v>
      </c>
      <c r="O140" s="139">
        <v>7</v>
      </c>
      <c r="P140" s="92">
        <v>45</v>
      </c>
      <c r="Q140" s="139">
        <v>8</v>
      </c>
      <c r="R140" s="45">
        <f t="shared" si="49"/>
        <v>360</v>
      </c>
    </row>
    <row r="141" spans="1:91" s="66" customFormat="1" x14ac:dyDescent="0.25">
      <c r="A141" s="50">
        <v>6</v>
      </c>
      <c r="B141" s="93" t="s">
        <v>113</v>
      </c>
      <c r="C141" s="86">
        <v>0</v>
      </c>
      <c r="D141" s="86">
        <v>0</v>
      </c>
      <c r="E141" s="94">
        <v>0</v>
      </c>
      <c r="F141" s="86">
        <v>0</v>
      </c>
      <c r="G141" s="86">
        <v>0</v>
      </c>
      <c r="H141" s="47">
        <v>0</v>
      </c>
      <c r="I141" s="95">
        <v>0</v>
      </c>
      <c r="J141" s="86">
        <v>0</v>
      </c>
      <c r="K141" s="94">
        <v>0</v>
      </c>
      <c r="L141" s="86">
        <v>0</v>
      </c>
      <c r="M141" s="86">
        <v>0</v>
      </c>
      <c r="N141" s="86">
        <v>0</v>
      </c>
      <c r="O141" s="139">
        <v>4</v>
      </c>
      <c r="P141" s="88">
        <v>60</v>
      </c>
      <c r="Q141" s="139">
        <v>4</v>
      </c>
      <c r="R141" s="45">
        <f t="shared" si="49"/>
        <v>240</v>
      </c>
    </row>
    <row r="142" spans="1:91" x14ac:dyDescent="0.25">
      <c r="A142" s="50">
        <v>7</v>
      </c>
      <c r="B142" s="89" t="s">
        <v>114</v>
      </c>
      <c r="C142" s="51">
        <v>2713</v>
      </c>
      <c r="D142" s="51">
        <v>2124</v>
      </c>
      <c r="E142" s="47">
        <v>0</v>
      </c>
      <c r="F142" s="51">
        <v>0</v>
      </c>
      <c r="G142" s="51">
        <v>2124</v>
      </c>
      <c r="H142" s="47">
        <v>0</v>
      </c>
      <c r="I142" s="51">
        <v>2713</v>
      </c>
      <c r="J142" s="51">
        <v>2124</v>
      </c>
      <c r="K142" s="94">
        <f t="shared" si="52"/>
        <v>127.7306967984934</v>
      </c>
      <c r="L142" s="51">
        <v>0</v>
      </c>
      <c r="M142" s="51">
        <v>0</v>
      </c>
      <c r="N142" s="47">
        <v>0</v>
      </c>
      <c r="O142" s="139">
        <v>14</v>
      </c>
      <c r="P142" s="87">
        <v>50</v>
      </c>
      <c r="Q142" s="139">
        <v>14</v>
      </c>
      <c r="R142" s="45">
        <f t="shared" si="49"/>
        <v>700</v>
      </c>
    </row>
    <row r="143" spans="1:91" s="60" customFormat="1" x14ac:dyDescent="0.25">
      <c r="A143" s="315" t="s">
        <v>115</v>
      </c>
      <c r="B143" s="315" t="s">
        <v>115</v>
      </c>
      <c r="C143" s="56">
        <f>SUM(C136:C142)</f>
        <v>57111</v>
      </c>
      <c r="D143" s="56">
        <f>SUM(D136:D142)</f>
        <v>13043</v>
      </c>
      <c r="E143" s="57">
        <f>C143/D143*100</f>
        <v>437.86705512535457</v>
      </c>
      <c r="F143" s="56">
        <f>SUM(F136:F142)</f>
        <v>40850</v>
      </c>
      <c r="G143" s="56">
        <f>SUM(G136:G142)</f>
        <v>9489</v>
      </c>
      <c r="H143" s="57">
        <f>F143/G143*100</f>
        <v>430.49847191484878</v>
      </c>
      <c r="I143" s="56">
        <f>SUM(I136:I142)</f>
        <v>59641</v>
      </c>
      <c r="J143" s="56">
        <f>SUM(J136:J142)</f>
        <v>14172</v>
      </c>
      <c r="K143" s="57">
        <f>I143/J143*100</f>
        <v>420.83686141687838</v>
      </c>
      <c r="L143" s="56">
        <f>SUM(L136:L142)</f>
        <v>0</v>
      </c>
      <c r="M143" s="56">
        <f>SUM(M136:M142)</f>
        <v>0</v>
      </c>
      <c r="N143" s="58">
        <v>0</v>
      </c>
      <c r="O143" s="56">
        <f>SUM(O136:O142)</f>
        <v>135</v>
      </c>
      <c r="P143" s="57">
        <f>R143/O143</f>
        <v>73.222222222222229</v>
      </c>
      <c r="Q143" s="58">
        <f>SUM(Q136:Q142)</f>
        <v>135</v>
      </c>
      <c r="R143" s="59">
        <f>SUM(R136:R142)</f>
        <v>9885</v>
      </c>
    </row>
    <row r="144" spans="1:91" x14ac:dyDescent="0.25">
      <c r="A144" s="139"/>
      <c r="B144" s="139"/>
      <c r="C144" s="139"/>
      <c r="D144" s="139"/>
      <c r="E144" s="139"/>
      <c r="F144" s="139"/>
      <c r="G144" s="139"/>
      <c r="H144" s="139"/>
      <c r="I144" s="139"/>
      <c r="J144" s="139"/>
      <c r="K144" s="34"/>
      <c r="L144" s="139"/>
      <c r="M144" s="139"/>
      <c r="N144" s="139"/>
      <c r="O144" s="139"/>
      <c r="P144" s="62"/>
      <c r="Q144" s="139"/>
      <c r="R144" s="39"/>
    </row>
    <row r="145" spans="1:18" x14ac:dyDescent="0.25">
      <c r="A145" s="316" t="s">
        <v>116</v>
      </c>
      <c r="B145" s="317"/>
      <c r="C145" s="37">
        <v>3</v>
      </c>
      <c r="D145" s="37">
        <v>4</v>
      </c>
      <c r="E145" s="136">
        <v>5</v>
      </c>
      <c r="F145" s="37">
        <v>6</v>
      </c>
      <c r="G145" s="37">
        <v>7</v>
      </c>
      <c r="H145" s="37">
        <v>8</v>
      </c>
      <c r="I145" s="37">
        <v>9</v>
      </c>
      <c r="J145" s="37">
        <v>10</v>
      </c>
      <c r="K145" s="37">
        <v>11</v>
      </c>
      <c r="L145" s="37">
        <v>12</v>
      </c>
      <c r="M145" s="37">
        <v>13</v>
      </c>
      <c r="N145" s="37">
        <v>14</v>
      </c>
      <c r="O145" s="37">
        <v>15</v>
      </c>
      <c r="P145" s="136">
        <v>16</v>
      </c>
      <c r="Q145" s="37">
        <v>17</v>
      </c>
      <c r="R145" s="31"/>
    </row>
    <row r="146" spans="1:18" x14ac:dyDescent="0.25">
      <c r="A146" s="96">
        <v>1</v>
      </c>
      <c r="B146" s="78" t="s">
        <v>117</v>
      </c>
      <c r="C146" s="62">
        <v>16907456</v>
      </c>
      <c r="D146" s="62">
        <v>15926641</v>
      </c>
      <c r="E146" s="47">
        <f>C146/D146*100</f>
        <v>106.15832930496769</v>
      </c>
      <c r="F146" s="139">
        <v>8174135</v>
      </c>
      <c r="G146" s="139">
        <v>7808147</v>
      </c>
      <c r="H146" s="47">
        <f>F146/G146*100</f>
        <v>104.68725806519781</v>
      </c>
      <c r="I146" s="96">
        <v>16954251</v>
      </c>
      <c r="J146" s="96">
        <v>16739519</v>
      </c>
      <c r="K146" s="47">
        <f>I146/J146*100</f>
        <v>101.28278476818838</v>
      </c>
      <c r="L146" s="96">
        <v>7077078</v>
      </c>
      <c r="M146" s="96">
        <v>8069557</v>
      </c>
      <c r="N146" s="47">
        <f>L146/M146*100</f>
        <v>87.700948143745677</v>
      </c>
      <c r="O146" s="139">
        <v>2880</v>
      </c>
      <c r="P146" s="62">
        <v>145</v>
      </c>
      <c r="Q146" s="139">
        <v>2880</v>
      </c>
      <c r="R146" s="45">
        <f t="shared" ref="R146:R160" si="53">Q146*P146</f>
        <v>417600</v>
      </c>
    </row>
    <row r="147" spans="1:18" x14ac:dyDescent="0.25">
      <c r="A147" s="96">
        <v>2</v>
      </c>
      <c r="B147" s="78" t="s">
        <v>118</v>
      </c>
      <c r="C147" s="62">
        <v>4031696</v>
      </c>
      <c r="D147" s="62">
        <v>3497866</v>
      </c>
      <c r="E147" s="47">
        <f t="shared" ref="E147:E160" si="54">C147/D147*100</f>
        <v>115.26159092429498</v>
      </c>
      <c r="F147" s="139">
        <v>1938976</v>
      </c>
      <c r="G147" s="139">
        <v>1555900</v>
      </c>
      <c r="H147" s="47">
        <f t="shared" ref="H147:H160" si="55">F147/G147*100</f>
        <v>124.6208625232984</v>
      </c>
      <c r="I147" s="96">
        <v>2625713</v>
      </c>
      <c r="J147" s="96">
        <v>4001236</v>
      </c>
      <c r="K147" s="47">
        <f t="shared" ref="K147:K160" si="56">I147/J147*100</f>
        <v>65.622547632781476</v>
      </c>
      <c r="L147" s="139">
        <v>2625713</v>
      </c>
      <c r="M147" s="139">
        <v>4001236</v>
      </c>
      <c r="N147" s="47">
        <f t="shared" ref="N147:N160" si="57">L147/M147*100</f>
        <v>65.622547632781476</v>
      </c>
      <c r="O147" s="139">
        <v>896</v>
      </c>
      <c r="P147" s="62">
        <v>120</v>
      </c>
      <c r="Q147" s="139">
        <v>896</v>
      </c>
      <c r="R147" s="45">
        <f t="shared" si="53"/>
        <v>107520</v>
      </c>
    </row>
    <row r="148" spans="1:18" s="66" customFormat="1" x14ac:dyDescent="0.25">
      <c r="A148" s="96">
        <v>3</v>
      </c>
      <c r="B148" s="78" t="s">
        <v>119</v>
      </c>
      <c r="C148" s="76">
        <v>4404440</v>
      </c>
      <c r="D148" s="76">
        <v>4230852</v>
      </c>
      <c r="E148" s="47">
        <f t="shared" si="54"/>
        <v>104.10290882309283</v>
      </c>
      <c r="F148" s="96">
        <v>2266622</v>
      </c>
      <c r="G148" s="96">
        <v>2018619</v>
      </c>
      <c r="H148" s="47">
        <f t="shared" si="55"/>
        <v>112.28577557230959</v>
      </c>
      <c r="I148" s="96">
        <v>1393102</v>
      </c>
      <c r="J148" s="96">
        <v>3169738</v>
      </c>
      <c r="K148" s="47">
        <f t="shared" si="56"/>
        <v>43.950067797401552</v>
      </c>
      <c r="L148" s="96">
        <v>1393102</v>
      </c>
      <c r="M148" s="96">
        <v>3169738</v>
      </c>
      <c r="N148" s="47">
        <f t="shared" si="57"/>
        <v>43.950067797401552</v>
      </c>
      <c r="O148" s="139">
        <v>1205</v>
      </c>
      <c r="P148" s="76">
        <v>306</v>
      </c>
      <c r="Q148" s="139">
        <v>1205</v>
      </c>
      <c r="R148" s="45">
        <f t="shared" si="53"/>
        <v>368730</v>
      </c>
    </row>
    <row r="149" spans="1:18" x14ac:dyDescent="0.25">
      <c r="A149" s="96">
        <v>4</v>
      </c>
      <c r="B149" s="78" t="s">
        <v>120</v>
      </c>
      <c r="C149" s="62">
        <v>913423</v>
      </c>
      <c r="D149" s="62">
        <v>1056396</v>
      </c>
      <c r="E149" s="47">
        <f t="shared" si="54"/>
        <v>86.465965414484728</v>
      </c>
      <c r="F149" s="139">
        <v>395896</v>
      </c>
      <c r="G149" s="139">
        <v>541422</v>
      </c>
      <c r="H149" s="47">
        <f t="shared" si="55"/>
        <v>73.121520736135579</v>
      </c>
      <c r="I149" s="139">
        <v>802192</v>
      </c>
      <c r="J149" s="139">
        <v>977639</v>
      </c>
      <c r="K149" s="47">
        <f t="shared" si="56"/>
        <v>82.054009711151039</v>
      </c>
      <c r="L149" s="139">
        <v>802192</v>
      </c>
      <c r="M149" s="139">
        <v>977639</v>
      </c>
      <c r="N149" s="47">
        <f t="shared" si="57"/>
        <v>82.054009711151039</v>
      </c>
      <c r="O149" s="139">
        <v>550</v>
      </c>
      <c r="P149" s="62">
        <v>150</v>
      </c>
      <c r="Q149" s="139">
        <v>557</v>
      </c>
      <c r="R149" s="45">
        <f t="shared" si="53"/>
        <v>83550</v>
      </c>
    </row>
    <row r="150" spans="1:18" x14ac:dyDescent="0.25">
      <c r="A150" s="96">
        <v>5</v>
      </c>
      <c r="B150" s="78" t="s">
        <v>121</v>
      </c>
      <c r="C150" s="139">
        <v>0</v>
      </c>
      <c r="D150" s="139">
        <v>0</v>
      </c>
      <c r="E150" s="139">
        <v>0</v>
      </c>
      <c r="F150" s="139">
        <v>0</v>
      </c>
      <c r="G150" s="139">
        <v>0</v>
      </c>
      <c r="H150" s="139">
        <v>0</v>
      </c>
      <c r="I150" s="139">
        <v>0</v>
      </c>
      <c r="J150" s="139">
        <v>0</v>
      </c>
      <c r="K150" s="139">
        <v>0</v>
      </c>
      <c r="L150" s="139">
        <v>0</v>
      </c>
      <c r="M150" s="139">
        <v>0</v>
      </c>
      <c r="N150" s="47">
        <v>0</v>
      </c>
      <c r="O150" s="139">
        <v>0</v>
      </c>
      <c r="P150" s="44">
        <v>0</v>
      </c>
      <c r="Q150" s="139">
        <v>0</v>
      </c>
      <c r="R150" s="45">
        <f t="shared" si="53"/>
        <v>0</v>
      </c>
    </row>
    <row r="151" spans="1:18" x14ac:dyDescent="0.25">
      <c r="A151" s="96">
        <v>6</v>
      </c>
      <c r="B151" s="78" t="s">
        <v>122</v>
      </c>
      <c r="C151" s="76">
        <v>1665870</v>
      </c>
      <c r="D151" s="76">
        <v>1779622</v>
      </c>
      <c r="E151" s="47">
        <f t="shared" si="54"/>
        <v>93.608080817162303</v>
      </c>
      <c r="F151" s="96">
        <v>1665870</v>
      </c>
      <c r="G151" s="96">
        <v>1779622</v>
      </c>
      <c r="H151" s="47">
        <f t="shared" si="55"/>
        <v>93.608080817162303</v>
      </c>
      <c r="I151" s="96">
        <v>1683977</v>
      </c>
      <c r="J151" s="96">
        <v>1848292</v>
      </c>
      <c r="K151" s="47">
        <f t="shared" si="56"/>
        <v>91.109900383705593</v>
      </c>
      <c r="L151" s="96">
        <v>1683977</v>
      </c>
      <c r="M151" s="96">
        <v>1848292</v>
      </c>
      <c r="N151" s="47">
        <f t="shared" si="57"/>
        <v>91.109900383705593</v>
      </c>
      <c r="O151" s="139">
        <v>477</v>
      </c>
      <c r="P151" s="76">
        <v>150</v>
      </c>
      <c r="Q151" s="139">
        <v>477</v>
      </c>
      <c r="R151" s="45">
        <f t="shared" si="53"/>
        <v>71550</v>
      </c>
    </row>
    <row r="152" spans="1:18" x14ac:dyDescent="0.25">
      <c r="A152" s="96">
        <v>7</v>
      </c>
      <c r="B152" s="78" t="s">
        <v>123</v>
      </c>
      <c r="C152" s="139">
        <v>0</v>
      </c>
      <c r="D152" s="139">
        <v>0</v>
      </c>
      <c r="E152" s="139">
        <v>0</v>
      </c>
      <c r="F152" s="139">
        <v>0</v>
      </c>
      <c r="G152" s="139">
        <v>0</v>
      </c>
      <c r="H152" s="139">
        <v>0</v>
      </c>
      <c r="I152" s="139">
        <v>0</v>
      </c>
      <c r="J152" s="139">
        <v>0</v>
      </c>
      <c r="K152" s="139">
        <v>0</v>
      </c>
      <c r="L152" s="139">
        <v>0</v>
      </c>
      <c r="M152" s="139">
        <v>0</v>
      </c>
      <c r="N152" s="47">
        <v>0</v>
      </c>
      <c r="O152" s="139">
        <v>0</v>
      </c>
      <c r="P152" s="44">
        <v>0</v>
      </c>
      <c r="Q152" s="139">
        <v>0</v>
      </c>
      <c r="R152" s="45">
        <f t="shared" si="53"/>
        <v>0</v>
      </c>
    </row>
    <row r="153" spans="1:18" x14ac:dyDescent="0.25">
      <c r="A153" s="96">
        <v>8</v>
      </c>
      <c r="B153" s="78" t="s">
        <v>124</v>
      </c>
      <c r="C153" s="139">
        <v>0</v>
      </c>
      <c r="D153" s="139">
        <v>0</v>
      </c>
      <c r="E153" s="139">
        <v>0</v>
      </c>
      <c r="F153" s="139">
        <v>0</v>
      </c>
      <c r="G153" s="139">
        <v>0</v>
      </c>
      <c r="H153" s="139">
        <v>0</v>
      </c>
      <c r="I153" s="139">
        <v>0</v>
      </c>
      <c r="J153" s="139">
        <v>0</v>
      </c>
      <c r="K153" s="139">
        <v>0</v>
      </c>
      <c r="L153" s="139">
        <v>0</v>
      </c>
      <c r="M153" s="139">
        <v>0</v>
      </c>
      <c r="N153" s="47">
        <v>0</v>
      </c>
      <c r="O153" s="139">
        <v>0</v>
      </c>
      <c r="P153" s="44">
        <v>0</v>
      </c>
      <c r="Q153" s="139">
        <v>0</v>
      </c>
      <c r="R153" s="45">
        <f t="shared" si="53"/>
        <v>0</v>
      </c>
    </row>
    <row r="154" spans="1:18" s="66" customFormat="1" x14ac:dyDescent="0.25">
      <c r="A154" s="96">
        <v>9</v>
      </c>
      <c r="B154" s="78" t="s">
        <v>125</v>
      </c>
      <c r="C154" s="76">
        <v>3260217</v>
      </c>
      <c r="D154" s="76">
        <v>2558290</v>
      </c>
      <c r="E154" s="47">
        <f t="shared" si="54"/>
        <v>127.43735073037068</v>
      </c>
      <c r="F154" s="139">
        <v>1543348</v>
      </c>
      <c r="G154" s="139">
        <v>1169056</v>
      </c>
      <c r="H154" s="47">
        <f t="shared" si="55"/>
        <v>132.01660142884515</v>
      </c>
      <c r="I154" s="139">
        <v>4494567</v>
      </c>
      <c r="J154" s="139">
        <v>2163338</v>
      </c>
      <c r="K154" s="47">
        <f t="shared" si="56"/>
        <v>207.76073826651222</v>
      </c>
      <c r="L154" s="139">
        <v>4494567</v>
      </c>
      <c r="M154" s="139">
        <v>2163338</v>
      </c>
      <c r="N154" s="47">
        <f t="shared" si="57"/>
        <v>207.76073826651222</v>
      </c>
      <c r="O154" s="139">
        <v>802</v>
      </c>
      <c r="P154" s="62">
        <v>100</v>
      </c>
      <c r="Q154" s="139">
        <v>802</v>
      </c>
      <c r="R154" s="45">
        <f t="shared" si="53"/>
        <v>80200</v>
      </c>
    </row>
    <row r="155" spans="1:18" x14ac:dyDescent="0.25">
      <c r="A155" s="96">
        <v>10</v>
      </c>
      <c r="B155" s="78" t="s">
        <v>126</v>
      </c>
      <c r="C155" s="76">
        <v>6640526</v>
      </c>
      <c r="D155" s="76">
        <v>6517231</v>
      </c>
      <c r="E155" s="47">
        <f t="shared" si="54"/>
        <v>101.89183105524418</v>
      </c>
      <c r="F155" s="76">
        <v>3301872</v>
      </c>
      <c r="G155" s="76">
        <v>3621902</v>
      </c>
      <c r="H155" s="47">
        <f t="shared" si="55"/>
        <v>91.164034808230582</v>
      </c>
      <c r="I155" s="139">
        <v>5127311</v>
      </c>
      <c r="J155" s="139">
        <v>6461220</v>
      </c>
      <c r="K155" s="47">
        <f t="shared" si="56"/>
        <v>79.355152742051814</v>
      </c>
      <c r="L155" s="139">
        <v>5126996</v>
      </c>
      <c r="M155" s="139">
        <v>6460878</v>
      </c>
      <c r="N155" s="47">
        <f t="shared" si="57"/>
        <v>79.35447782793608</v>
      </c>
      <c r="O155" s="139">
        <v>663</v>
      </c>
      <c r="P155" s="62">
        <v>134</v>
      </c>
      <c r="Q155" s="139">
        <v>658</v>
      </c>
      <c r="R155" s="45">
        <f t="shared" si="53"/>
        <v>88172</v>
      </c>
    </row>
    <row r="156" spans="1:18" x14ac:dyDescent="0.25">
      <c r="A156" s="96">
        <v>11</v>
      </c>
      <c r="B156" s="78" t="s">
        <v>127</v>
      </c>
      <c r="C156" s="62">
        <v>4750047</v>
      </c>
      <c r="D156" s="62">
        <v>5207065</v>
      </c>
      <c r="E156" s="47">
        <f t="shared" si="54"/>
        <v>91.223117053464861</v>
      </c>
      <c r="F156" s="139">
        <v>2455652</v>
      </c>
      <c r="G156" s="139">
        <v>2604726</v>
      </c>
      <c r="H156" s="47">
        <f t="shared" si="55"/>
        <v>94.276787654440426</v>
      </c>
      <c r="I156" s="139">
        <v>4840118</v>
      </c>
      <c r="J156" s="139">
        <v>5329019</v>
      </c>
      <c r="K156" s="47">
        <f t="shared" si="56"/>
        <v>90.825684802399849</v>
      </c>
      <c r="L156" s="139">
        <v>4840118</v>
      </c>
      <c r="M156" s="139">
        <v>5329019</v>
      </c>
      <c r="N156" s="47">
        <f t="shared" si="57"/>
        <v>90.825684802399849</v>
      </c>
      <c r="O156" s="139">
        <v>540</v>
      </c>
      <c r="P156" s="62">
        <v>168</v>
      </c>
      <c r="Q156" s="139">
        <v>540</v>
      </c>
      <c r="R156" s="45">
        <f t="shared" si="53"/>
        <v>90720</v>
      </c>
    </row>
    <row r="157" spans="1:18" x14ac:dyDescent="0.25">
      <c r="A157" s="96">
        <v>12</v>
      </c>
      <c r="B157" s="78" t="s">
        <v>128</v>
      </c>
      <c r="C157" s="51"/>
      <c r="D157" s="51"/>
      <c r="E157" s="47">
        <v>0</v>
      </c>
      <c r="F157" s="51"/>
      <c r="G157" s="51"/>
      <c r="H157" s="47">
        <v>0</v>
      </c>
      <c r="I157" s="51"/>
      <c r="J157" s="51"/>
      <c r="K157" s="47">
        <v>0</v>
      </c>
      <c r="L157" s="51"/>
      <c r="M157" s="51"/>
      <c r="N157" s="47">
        <v>0</v>
      </c>
      <c r="O157" s="139">
        <v>8</v>
      </c>
      <c r="P157" s="62">
        <v>40</v>
      </c>
      <c r="Q157" s="139">
        <v>8</v>
      </c>
      <c r="R157" s="45">
        <f t="shared" si="53"/>
        <v>320</v>
      </c>
    </row>
    <row r="158" spans="1:18" x14ac:dyDescent="0.25">
      <c r="A158" s="96">
        <v>13</v>
      </c>
      <c r="B158" s="78" t="s">
        <v>129</v>
      </c>
      <c r="C158" s="139">
        <v>0</v>
      </c>
      <c r="D158" s="139">
        <v>0</v>
      </c>
      <c r="E158" s="139">
        <v>0</v>
      </c>
      <c r="F158" s="139">
        <v>0</v>
      </c>
      <c r="G158" s="139">
        <v>0</v>
      </c>
      <c r="H158" s="139">
        <v>0</v>
      </c>
      <c r="I158" s="139">
        <v>0</v>
      </c>
      <c r="J158" s="139">
        <v>0</v>
      </c>
      <c r="K158" s="139">
        <v>0</v>
      </c>
      <c r="L158" s="139">
        <v>0</v>
      </c>
      <c r="M158" s="139">
        <v>0</v>
      </c>
      <c r="N158" s="47">
        <v>0</v>
      </c>
      <c r="O158" s="139">
        <v>0</v>
      </c>
      <c r="P158" s="44">
        <v>0</v>
      </c>
      <c r="Q158" s="139">
        <v>0</v>
      </c>
      <c r="R158" s="45">
        <f t="shared" si="53"/>
        <v>0</v>
      </c>
    </row>
    <row r="159" spans="1:18" x14ac:dyDescent="0.25">
      <c r="A159" s="96">
        <v>14</v>
      </c>
      <c r="B159" s="78" t="s">
        <v>130</v>
      </c>
      <c r="C159" s="76">
        <v>607876</v>
      </c>
      <c r="D159" s="76">
        <v>454833</v>
      </c>
      <c r="E159" s="47">
        <f t="shared" si="54"/>
        <v>133.64817416502322</v>
      </c>
      <c r="F159" s="96">
        <v>343998</v>
      </c>
      <c r="G159" s="96">
        <v>237198</v>
      </c>
      <c r="H159" s="47">
        <f t="shared" si="55"/>
        <v>145.02567475273821</v>
      </c>
      <c r="I159" s="96">
        <v>587735</v>
      </c>
      <c r="J159" s="96">
        <v>439486</v>
      </c>
      <c r="K159" s="47">
        <f t="shared" si="56"/>
        <v>133.73236007517872</v>
      </c>
      <c r="L159" s="96">
        <v>0</v>
      </c>
      <c r="M159" s="96">
        <v>0</v>
      </c>
      <c r="N159" s="47">
        <v>0</v>
      </c>
      <c r="O159" s="139">
        <v>305</v>
      </c>
      <c r="P159" s="76">
        <v>58</v>
      </c>
      <c r="Q159" s="139">
        <v>300</v>
      </c>
      <c r="R159" s="45">
        <f t="shared" si="53"/>
        <v>17400</v>
      </c>
    </row>
    <row r="160" spans="1:18" x14ac:dyDescent="0.25">
      <c r="A160" s="96">
        <v>15</v>
      </c>
      <c r="B160" s="78" t="s">
        <v>131</v>
      </c>
      <c r="C160" s="62">
        <v>4528439</v>
      </c>
      <c r="D160" s="62">
        <v>5426439</v>
      </c>
      <c r="E160" s="47">
        <f t="shared" si="54"/>
        <v>83.451394183183481</v>
      </c>
      <c r="F160" s="139">
        <v>1895267</v>
      </c>
      <c r="G160" s="139">
        <v>2683387</v>
      </c>
      <c r="H160" s="47">
        <f t="shared" si="55"/>
        <v>70.629655729866769</v>
      </c>
      <c r="I160" s="139">
        <v>3931639</v>
      </c>
      <c r="J160" s="139">
        <v>5261112</v>
      </c>
      <c r="K160" s="47">
        <f t="shared" si="56"/>
        <v>74.730190119503249</v>
      </c>
      <c r="L160" s="139">
        <v>3915997</v>
      </c>
      <c r="M160" s="139">
        <v>5236281</v>
      </c>
      <c r="N160" s="47">
        <f t="shared" si="57"/>
        <v>74.785845144674241</v>
      </c>
      <c r="O160" s="139">
        <v>649</v>
      </c>
      <c r="P160" s="62">
        <v>130</v>
      </c>
      <c r="Q160" s="139">
        <v>650</v>
      </c>
      <c r="R160" s="45">
        <f t="shared" si="53"/>
        <v>84500</v>
      </c>
    </row>
    <row r="161" spans="1:18" s="60" customFormat="1" x14ac:dyDescent="0.25">
      <c r="A161" s="315" t="s">
        <v>132</v>
      </c>
      <c r="B161" s="315" t="s">
        <v>133</v>
      </c>
      <c r="C161" s="56">
        <f>SUM(C146:C160)</f>
        <v>47709990</v>
      </c>
      <c r="D161" s="56">
        <f>SUM(D146:D160)</f>
        <v>46655235</v>
      </c>
      <c r="E161" s="57">
        <f>C161/D161*100</f>
        <v>102.26074308702979</v>
      </c>
      <c r="F161" s="56">
        <f>SUM(F146:F160)</f>
        <v>23981636</v>
      </c>
      <c r="G161" s="56">
        <f>SUM(G146:G160)</f>
        <v>24019979</v>
      </c>
      <c r="H161" s="57">
        <f>F161/G161*100</f>
        <v>99.840370385003254</v>
      </c>
      <c r="I161" s="56">
        <f>SUM(I146:I160)</f>
        <v>42440605</v>
      </c>
      <c r="J161" s="56">
        <f>SUM(J146:J160)</f>
        <v>46390599</v>
      </c>
      <c r="K161" s="57">
        <f>I161/J161*100</f>
        <v>91.48535676377017</v>
      </c>
      <c r="L161" s="56">
        <f>SUM(L146:L160)</f>
        <v>31959740</v>
      </c>
      <c r="M161" s="56">
        <f>SUM(M146:M160)</f>
        <v>37255978</v>
      </c>
      <c r="N161" s="57">
        <f>L161/M161*100</f>
        <v>85.784192807930054</v>
      </c>
      <c r="O161" s="56">
        <f>SUM(O146:O160)</f>
        <v>8975</v>
      </c>
      <c r="P161" s="57">
        <f>R161/O161</f>
        <v>157.13225626740947</v>
      </c>
      <c r="Q161" s="58">
        <f>SUM(Q146:Q160)</f>
        <v>8973</v>
      </c>
      <c r="R161" s="59">
        <f>SUM(R146:R160)</f>
        <v>1410262</v>
      </c>
    </row>
    <row r="162" spans="1:18" x14ac:dyDescent="0.25">
      <c r="A162" s="37"/>
      <c r="B162" s="37"/>
      <c r="C162" s="96"/>
      <c r="D162" s="96"/>
      <c r="E162" s="97"/>
      <c r="F162" s="96"/>
      <c r="G162" s="96"/>
      <c r="H162" s="97"/>
      <c r="I162" s="96"/>
      <c r="J162" s="96"/>
      <c r="K162" s="34"/>
      <c r="L162" s="96"/>
      <c r="M162" s="96"/>
      <c r="N162" s="97"/>
      <c r="O162" s="98"/>
      <c r="P162" s="76"/>
      <c r="Q162" s="98"/>
      <c r="R162" s="31"/>
    </row>
    <row r="163" spans="1:18" x14ac:dyDescent="0.25">
      <c r="A163" s="99"/>
      <c r="B163" s="99" t="s">
        <v>13</v>
      </c>
      <c r="C163" s="37">
        <v>3</v>
      </c>
      <c r="D163" s="37">
        <v>4</v>
      </c>
      <c r="E163" s="136">
        <v>5</v>
      </c>
      <c r="F163" s="37">
        <v>6</v>
      </c>
      <c r="G163" s="37">
        <v>7</v>
      </c>
      <c r="H163" s="37">
        <v>8</v>
      </c>
      <c r="I163" s="37">
        <v>9</v>
      </c>
      <c r="J163" s="37">
        <v>10</v>
      </c>
      <c r="K163" s="37">
        <v>11</v>
      </c>
      <c r="L163" s="37">
        <v>12</v>
      </c>
      <c r="M163" s="37">
        <v>13</v>
      </c>
      <c r="N163" s="37">
        <v>14</v>
      </c>
      <c r="O163" s="37">
        <v>15</v>
      </c>
      <c r="P163" s="136">
        <v>16</v>
      </c>
      <c r="Q163" s="37">
        <v>17</v>
      </c>
      <c r="R163" s="100"/>
    </row>
    <row r="164" spans="1:18" x14ac:dyDescent="0.25">
      <c r="A164" s="96">
        <v>1</v>
      </c>
      <c r="B164" s="84" t="s">
        <v>134</v>
      </c>
      <c r="C164" s="96">
        <v>2333</v>
      </c>
      <c r="D164" s="96">
        <v>19233</v>
      </c>
      <c r="E164" s="47">
        <f>C164/D164*100</f>
        <v>12.130192897623877</v>
      </c>
      <c r="F164" s="34">
        <v>625</v>
      </c>
      <c r="G164" s="96">
        <v>6885</v>
      </c>
      <c r="H164" s="47">
        <f>F164/G164*100</f>
        <v>9.0777051561365276</v>
      </c>
      <c r="I164" s="96">
        <v>2333</v>
      </c>
      <c r="J164" s="96">
        <v>19233</v>
      </c>
      <c r="K164" s="47">
        <f t="shared" ref="K164:K168" si="58">I164/J164*100</f>
        <v>12.130192897623877</v>
      </c>
      <c r="L164" s="96">
        <v>0</v>
      </c>
      <c r="M164" s="96">
        <v>0</v>
      </c>
      <c r="N164" s="47">
        <v>0</v>
      </c>
      <c r="O164" s="96">
        <v>49</v>
      </c>
      <c r="P164" s="76">
        <v>74</v>
      </c>
      <c r="Q164" s="96">
        <v>49</v>
      </c>
      <c r="R164" s="45">
        <f>Q164*P164</f>
        <v>3626</v>
      </c>
    </row>
    <row r="165" spans="1:18" s="66" customFormat="1" x14ac:dyDescent="0.25">
      <c r="A165" s="96">
        <v>2</v>
      </c>
      <c r="B165" s="84" t="s">
        <v>135</v>
      </c>
      <c r="C165" s="51">
        <v>960251</v>
      </c>
      <c r="D165" s="51">
        <v>723356</v>
      </c>
      <c r="E165" s="47">
        <f t="shared" ref="E165:E168" si="59">C165/D165*100</f>
        <v>132.74943457993021</v>
      </c>
      <c r="F165" s="51">
        <v>343581</v>
      </c>
      <c r="G165" s="51">
        <v>299680</v>
      </c>
      <c r="H165" s="47">
        <f t="shared" ref="H165:H168" si="60">F165/G165*100</f>
        <v>114.64929257875067</v>
      </c>
      <c r="I165" s="51">
        <v>942449</v>
      </c>
      <c r="J165" s="51">
        <v>735211</v>
      </c>
      <c r="K165" s="47">
        <f t="shared" si="58"/>
        <v>128.18755432114045</v>
      </c>
      <c r="L165" s="51">
        <v>522329</v>
      </c>
      <c r="M165" s="51">
        <v>334291</v>
      </c>
      <c r="N165" s="47">
        <f t="shared" ref="N165:N167" si="61">L165/M165*100</f>
        <v>156.2497943408587</v>
      </c>
      <c r="O165" s="96">
        <v>475</v>
      </c>
      <c r="P165" s="76">
        <v>110</v>
      </c>
      <c r="Q165" s="96">
        <v>475</v>
      </c>
      <c r="R165" s="45">
        <f>Q165*P165</f>
        <v>52250</v>
      </c>
    </row>
    <row r="166" spans="1:18" x14ac:dyDescent="0.25">
      <c r="A166" s="96">
        <v>3</v>
      </c>
      <c r="B166" s="84" t="s">
        <v>136</v>
      </c>
      <c r="C166" s="139">
        <v>0</v>
      </c>
      <c r="D166" s="139">
        <v>0</v>
      </c>
      <c r="E166" s="139">
        <v>0</v>
      </c>
      <c r="F166" s="139">
        <v>0</v>
      </c>
      <c r="G166" s="139">
        <v>0</v>
      </c>
      <c r="H166" s="139">
        <v>0</v>
      </c>
      <c r="I166" s="139">
        <v>0</v>
      </c>
      <c r="J166" s="139">
        <v>0</v>
      </c>
      <c r="K166" s="139">
        <v>0</v>
      </c>
      <c r="L166" s="139">
        <v>0</v>
      </c>
      <c r="M166" s="139">
        <v>0</v>
      </c>
      <c r="N166" s="47">
        <v>0</v>
      </c>
      <c r="O166" s="96">
        <v>0</v>
      </c>
      <c r="P166" s="76">
        <v>0</v>
      </c>
      <c r="Q166" s="96">
        <v>0</v>
      </c>
      <c r="R166" s="45">
        <f>Q166*P166</f>
        <v>0</v>
      </c>
    </row>
    <row r="167" spans="1:18" x14ac:dyDescent="0.25">
      <c r="A167" s="96">
        <v>4</v>
      </c>
      <c r="B167" s="84" t="s">
        <v>137</v>
      </c>
      <c r="C167" s="96">
        <v>265242</v>
      </c>
      <c r="D167" s="96">
        <v>628374</v>
      </c>
      <c r="E167" s="47">
        <f t="shared" si="59"/>
        <v>42.210848953012061</v>
      </c>
      <c r="F167" s="96">
        <v>187233</v>
      </c>
      <c r="G167" s="101">
        <v>180207</v>
      </c>
      <c r="H167" s="47">
        <f t="shared" si="60"/>
        <v>103.89884965622866</v>
      </c>
      <c r="I167" s="101">
        <v>333450</v>
      </c>
      <c r="J167" s="101">
        <v>60613</v>
      </c>
      <c r="K167" s="47">
        <f t="shared" si="58"/>
        <v>550.12951017108537</v>
      </c>
      <c r="L167" s="101">
        <f>125602+3024</f>
        <v>128626</v>
      </c>
      <c r="M167" s="101">
        <v>6298</v>
      </c>
      <c r="N167" s="47">
        <f t="shared" si="61"/>
        <v>2042.3308986979994</v>
      </c>
      <c r="O167" s="96">
        <v>292</v>
      </c>
      <c r="P167" s="76">
        <v>33</v>
      </c>
      <c r="Q167" s="96">
        <v>290</v>
      </c>
      <c r="R167" s="45">
        <f>Q167*P167</f>
        <v>9570</v>
      </c>
    </row>
    <row r="168" spans="1:18" x14ac:dyDescent="0.25">
      <c r="A168" s="96">
        <v>5</v>
      </c>
      <c r="B168" s="84" t="s">
        <v>138</v>
      </c>
      <c r="C168" s="96">
        <v>0</v>
      </c>
      <c r="D168" s="96">
        <v>186693</v>
      </c>
      <c r="E168" s="47">
        <f t="shared" si="59"/>
        <v>0</v>
      </c>
      <c r="F168" s="96">
        <v>0</v>
      </c>
      <c r="G168" s="96">
        <v>127428</v>
      </c>
      <c r="H168" s="47">
        <f t="shared" si="60"/>
        <v>0</v>
      </c>
      <c r="I168" s="96">
        <v>70283</v>
      </c>
      <c r="J168" s="96">
        <v>351898</v>
      </c>
      <c r="K168" s="47">
        <f t="shared" si="58"/>
        <v>19.972548863591154</v>
      </c>
      <c r="L168" s="96">
        <v>0</v>
      </c>
      <c r="M168" s="96">
        <v>0</v>
      </c>
      <c r="N168" s="47">
        <v>0</v>
      </c>
      <c r="O168" s="96">
        <v>255</v>
      </c>
      <c r="P168" s="76">
        <v>51</v>
      </c>
      <c r="Q168" s="96">
        <v>255</v>
      </c>
      <c r="R168" s="45">
        <f>Q168*P168</f>
        <v>13005</v>
      </c>
    </row>
    <row r="169" spans="1:18" s="60" customFormat="1" x14ac:dyDescent="0.25">
      <c r="A169" s="315" t="s">
        <v>174</v>
      </c>
      <c r="B169" s="315" t="s">
        <v>139</v>
      </c>
      <c r="C169" s="56">
        <f>SUM(C164:C168)</f>
        <v>1227826</v>
      </c>
      <c r="D169" s="56">
        <f>SUM(D164:D168)</f>
        <v>1557656</v>
      </c>
      <c r="E169" s="57">
        <f>C169/D169*100</f>
        <v>78.825234840041702</v>
      </c>
      <c r="F169" s="56">
        <f>SUM(F164:F168)</f>
        <v>531439</v>
      </c>
      <c r="G169" s="56">
        <f>SUM(G164:G168)</f>
        <v>614200</v>
      </c>
      <c r="H169" s="57">
        <f>F169/G169*100</f>
        <v>86.525398892868779</v>
      </c>
      <c r="I169" s="56">
        <f>SUM(I164:I168)</f>
        <v>1348515</v>
      </c>
      <c r="J169" s="56">
        <f>SUM(J164:J168)</f>
        <v>1166955</v>
      </c>
      <c r="K169" s="57">
        <f>I169/J169*100</f>
        <v>115.55844055683382</v>
      </c>
      <c r="L169" s="56">
        <f>SUM(L164:L168)</f>
        <v>650955</v>
      </c>
      <c r="M169" s="56">
        <f>SUM(M164:M168)</f>
        <v>340589</v>
      </c>
      <c r="N169" s="57">
        <f>L169/M169*100</f>
        <v>191.1262548115177</v>
      </c>
      <c r="O169" s="56">
        <f>SUM(O164:O168)</f>
        <v>1071</v>
      </c>
      <c r="P169" s="57">
        <f>R169/O169</f>
        <v>73.250233426704014</v>
      </c>
      <c r="Q169" s="58">
        <f>SUM(Q164:Q168)</f>
        <v>1069</v>
      </c>
      <c r="R169" s="59">
        <f>SUM(R164:R168)</f>
        <v>78451</v>
      </c>
    </row>
    <row r="170" spans="1:18" x14ac:dyDescent="0.25">
      <c r="A170" s="102"/>
      <c r="B170" s="103"/>
      <c r="C170" s="104"/>
      <c r="D170" s="104"/>
      <c r="E170" s="105"/>
      <c r="F170" s="104"/>
      <c r="G170" s="104"/>
      <c r="H170" s="105"/>
      <c r="I170" s="104"/>
      <c r="J170" s="104"/>
      <c r="K170" s="105"/>
      <c r="L170" s="104"/>
      <c r="M170" s="104"/>
      <c r="N170" s="105"/>
      <c r="O170" s="104"/>
      <c r="P170" s="104"/>
      <c r="Q170" s="104"/>
      <c r="R170" s="106"/>
    </row>
    <row r="171" spans="1:18" x14ac:dyDescent="0.25">
      <c r="A171" s="96"/>
      <c r="B171" s="37"/>
      <c r="C171" s="136"/>
      <c r="D171" s="318"/>
      <c r="E171" s="318"/>
      <c r="F171" s="318"/>
      <c r="G171" s="108"/>
      <c r="H171" s="108"/>
      <c r="I171" s="108"/>
      <c r="J171" s="335"/>
      <c r="K171" s="335"/>
      <c r="L171" s="335"/>
      <c r="M171" s="335"/>
      <c r="N171" s="335"/>
      <c r="O171" s="335"/>
      <c r="P171" s="109"/>
      <c r="Q171" s="110"/>
      <c r="R171" s="111"/>
    </row>
    <row r="172" spans="1:18" x14ac:dyDescent="0.25">
      <c r="A172" s="319" t="s">
        <v>140</v>
      </c>
      <c r="B172" s="320"/>
      <c r="C172" s="37">
        <v>3</v>
      </c>
      <c r="D172" s="37">
        <v>4</v>
      </c>
      <c r="E172" s="136">
        <v>5</v>
      </c>
      <c r="F172" s="37">
        <v>6</v>
      </c>
      <c r="G172" s="37">
        <v>7</v>
      </c>
      <c r="H172" s="37">
        <v>8</v>
      </c>
      <c r="I172" s="37">
        <v>9</v>
      </c>
      <c r="J172" s="37">
        <v>10</v>
      </c>
      <c r="K172" s="37">
        <v>11</v>
      </c>
      <c r="L172" s="37">
        <v>12</v>
      </c>
      <c r="M172" s="37">
        <v>13</v>
      </c>
      <c r="N172" s="37">
        <v>14</v>
      </c>
      <c r="O172" s="37">
        <v>15</v>
      </c>
      <c r="P172" s="136">
        <v>16</v>
      </c>
      <c r="Q172" s="37">
        <v>17</v>
      </c>
      <c r="R172" s="23"/>
    </row>
    <row r="173" spans="1:18" x14ac:dyDescent="0.25">
      <c r="A173" s="102">
        <v>1</v>
      </c>
      <c r="B173" s="113" t="s">
        <v>141</v>
      </c>
      <c r="C173" s="49">
        <v>0</v>
      </c>
      <c r="D173" s="49">
        <v>403</v>
      </c>
      <c r="E173" s="156">
        <f t="shared" ref="E173:E182" si="62">C173/D173*100</f>
        <v>0</v>
      </c>
      <c r="F173" s="49">
        <v>0</v>
      </c>
      <c r="G173" s="49">
        <v>139</v>
      </c>
      <c r="H173" s="49">
        <f t="shared" ref="H173:H182" si="63">F173/G173*100</f>
        <v>0</v>
      </c>
      <c r="I173" s="49">
        <v>5866</v>
      </c>
      <c r="J173" s="49">
        <v>5494</v>
      </c>
      <c r="K173" s="156">
        <f t="shared" ref="K173:K182" si="64">I173/J173*100</f>
        <v>106.77102293410994</v>
      </c>
      <c r="L173" s="49">
        <v>0</v>
      </c>
      <c r="M173" s="49">
        <v>0</v>
      </c>
      <c r="N173" s="49">
        <v>0</v>
      </c>
      <c r="O173" s="49">
        <v>68</v>
      </c>
      <c r="P173" s="49">
        <v>92</v>
      </c>
      <c r="Q173" s="49">
        <v>69</v>
      </c>
      <c r="R173" s="45">
        <f t="shared" ref="R173:R182" si="65">Q173*P173</f>
        <v>6348</v>
      </c>
    </row>
    <row r="174" spans="1:18" x14ac:dyDescent="0.25">
      <c r="A174" s="112">
        <v>2</v>
      </c>
      <c r="B174" s="113" t="s">
        <v>142</v>
      </c>
      <c r="C174" s="49">
        <v>265747</v>
      </c>
      <c r="D174" s="49">
        <v>20472</v>
      </c>
      <c r="E174" s="65">
        <f t="shared" si="62"/>
        <v>1298.0998436889411</v>
      </c>
      <c r="F174" s="49">
        <v>132179</v>
      </c>
      <c r="G174" s="49">
        <v>12310</v>
      </c>
      <c r="H174" s="156">
        <f t="shared" si="63"/>
        <v>1073.7530463038179</v>
      </c>
      <c r="I174" s="49">
        <v>265747</v>
      </c>
      <c r="J174" s="49">
        <v>20472</v>
      </c>
      <c r="K174" s="49">
        <f t="shared" si="64"/>
        <v>1298.0998436889411</v>
      </c>
      <c r="L174" s="49">
        <v>265747</v>
      </c>
      <c r="M174" s="49">
        <v>20472</v>
      </c>
      <c r="N174" s="156">
        <f t="shared" ref="N174:N182" si="66">L174/M174*100</f>
        <v>1298.0998436889411</v>
      </c>
      <c r="O174" s="49">
        <v>129</v>
      </c>
      <c r="P174" s="49">
        <v>108</v>
      </c>
      <c r="Q174" s="49">
        <v>130</v>
      </c>
      <c r="R174" s="45">
        <f t="shared" si="65"/>
        <v>14040</v>
      </c>
    </row>
    <row r="175" spans="1:18" s="80" customFormat="1" x14ac:dyDescent="0.25">
      <c r="A175" s="102">
        <v>3</v>
      </c>
      <c r="B175" s="113" t="s">
        <v>143</v>
      </c>
      <c r="C175" s="49">
        <v>0</v>
      </c>
      <c r="D175" s="49">
        <v>28682</v>
      </c>
      <c r="E175" s="49">
        <f t="shared" si="62"/>
        <v>0</v>
      </c>
      <c r="F175" s="49">
        <v>0</v>
      </c>
      <c r="G175" s="49">
        <v>12484</v>
      </c>
      <c r="H175" s="49">
        <f t="shared" si="63"/>
        <v>0</v>
      </c>
      <c r="I175" s="49">
        <v>0</v>
      </c>
      <c r="J175" s="49">
        <v>28532</v>
      </c>
      <c r="K175" s="49">
        <f t="shared" si="64"/>
        <v>0</v>
      </c>
      <c r="L175" s="49">
        <v>0</v>
      </c>
      <c r="M175" s="49">
        <v>25147</v>
      </c>
      <c r="N175" s="49">
        <f t="shared" si="66"/>
        <v>0</v>
      </c>
      <c r="O175" s="49">
        <v>75</v>
      </c>
      <c r="P175" s="49">
        <v>40</v>
      </c>
      <c r="Q175" s="49">
        <v>74</v>
      </c>
      <c r="R175" s="45">
        <f t="shared" si="65"/>
        <v>2960</v>
      </c>
    </row>
    <row r="176" spans="1:18" x14ac:dyDescent="0.25">
      <c r="A176" s="112">
        <v>4</v>
      </c>
      <c r="B176" s="113" t="s">
        <v>144</v>
      </c>
      <c r="C176" s="65">
        <v>263252</v>
      </c>
      <c r="D176" s="65">
        <v>573103</v>
      </c>
      <c r="E176" s="114">
        <f t="shared" si="62"/>
        <v>45.934500430114653</v>
      </c>
      <c r="F176" s="65">
        <v>19149</v>
      </c>
      <c r="G176" s="65">
        <v>573103</v>
      </c>
      <c r="H176" s="114">
        <f t="shared" si="63"/>
        <v>3.341284201967186</v>
      </c>
      <c r="I176" s="65">
        <v>263252</v>
      </c>
      <c r="J176" s="65">
        <v>573103</v>
      </c>
      <c r="K176" s="114">
        <f t="shared" si="64"/>
        <v>45.934500430114653</v>
      </c>
      <c r="L176" s="65">
        <v>263252</v>
      </c>
      <c r="M176" s="65">
        <v>573103</v>
      </c>
      <c r="N176" s="43">
        <f t="shared" si="66"/>
        <v>45.934500430114653</v>
      </c>
      <c r="O176" s="49">
        <v>86</v>
      </c>
      <c r="P176" s="115">
        <v>120</v>
      </c>
      <c r="Q176" s="49">
        <v>90</v>
      </c>
      <c r="R176" s="45">
        <f t="shared" si="65"/>
        <v>10800</v>
      </c>
    </row>
    <row r="177" spans="1:18" x14ac:dyDescent="0.25">
      <c r="A177" s="102">
        <v>5</v>
      </c>
      <c r="B177" s="113" t="s">
        <v>145</v>
      </c>
      <c r="C177" s="49">
        <v>92102</v>
      </c>
      <c r="D177" s="49">
        <v>72785</v>
      </c>
      <c r="E177" s="114">
        <f t="shared" si="62"/>
        <v>126.53980902658515</v>
      </c>
      <c r="F177" s="49">
        <v>92102</v>
      </c>
      <c r="G177" s="49">
        <v>27484</v>
      </c>
      <c r="H177" s="114">
        <f t="shared" si="63"/>
        <v>335.11133750545775</v>
      </c>
      <c r="I177" s="49">
        <v>216094</v>
      </c>
      <c r="J177" s="49">
        <v>73026</v>
      </c>
      <c r="K177" s="114">
        <f t="shared" si="64"/>
        <v>295.91378413167917</v>
      </c>
      <c r="L177" s="49">
        <v>220176</v>
      </c>
      <c r="M177" s="49">
        <v>72785</v>
      </c>
      <c r="N177" s="114">
        <f t="shared" si="66"/>
        <v>302.50188912550664</v>
      </c>
      <c r="O177" s="49">
        <v>16</v>
      </c>
      <c r="P177" s="49">
        <v>70</v>
      </c>
      <c r="Q177" s="49">
        <v>19</v>
      </c>
      <c r="R177" s="45">
        <f t="shared" si="65"/>
        <v>1330</v>
      </c>
    </row>
    <row r="178" spans="1:18" x14ac:dyDescent="0.25">
      <c r="A178" s="112">
        <v>6</v>
      </c>
      <c r="B178" s="113" t="s">
        <v>146</v>
      </c>
      <c r="C178" s="42">
        <v>0</v>
      </c>
      <c r="D178" s="42">
        <v>0</v>
      </c>
      <c r="E178" s="42">
        <v>0</v>
      </c>
      <c r="F178" s="42">
        <v>0</v>
      </c>
      <c r="G178" s="42">
        <v>0</v>
      </c>
      <c r="H178" s="42">
        <v>0</v>
      </c>
      <c r="I178" s="42">
        <v>0</v>
      </c>
      <c r="J178" s="42">
        <v>0</v>
      </c>
      <c r="K178" s="42">
        <v>0</v>
      </c>
      <c r="L178" s="42">
        <v>0</v>
      </c>
      <c r="M178" s="42">
        <v>0</v>
      </c>
      <c r="N178" s="43">
        <v>0</v>
      </c>
      <c r="O178" s="49">
        <v>0</v>
      </c>
      <c r="P178" s="44">
        <v>0</v>
      </c>
      <c r="Q178" s="49">
        <v>0</v>
      </c>
      <c r="R178" s="45">
        <f t="shared" si="65"/>
        <v>0</v>
      </c>
    </row>
    <row r="179" spans="1:18" x14ac:dyDescent="0.25">
      <c r="A179" s="102">
        <v>7</v>
      </c>
      <c r="B179" s="113" t="s">
        <v>147</v>
      </c>
      <c r="C179" s="49">
        <v>424214</v>
      </c>
      <c r="D179" s="49">
        <v>608805</v>
      </c>
      <c r="E179" s="43">
        <f t="shared" si="62"/>
        <v>69.679782524782155</v>
      </c>
      <c r="F179" s="49">
        <v>184312</v>
      </c>
      <c r="G179" s="49">
        <v>415321</v>
      </c>
      <c r="H179" s="43">
        <f t="shared" si="63"/>
        <v>44.378203847144739</v>
      </c>
      <c r="I179" s="49">
        <v>388545</v>
      </c>
      <c r="J179" s="49">
        <v>593881</v>
      </c>
      <c r="K179" s="43">
        <f t="shared" si="64"/>
        <v>65.424723134769422</v>
      </c>
      <c r="L179" s="49">
        <v>388545</v>
      </c>
      <c r="M179" s="49">
        <v>593881</v>
      </c>
      <c r="N179" s="43">
        <f t="shared" si="66"/>
        <v>65.424723134769422</v>
      </c>
      <c r="O179" s="49">
        <v>72</v>
      </c>
      <c r="P179" s="49">
        <v>61</v>
      </c>
      <c r="Q179" s="49">
        <v>73</v>
      </c>
      <c r="R179" s="45">
        <f t="shared" si="65"/>
        <v>4453</v>
      </c>
    </row>
    <row r="180" spans="1:18" x14ac:dyDescent="0.25">
      <c r="A180" s="112">
        <v>8</v>
      </c>
      <c r="B180" s="113" t="s">
        <v>148</v>
      </c>
      <c r="C180" s="65">
        <v>75091</v>
      </c>
      <c r="D180" s="65">
        <v>40979</v>
      </c>
      <c r="E180" s="43">
        <f t="shared" si="62"/>
        <v>183.24263647233948</v>
      </c>
      <c r="F180" s="65">
        <v>11984</v>
      </c>
      <c r="G180" s="65">
        <v>40979</v>
      </c>
      <c r="H180" s="43">
        <f t="shared" si="63"/>
        <v>29.244247053368799</v>
      </c>
      <c r="I180" s="65">
        <v>75091</v>
      </c>
      <c r="J180" s="65">
        <v>40979</v>
      </c>
      <c r="K180" s="43">
        <f t="shared" si="64"/>
        <v>183.24263647233948</v>
      </c>
      <c r="L180" s="65">
        <v>75091</v>
      </c>
      <c r="M180" s="65">
        <v>40979</v>
      </c>
      <c r="N180" s="43">
        <f t="shared" si="66"/>
        <v>183.24263647233948</v>
      </c>
      <c r="O180" s="49">
        <v>38</v>
      </c>
      <c r="P180" s="49">
        <v>75</v>
      </c>
      <c r="Q180" s="49">
        <v>36</v>
      </c>
      <c r="R180" s="45">
        <f t="shared" si="65"/>
        <v>2700</v>
      </c>
    </row>
    <row r="181" spans="1:18" x14ac:dyDescent="0.25">
      <c r="A181" s="102">
        <v>9</v>
      </c>
      <c r="B181" s="113" t="s">
        <v>149</v>
      </c>
      <c r="C181" s="49">
        <v>886</v>
      </c>
      <c r="D181" s="49">
        <v>15785</v>
      </c>
      <c r="E181" s="43">
        <f t="shared" si="62"/>
        <v>5.6129236617041496</v>
      </c>
      <c r="F181" s="49">
        <v>886</v>
      </c>
      <c r="G181" s="49">
        <v>15785</v>
      </c>
      <c r="H181" s="43">
        <f t="shared" si="63"/>
        <v>5.6129236617041496</v>
      </c>
      <c r="I181" s="49">
        <v>886</v>
      </c>
      <c r="J181" s="49">
        <v>15785</v>
      </c>
      <c r="K181" s="43">
        <f t="shared" si="64"/>
        <v>5.6129236617041496</v>
      </c>
      <c r="L181" s="49">
        <v>886</v>
      </c>
      <c r="M181" s="49">
        <v>15785</v>
      </c>
      <c r="N181" s="43">
        <f t="shared" si="66"/>
        <v>5.6129236617041496</v>
      </c>
      <c r="O181" s="49">
        <v>9</v>
      </c>
      <c r="P181" s="49">
        <v>50</v>
      </c>
      <c r="Q181" s="49">
        <v>9</v>
      </c>
      <c r="R181" s="45">
        <f t="shared" si="65"/>
        <v>450</v>
      </c>
    </row>
    <row r="182" spans="1:18" x14ac:dyDescent="0.25">
      <c r="A182" s="112">
        <v>10</v>
      </c>
      <c r="B182" s="113" t="s">
        <v>150</v>
      </c>
      <c r="C182" s="49">
        <v>0</v>
      </c>
      <c r="D182" s="49">
        <v>19539</v>
      </c>
      <c r="E182" s="43">
        <f t="shared" si="62"/>
        <v>0</v>
      </c>
      <c r="F182" s="49">
        <v>0</v>
      </c>
      <c r="G182" s="49">
        <v>0</v>
      </c>
      <c r="H182" s="43" t="e">
        <f t="shared" si="63"/>
        <v>#DIV/0!</v>
      </c>
      <c r="I182" s="49">
        <v>0</v>
      </c>
      <c r="J182" s="49">
        <v>19539</v>
      </c>
      <c r="K182" s="43">
        <f t="shared" si="64"/>
        <v>0</v>
      </c>
      <c r="L182" s="49">
        <v>0</v>
      </c>
      <c r="M182" s="49">
        <v>19539</v>
      </c>
      <c r="N182" s="43">
        <f t="shared" si="66"/>
        <v>0</v>
      </c>
      <c r="O182" s="49">
        <v>23</v>
      </c>
      <c r="P182" s="49">
        <v>50</v>
      </c>
      <c r="Q182" s="49">
        <v>24</v>
      </c>
      <c r="R182" s="116">
        <f t="shared" si="65"/>
        <v>1200</v>
      </c>
    </row>
    <row r="183" spans="1:18" s="60" customFormat="1" x14ac:dyDescent="0.25">
      <c r="A183" s="315" t="s">
        <v>173</v>
      </c>
      <c r="B183" s="315" t="s">
        <v>139</v>
      </c>
      <c r="C183" s="58">
        <f>SUM(C173:C182)</f>
        <v>1121292</v>
      </c>
      <c r="D183" s="58">
        <f>SUM(D173:D182)</f>
        <v>1380553</v>
      </c>
      <c r="E183" s="57">
        <f>C183/D183*100</f>
        <v>81.220496424258968</v>
      </c>
      <c r="F183" s="58">
        <f>SUM(F173:F182)</f>
        <v>440612</v>
      </c>
      <c r="G183" s="58">
        <f>SUM(G173:G182)</f>
        <v>1097605</v>
      </c>
      <c r="H183" s="57">
        <f>F183/G183*100</f>
        <v>40.143038707002972</v>
      </c>
      <c r="I183" s="58">
        <f>SUM(I173:I182)</f>
        <v>1215481</v>
      </c>
      <c r="J183" s="58">
        <f>SUM(J173:J182)</f>
        <v>1370811</v>
      </c>
      <c r="K183" s="57">
        <f>I183/J183*100</f>
        <v>88.668751563855267</v>
      </c>
      <c r="L183" s="58">
        <f>SUM(L173:L182)</f>
        <v>1213697</v>
      </c>
      <c r="M183" s="56">
        <f>SUM(M173:M182)</f>
        <v>1361691</v>
      </c>
      <c r="N183" s="57">
        <f>L183/M183*100</f>
        <v>89.131601809808529</v>
      </c>
      <c r="O183" s="58">
        <f>SUM(O173:O182)</f>
        <v>516</v>
      </c>
      <c r="P183" s="57">
        <f>R183/O183</f>
        <v>85.815891472868216</v>
      </c>
      <c r="Q183" s="58">
        <f>SUM(Q173:Q182)</f>
        <v>524</v>
      </c>
      <c r="R183" s="59">
        <f>SUM(R173:R182)</f>
        <v>44281</v>
      </c>
    </row>
    <row r="184" spans="1:18" x14ac:dyDescent="0.25">
      <c r="A184" s="117"/>
      <c r="B184" s="117"/>
      <c r="C184" s="98"/>
      <c r="D184" s="98"/>
      <c r="E184" s="97"/>
      <c r="F184" s="118"/>
      <c r="G184" s="118"/>
      <c r="H184" s="97"/>
      <c r="I184" s="139"/>
      <c r="J184" s="139"/>
      <c r="K184" s="119"/>
      <c r="L184" s="139"/>
      <c r="M184" s="139"/>
      <c r="N184" s="139"/>
      <c r="O184" s="139"/>
      <c r="P184" s="62"/>
      <c r="Q184" s="139"/>
      <c r="R184" s="31"/>
    </row>
    <row r="185" spans="1:18" x14ac:dyDescent="0.25">
      <c r="A185" s="321" t="s">
        <v>151</v>
      </c>
      <c r="B185" s="322"/>
      <c r="C185" s="37">
        <v>3</v>
      </c>
      <c r="D185" s="37">
        <v>4</v>
      </c>
      <c r="E185" s="136">
        <v>5</v>
      </c>
      <c r="F185" s="37">
        <v>6</v>
      </c>
      <c r="G185" s="37">
        <v>7</v>
      </c>
      <c r="H185" s="37">
        <v>8</v>
      </c>
      <c r="I185" s="37">
        <v>9</v>
      </c>
      <c r="J185" s="37">
        <v>10</v>
      </c>
      <c r="K185" s="37">
        <v>11</v>
      </c>
      <c r="L185" s="37">
        <v>12</v>
      </c>
      <c r="M185" s="37">
        <v>13</v>
      </c>
      <c r="N185" s="37">
        <v>14</v>
      </c>
      <c r="O185" s="37">
        <v>15</v>
      </c>
      <c r="P185" s="136">
        <v>16</v>
      </c>
      <c r="Q185" s="37">
        <v>17</v>
      </c>
      <c r="R185" s="31"/>
    </row>
    <row r="186" spans="1:18" x14ac:dyDescent="0.25">
      <c r="A186" s="118">
        <v>1</v>
      </c>
      <c r="B186" s="120" t="s">
        <v>152</v>
      </c>
      <c r="C186" s="96">
        <v>89938</v>
      </c>
      <c r="D186" s="96">
        <v>65799.899999999994</v>
      </c>
      <c r="E186" s="43">
        <f t="shared" ref="E186" si="67">IF(OR(C186=0,D186=0),0,C186/D186*100)</f>
        <v>136.68409830410079</v>
      </c>
      <c r="F186" s="96">
        <v>45853</v>
      </c>
      <c r="G186" s="96">
        <v>36357.699999999997</v>
      </c>
      <c r="H186" s="43">
        <f t="shared" ref="H186" si="68">IF(OR(F186=0,G186=0),0,F186/G186*100)</f>
        <v>126.11633849225888</v>
      </c>
      <c r="I186" s="96">
        <v>59541</v>
      </c>
      <c r="J186" s="96">
        <v>25584.9</v>
      </c>
      <c r="K186" s="43">
        <f t="shared" ref="K186" si="69">IF(OR(I186=0,J186=0),0,I186/J186*100)</f>
        <v>232.71929927418125</v>
      </c>
      <c r="L186" s="96">
        <v>0</v>
      </c>
      <c r="M186" s="96">
        <v>0</v>
      </c>
      <c r="N186" s="43">
        <f t="shared" ref="N186" si="70">IF(OR(L186=0,M186=0),0,L186/M186*100)</f>
        <v>0</v>
      </c>
      <c r="O186" s="96">
        <v>306</v>
      </c>
      <c r="P186" s="76">
        <v>207.1</v>
      </c>
      <c r="Q186" s="49">
        <v>305</v>
      </c>
      <c r="R186" s="45">
        <f t="shared" ref="R186:R193" si="71">Q186*P186</f>
        <v>63165.5</v>
      </c>
    </row>
    <row r="187" spans="1:18" x14ac:dyDescent="0.25">
      <c r="A187" s="118">
        <v>2</v>
      </c>
      <c r="B187" s="120" t="s">
        <v>154</v>
      </c>
      <c r="C187" s="96">
        <v>1174</v>
      </c>
      <c r="D187" s="96">
        <v>106552</v>
      </c>
      <c r="E187" s="43">
        <f t="shared" ref="E187:E196" si="72">IF(OR(C187=0,D187=0),0,C187/D187*100)</f>
        <v>1.1018094451535401</v>
      </c>
      <c r="F187" s="96">
        <v>1174</v>
      </c>
      <c r="G187" s="96">
        <v>46447.199999999997</v>
      </c>
      <c r="H187" s="43">
        <f t="shared" ref="H187:H196" si="73">IF(OR(F187=0,G187=0),0,F187/G187*100)</f>
        <v>2.527601233228268</v>
      </c>
      <c r="I187" s="96">
        <v>1174</v>
      </c>
      <c r="J187" s="96">
        <v>111942.2</v>
      </c>
      <c r="K187" s="43">
        <f t="shared" ref="K187:K196" si="74">IF(OR(I187=0,J187=0),0,I187/J187*100)</f>
        <v>1.0487555184729263</v>
      </c>
      <c r="L187" s="96">
        <v>1174</v>
      </c>
      <c r="M187" s="96">
        <v>111942.2</v>
      </c>
      <c r="N187" s="43">
        <f t="shared" ref="N187:N196" si="75">IF(OR(L187=0,M187=0),0,L187/M187*100)</f>
        <v>1.0487555184729263</v>
      </c>
      <c r="O187" s="96">
        <v>50</v>
      </c>
      <c r="P187" s="96">
        <v>132</v>
      </c>
      <c r="Q187" s="49">
        <v>50</v>
      </c>
      <c r="R187" s="45">
        <f t="shared" si="71"/>
        <v>6600</v>
      </c>
    </row>
    <row r="188" spans="1:18" x14ac:dyDescent="0.25">
      <c r="A188" s="118">
        <v>3</v>
      </c>
      <c r="B188" s="120" t="s">
        <v>155</v>
      </c>
      <c r="C188" s="96">
        <v>1017</v>
      </c>
      <c r="D188" s="96">
        <v>1273</v>
      </c>
      <c r="E188" s="43">
        <f t="shared" si="72"/>
        <v>79.89002356637863</v>
      </c>
      <c r="F188" s="96">
        <v>1017</v>
      </c>
      <c r="G188" s="96">
        <v>1273</v>
      </c>
      <c r="H188" s="43">
        <f t="shared" si="73"/>
        <v>79.89002356637863</v>
      </c>
      <c r="I188" s="96">
        <v>0</v>
      </c>
      <c r="J188" s="96">
        <v>0</v>
      </c>
      <c r="K188" s="43">
        <f t="shared" si="74"/>
        <v>0</v>
      </c>
      <c r="L188" s="96">
        <v>0</v>
      </c>
      <c r="M188" s="96">
        <v>0</v>
      </c>
      <c r="N188" s="43">
        <f t="shared" si="75"/>
        <v>0</v>
      </c>
      <c r="O188" s="96">
        <v>28</v>
      </c>
      <c r="P188" s="96">
        <v>40</v>
      </c>
      <c r="Q188" s="49">
        <v>28</v>
      </c>
      <c r="R188" s="45">
        <f t="shared" si="71"/>
        <v>1120</v>
      </c>
    </row>
    <row r="189" spans="1:18" ht="36" x14ac:dyDescent="0.25">
      <c r="A189" s="118">
        <v>4</v>
      </c>
      <c r="B189" s="121" t="s">
        <v>156</v>
      </c>
      <c r="C189" s="49">
        <v>10655.8</v>
      </c>
      <c r="D189" s="49">
        <v>9831</v>
      </c>
      <c r="E189" s="43">
        <f t="shared" si="72"/>
        <v>108.38978740718134</v>
      </c>
      <c r="F189" s="49">
        <v>9609.2000000000007</v>
      </c>
      <c r="G189" s="49">
        <v>9136</v>
      </c>
      <c r="H189" s="43">
        <f t="shared" si="73"/>
        <v>105.17950963222418</v>
      </c>
      <c r="I189" s="49">
        <v>0</v>
      </c>
      <c r="J189" s="49">
        <v>0</v>
      </c>
      <c r="K189" s="43">
        <f t="shared" si="74"/>
        <v>0</v>
      </c>
      <c r="L189" s="49">
        <v>0</v>
      </c>
      <c r="M189" s="49">
        <v>0</v>
      </c>
      <c r="N189" s="43">
        <f t="shared" si="75"/>
        <v>0</v>
      </c>
      <c r="O189" s="49">
        <v>88</v>
      </c>
      <c r="P189" s="49">
        <v>78</v>
      </c>
      <c r="Q189" s="49">
        <v>88</v>
      </c>
      <c r="R189" s="45">
        <f t="shared" si="71"/>
        <v>6864</v>
      </c>
    </row>
    <row r="190" spans="1:18" x14ac:dyDescent="0.25">
      <c r="A190" s="118">
        <v>5</v>
      </c>
      <c r="B190" s="122" t="s">
        <v>157</v>
      </c>
      <c r="C190" s="96">
        <v>0</v>
      </c>
      <c r="D190" s="96">
        <v>0</v>
      </c>
      <c r="E190" s="43">
        <f>IF(OR(C190=0,D190=0),0,C190/D190*100)</f>
        <v>0</v>
      </c>
      <c r="F190" s="96">
        <v>0</v>
      </c>
      <c r="G190" s="96">
        <v>0</v>
      </c>
      <c r="H190" s="43">
        <f t="shared" si="73"/>
        <v>0</v>
      </c>
      <c r="I190" s="96">
        <v>0</v>
      </c>
      <c r="J190" s="96">
        <v>0</v>
      </c>
      <c r="K190" s="43">
        <f t="shared" si="74"/>
        <v>0</v>
      </c>
      <c r="L190" s="96">
        <v>0</v>
      </c>
      <c r="M190" s="96">
        <v>0</v>
      </c>
      <c r="N190" s="43">
        <f t="shared" si="75"/>
        <v>0</v>
      </c>
      <c r="O190" s="96">
        <v>32</v>
      </c>
      <c r="P190" s="96">
        <v>15</v>
      </c>
      <c r="Q190" s="49">
        <v>31</v>
      </c>
      <c r="R190" s="45">
        <f t="shared" si="71"/>
        <v>465</v>
      </c>
    </row>
    <row r="191" spans="1:18" x14ac:dyDescent="0.25">
      <c r="A191" s="118">
        <v>6</v>
      </c>
      <c r="B191" s="120" t="s">
        <v>158</v>
      </c>
      <c r="C191" s="96">
        <v>1495</v>
      </c>
      <c r="D191" s="96">
        <v>1447</v>
      </c>
      <c r="E191" s="43">
        <f t="shared" si="72"/>
        <v>103.31720801658604</v>
      </c>
      <c r="F191" s="96">
        <v>1283</v>
      </c>
      <c r="G191" s="96">
        <v>699</v>
      </c>
      <c r="H191" s="43">
        <f t="shared" si="73"/>
        <v>183.54792560801144</v>
      </c>
      <c r="I191" s="96">
        <v>0</v>
      </c>
      <c r="J191" s="96">
        <v>0</v>
      </c>
      <c r="K191" s="43">
        <f t="shared" si="74"/>
        <v>0</v>
      </c>
      <c r="L191" s="96">
        <v>0</v>
      </c>
      <c r="M191" s="96">
        <v>0</v>
      </c>
      <c r="N191" s="43">
        <f t="shared" si="75"/>
        <v>0</v>
      </c>
      <c r="O191" s="96">
        <v>19</v>
      </c>
      <c r="P191" s="96">
        <v>34</v>
      </c>
      <c r="Q191" s="49">
        <v>19</v>
      </c>
      <c r="R191" s="45">
        <f t="shared" si="71"/>
        <v>646</v>
      </c>
    </row>
    <row r="192" spans="1:18" x14ac:dyDescent="0.25">
      <c r="A192" s="118">
        <v>7</v>
      </c>
      <c r="B192" s="120" t="s">
        <v>159</v>
      </c>
      <c r="C192" s="96">
        <v>6555</v>
      </c>
      <c r="D192" s="96">
        <v>7000</v>
      </c>
      <c r="E192" s="43">
        <f t="shared" si="72"/>
        <v>93.642857142857139</v>
      </c>
      <c r="F192" s="96">
        <v>6555</v>
      </c>
      <c r="G192" s="96">
        <v>0</v>
      </c>
      <c r="H192" s="43">
        <f t="shared" si="73"/>
        <v>0</v>
      </c>
      <c r="I192" s="96">
        <v>6555</v>
      </c>
      <c r="J192" s="96">
        <v>7000</v>
      </c>
      <c r="K192" s="43">
        <f t="shared" si="74"/>
        <v>93.642857142857139</v>
      </c>
      <c r="L192" s="96">
        <v>0</v>
      </c>
      <c r="M192" s="96">
        <v>0</v>
      </c>
      <c r="N192" s="43">
        <f t="shared" si="75"/>
        <v>0</v>
      </c>
      <c r="O192" s="96">
        <v>84</v>
      </c>
      <c r="P192" s="76">
        <v>55.8</v>
      </c>
      <c r="Q192" s="49">
        <v>83</v>
      </c>
      <c r="R192" s="45">
        <f t="shared" si="71"/>
        <v>4631.3999999999996</v>
      </c>
    </row>
    <row r="193" spans="1:18" x14ac:dyDescent="0.25">
      <c r="A193" s="118">
        <v>8</v>
      </c>
      <c r="B193" s="120" t="s">
        <v>160</v>
      </c>
      <c r="C193" s="96">
        <v>2020</v>
      </c>
      <c r="D193" s="96">
        <v>0</v>
      </c>
      <c r="E193" s="43">
        <f t="shared" si="72"/>
        <v>0</v>
      </c>
      <c r="F193" s="96">
        <v>1020</v>
      </c>
      <c r="G193" s="96">
        <v>0</v>
      </c>
      <c r="H193" s="43">
        <f t="shared" si="73"/>
        <v>0</v>
      </c>
      <c r="I193" s="96">
        <v>0</v>
      </c>
      <c r="J193" s="96">
        <v>0</v>
      </c>
      <c r="K193" s="43">
        <f t="shared" si="74"/>
        <v>0</v>
      </c>
      <c r="L193" s="96">
        <v>0</v>
      </c>
      <c r="M193" s="96">
        <v>0</v>
      </c>
      <c r="N193" s="43">
        <f t="shared" si="75"/>
        <v>0</v>
      </c>
      <c r="O193" s="96">
        <v>14</v>
      </c>
      <c r="P193" s="76">
        <v>46.5</v>
      </c>
      <c r="Q193" s="49">
        <v>12</v>
      </c>
      <c r="R193" s="45">
        <f t="shared" si="71"/>
        <v>558</v>
      </c>
    </row>
    <row r="194" spans="1:18" x14ac:dyDescent="0.25">
      <c r="A194" s="118">
        <v>9</v>
      </c>
      <c r="B194" s="120" t="s">
        <v>161</v>
      </c>
      <c r="C194" s="96">
        <v>11450</v>
      </c>
      <c r="D194" s="96">
        <v>8700</v>
      </c>
      <c r="E194" s="43">
        <f t="shared" si="72"/>
        <v>131.60919540229884</v>
      </c>
      <c r="F194" s="96">
        <v>5850</v>
      </c>
      <c r="G194" s="96">
        <v>4400</v>
      </c>
      <c r="H194" s="43">
        <f t="shared" si="73"/>
        <v>132.95454545454547</v>
      </c>
      <c r="I194" s="96">
        <v>0</v>
      </c>
      <c r="J194" s="96">
        <v>0</v>
      </c>
      <c r="K194" s="43">
        <f t="shared" si="74"/>
        <v>0</v>
      </c>
      <c r="L194" s="96">
        <v>0</v>
      </c>
      <c r="M194" s="96">
        <v>0</v>
      </c>
      <c r="N194" s="43">
        <v>0</v>
      </c>
      <c r="O194" s="96">
        <v>24</v>
      </c>
      <c r="P194" s="76">
        <v>81.900000000000006</v>
      </c>
      <c r="Q194" s="49">
        <v>24</v>
      </c>
      <c r="R194" s="45"/>
    </row>
    <row r="195" spans="1:18" x14ac:dyDescent="0.25">
      <c r="A195" s="118">
        <v>10</v>
      </c>
      <c r="B195" s="120" t="s">
        <v>162</v>
      </c>
      <c r="C195" s="96">
        <v>3178</v>
      </c>
      <c r="D195" s="96">
        <v>4416</v>
      </c>
      <c r="E195" s="43">
        <f t="shared" si="72"/>
        <v>71.965579710144922</v>
      </c>
      <c r="F195" s="96">
        <v>1568</v>
      </c>
      <c r="G195" s="96">
        <v>2285</v>
      </c>
      <c r="H195" s="43">
        <f t="shared" si="73"/>
        <v>68.621444201312912</v>
      </c>
      <c r="I195" s="96">
        <v>1568</v>
      </c>
      <c r="J195" s="96">
        <v>4416</v>
      </c>
      <c r="K195" s="43">
        <f t="shared" si="74"/>
        <v>35.507246376811594</v>
      </c>
      <c r="L195" s="96">
        <v>0</v>
      </c>
      <c r="M195" s="96">
        <v>0</v>
      </c>
      <c r="N195" s="43">
        <f t="shared" si="75"/>
        <v>0</v>
      </c>
      <c r="O195" s="96">
        <v>29</v>
      </c>
      <c r="P195" s="96">
        <v>48.7</v>
      </c>
      <c r="Q195" s="49">
        <v>13</v>
      </c>
      <c r="R195" s="45">
        <f>Q195*P195</f>
        <v>633.1</v>
      </c>
    </row>
    <row r="196" spans="1:18" x14ac:dyDescent="0.25">
      <c r="A196" s="118">
        <v>11</v>
      </c>
      <c r="B196" s="123" t="s">
        <v>163</v>
      </c>
      <c r="C196" s="96">
        <v>0</v>
      </c>
      <c r="D196" s="96">
        <v>0</v>
      </c>
      <c r="E196" s="43">
        <f t="shared" si="72"/>
        <v>0</v>
      </c>
      <c r="F196" s="96">
        <v>0</v>
      </c>
      <c r="G196" s="96">
        <v>0</v>
      </c>
      <c r="H196" s="43">
        <f t="shared" si="73"/>
        <v>0</v>
      </c>
      <c r="I196" s="96">
        <v>829</v>
      </c>
      <c r="J196" s="96">
        <v>756</v>
      </c>
      <c r="K196" s="43">
        <f t="shared" si="74"/>
        <v>109.65608465608466</v>
      </c>
      <c r="L196" s="96">
        <v>397</v>
      </c>
      <c r="M196" s="96">
        <v>567</v>
      </c>
      <c r="N196" s="43">
        <f t="shared" si="75"/>
        <v>70.017636684303355</v>
      </c>
      <c r="O196" s="96">
        <v>26</v>
      </c>
      <c r="P196" s="96">
        <v>47</v>
      </c>
      <c r="Q196" s="49">
        <v>26</v>
      </c>
      <c r="R196" s="45">
        <f>Q196*P196</f>
        <v>1222</v>
      </c>
    </row>
    <row r="197" spans="1:18" s="60" customFormat="1" x14ac:dyDescent="0.25">
      <c r="A197" s="315" t="s">
        <v>173</v>
      </c>
      <c r="B197" s="315" t="s">
        <v>139</v>
      </c>
      <c r="C197" s="124">
        <f>SUM(C186:C196)</f>
        <v>127482.8</v>
      </c>
      <c r="D197" s="124">
        <f>SUM(D186:D196)</f>
        <v>205018.9</v>
      </c>
      <c r="E197" s="57">
        <f t="shared" ref="E197" si="76">C197/D197*100</f>
        <v>62.180998922538365</v>
      </c>
      <c r="F197" s="124">
        <f>SUM(F186:F196)</f>
        <v>73929.2</v>
      </c>
      <c r="G197" s="124">
        <f>SUM(G186:G196)</f>
        <v>100597.9</v>
      </c>
      <c r="H197" s="57">
        <f t="shared" ref="H197" si="77">F197/G197*100</f>
        <v>73.48980445913881</v>
      </c>
      <c r="I197" s="124">
        <f>SUM(I186:I196)</f>
        <v>69667</v>
      </c>
      <c r="J197" s="124">
        <f>SUM(J186:J196)</f>
        <v>149699.1</v>
      </c>
      <c r="K197" s="57">
        <f>I197/J197*100</f>
        <v>46.538021938675648</v>
      </c>
      <c r="L197" s="124">
        <f>SUM(L186:L196)</f>
        <v>1571</v>
      </c>
      <c r="M197" s="124">
        <f>SUM(M186:M196)</f>
        <v>112509.2</v>
      </c>
      <c r="N197" s="57">
        <f>L197/M197*100</f>
        <v>1.3963302556590929</v>
      </c>
      <c r="O197" s="124">
        <f>SUM(O186:O196)</f>
        <v>700</v>
      </c>
      <c r="P197" s="57">
        <f>R197/O197</f>
        <v>122.72142857142858</v>
      </c>
      <c r="Q197" s="124">
        <f>SUM(Q186:Q196)</f>
        <v>679</v>
      </c>
      <c r="R197" s="59">
        <f>SUM(R186:R196)</f>
        <v>85905</v>
      </c>
    </row>
    <row r="198" spans="1:18" x14ac:dyDescent="0.25">
      <c r="A198" s="125"/>
      <c r="B198" s="37"/>
      <c r="C198" s="125"/>
      <c r="D198" s="125"/>
      <c r="E198" s="125"/>
      <c r="F198" s="125"/>
      <c r="G198" s="125"/>
      <c r="H198" s="125"/>
      <c r="I198" s="125"/>
      <c r="J198" s="125"/>
      <c r="K198" s="125"/>
      <c r="L198" s="125"/>
      <c r="M198" s="125"/>
      <c r="N198" s="125"/>
      <c r="O198" s="125"/>
      <c r="P198" s="125"/>
      <c r="Q198" s="125"/>
      <c r="R198" s="126"/>
    </row>
    <row r="199" spans="1:18" x14ac:dyDescent="0.25">
      <c r="A199" s="323" t="s">
        <v>22</v>
      </c>
      <c r="B199" s="324"/>
      <c r="C199" s="37">
        <v>3</v>
      </c>
      <c r="D199" s="37">
        <v>4</v>
      </c>
      <c r="E199" s="136">
        <v>5</v>
      </c>
      <c r="F199" s="37">
        <v>6</v>
      </c>
      <c r="G199" s="37">
        <v>7</v>
      </c>
      <c r="H199" s="37">
        <v>8</v>
      </c>
      <c r="I199" s="37">
        <v>9</v>
      </c>
      <c r="J199" s="37">
        <v>10</v>
      </c>
      <c r="K199" s="37">
        <v>11</v>
      </c>
      <c r="L199" s="37">
        <v>12</v>
      </c>
      <c r="M199" s="37">
        <v>13</v>
      </c>
      <c r="N199" s="37">
        <v>14</v>
      </c>
      <c r="O199" s="37">
        <v>15</v>
      </c>
      <c r="P199" s="136">
        <v>16</v>
      </c>
      <c r="Q199" s="37">
        <v>17</v>
      </c>
      <c r="R199" s="23"/>
    </row>
    <row r="200" spans="1:18" x14ac:dyDescent="0.25">
      <c r="A200" s="96">
        <v>1</v>
      </c>
      <c r="B200" s="127" t="s">
        <v>164</v>
      </c>
      <c r="C200" s="49">
        <v>6937</v>
      </c>
      <c r="D200" s="49">
        <v>8389</v>
      </c>
      <c r="E200" s="119">
        <f t="shared" ref="E200" si="78">C200/D200*100</f>
        <v>82.691619978543329</v>
      </c>
      <c r="F200" s="49">
        <v>5446</v>
      </c>
      <c r="G200" s="49">
        <v>3433</v>
      </c>
      <c r="H200" s="119">
        <f t="shared" ref="H200" si="79">F200/G200*100</f>
        <v>158.63676085056801</v>
      </c>
      <c r="I200" s="49">
        <v>6937</v>
      </c>
      <c r="J200" s="49">
        <v>8389</v>
      </c>
      <c r="K200" s="119">
        <f t="shared" ref="K200" si="80">I200/J200*100</f>
        <v>82.691619978543329</v>
      </c>
      <c r="L200" s="49">
        <v>6937</v>
      </c>
      <c r="M200" s="49">
        <v>8389</v>
      </c>
      <c r="N200" s="47">
        <f t="shared" ref="N200" si="81">L200/M200*100</f>
        <v>82.691619978543329</v>
      </c>
      <c r="O200" s="34">
        <v>53</v>
      </c>
      <c r="P200" s="96">
        <v>45</v>
      </c>
      <c r="Q200" s="34">
        <v>53</v>
      </c>
      <c r="R200" s="45">
        <f>Q200*P200</f>
        <v>2385</v>
      </c>
    </row>
    <row r="201" spans="1:18" x14ac:dyDescent="0.25">
      <c r="A201" s="96">
        <v>2</v>
      </c>
      <c r="B201" s="127" t="s">
        <v>165</v>
      </c>
      <c r="C201" s="49">
        <v>0</v>
      </c>
      <c r="D201" s="49">
        <v>0</v>
      </c>
      <c r="E201" s="119">
        <v>0</v>
      </c>
      <c r="F201" s="49">
        <v>0</v>
      </c>
      <c r="G201" s="49">
        <v>0</v>
      </c>
      <c r="H201" s="119">
        <v>0</v>
      </c>
      <c r="I201" s="49">
        <v>0</v>
      </c>
      <c r="J201" s="49">
        <v>0</v>
      </c>
      <c r="K201" s="119">
        <v>0</v>
      </c>
      <c r="L201" s="49">
        <v>0</v>
      </c>
      <c r="M201" s="49">
        <v>0</v>
      </c>
      <c r="N201" s="47">
        <v>0</v>
      </c>
      <c r="O201" s="34">
        <v>190</v>
      </c>
      <c r="P201" s="96">
        <v>65</v>
      </c>
      <c r="Q201" s="34">
        <v>190</v>
      </c>
      <c r="R201" s="45">
        <f>Q201*P201</f>
        <v>12350</v>
      </c>
    </row>
    <row r="202" spans="1:18" s="60" customFormat="1" x14ac:dyDescent="0.25">
      <c r="A202" s="315" t="s">
        <v>173</v>
      </c>
      <c r="B202" s="315" t="s">
        <v>139</v>
      </c>
      <c r="C202" s="56">
        <f>SUM(C200:C201)</f>
        <v>6937</v>
      </c>
      <c r="D202" s="56">
        <f>SUM(D200:D201)</f>
        <v>8389</v>
      </c>
      <c r="E202" s="57">
        <f>C202/D202*100</f>
        <v>82.691619978543329</v>
      </c>
      <c r="F202" s="56">
        <f>SUM(F200:F201)</f>
        <v>5446</v>
      </c>
      <c r="G202" s="56">
        <f>SUM(G200:G201)</f>
        <v>3433</v>
      </c>
      <c r="H202" s="57">
        <f>F202/G202*100</f>
        <v>158.63676085056801</v>
      </c>
      <c r="I202" s="57">
        <f>SUM(I200:I201)</f>
        <v>6937</v>
      </c>
      <c r="J202" s="56">
        <f>SUM(J200:J201)</f>
        <v>8389</v>
      </c>
      <c r="K202" s="57">
        <f>I202/J202*100</f>
        <v>82.691619978543329</v>
      </c>
      <c r="L202" s="58">
        <f>SUM(L200:L201)</f>
        <v>6937</v>
      </c>
      <c r="M202" s="56">
        <f>SUM(M200:M201)</f>
        <v>8389</v>
      </c>
      <c r="N202" s="57">
        <f>L202/M202*100</f>
        <v>82.691619978543329</v>
      </c>
      <c r="O202" s="58">
        <f>SUM(O200:O201)</f>
        <v>243</v>
      </c>
      <c r="P202" s="58">
        <f>R202/O202</f>
        <v>60.637860082304528</v>
      </c>
      <c r="Q202" s="56">
        <f>SUM(Q200:Q201)</f>
        <v>243</v>
      </c>
      <c r="R202" s="59">
        <f>SUM(R200:R201)</f>
        <v>14735</v>
      </c>
    </row>
    <row r="203" spans="1:18" x14ac:dyDescent="0.25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6"/>
    </row>
    <row r="204" spans="1:18" x14ac:dyDescent="0.25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6"/>
    </row>
    <row r="205" spans="1:18" x14ac:dyDescent="0.25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6"/>
    </row>
    <row r="206" spans="1:18" x14ac:dyDescent="0.25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6"/>
    </row>
    <row r="207" spans="1:18" x14ac:dyDescent="0.25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6"/>
    </row>
    <row r="208" spans="1:18" x14ac:dyDescent="0.25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6"/>
    </row>
    <row r="209" spans="1:22" x14ac:dyDescent="0.25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6"/>
    </row>
    <row r="210" spans="1:22" x14ac:dyDescent="0.25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</row>
    <row r="211" spans="1:22" x14ac:dyDescent="0.25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</row>
    <row r="212" spans="1:22" x14ac:dyDescent="0.25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</row>
    <row r="213" spans="1:22" x14ac:dyDescent="0.25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</row>
    <row r="214" spans="1:22" x14ac:dyDescent="0.25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</row>
    <row r="215" spans="1:22" ht="7.5" customHeight="1" x14ac:dyDescent="0.25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</row>
    <row r="216" spans="1:22" x14ac:dyDescent="0.25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</row>
    <row r="217" spans="1:22" x14ac:dyDescent="0.25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</row>
    <row r="218" spans="1:22" x14ac:dyDescent="0.25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</row>
    <row r="219" spans="1:22" x14ac:dyDescent="0.25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</row>
    <row r="220" spans="1:22" x14ac:dyDescent="0.25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</row>
    <row r="221" spans="1:22" x14ac:dyDescent="0.25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</row>
    <row r="222" spans="1:22" x14ac:dyDescent="0.25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</row>
    <row r="223" spans="1:22" x14ac:dyDescent="0.25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</row>
    <row r="224" spans="1:22" x14ac:dyDescent="0.25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</row>
    <row r="225" spans="1:22" x14ac:dyDescent="0.25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</row>
    <row r="226" spans="1:22" ht="6.75" customHeight="1" x14ac:dyDescent="0.25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</row>
    <row r="227" spans="1:22" ht="15" hidden="1" customHeight="1" x14ac:dyDescent="0.25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</row>
    <row r="228" spans="1:22" ht="15" hidden="1" customHeight="1" x14ac:dyDescent="0.25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</row>
    <row r="229" spans="1:22" ht="15" hidden="1" customHeight="1" x14ac:dyDescent="0.25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</row>
    <row r="230" spans="1:22" ht="15" hidden="1" customHeight="1" x14ac:dyDescent="0.25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</row>
    <row r="231" spans="1:22" ht="15" hidden="1" customHeight="1" x14ac:dyDescent="0.25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</row>
    <row r="232" spans="1:22" ht="15" hidden="1" customHeight="1" x14ac:dyDescent="0.25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</row>
    <row r="233" spans="1:22" ht="15" hidden="1" customHeight="1" x14ac:dyDescent="0.25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</row>
    <row r="234" spans="1:22" ht="15" hidden="1" customHeight="1" x14ac:dyDescent="0.25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</row>
    <row r="235" spans="1:22" ht="15" hidden="1" customHeight="1" x14ac:dyDescent="0.25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</row>
    <row r="236" spans="1:22" ht="15" hidden="1" customHeight="1" x14ac:dyDescent="0.25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</row>
    <row r="237" spans="1:22" ht="15" hidden="1" customHeight="1" x14ac:dyDescent="0.25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</row>
    <row r="238" spans="1:22" ht="15" hidden="1" customHeight="1" x14ac:dyDescent="0.25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</row>
    <row r="239" spans="1:22" ht="15" hidden="1" customHeight="1" x14ac:dyDescent="0.25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</row>
    <row r="240" spans="1:22" ht="15" hidden="1" customHeight="1" x14ac:dyDescent="0.25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</row>
    <row r="241" spans="1:22" ht="15" hidden="1" customHeight="1" x14ac:dyDescent="0.25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</row>
    <row r="242" spans="1:22" ht="15" hidden="1" customHeight="1" x14ac:dyDescent="0.25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</row>
    <row r="243" spans="1:22" ht="15" hidden="1" customHeight="1" x14ac:dyDescent="0.25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</row>
    <row r="244" spans="1:22" ht="9.75" hidden="1" customHeight="1" x14ac:dyDescent="0.25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</row>
    <row r="245" spans="1:22" ht="15" hidden="1" customHeight="1" x14ac:dyDescent="0.25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</row>
    <row r="246" spans="1:22" ht="15" hidden="1" customHeight="1" x14ac:dyDescent="0.25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</row>
    <row r="247" spans="1:22" ht="15" hidden="1" customHeight="1" x14ac:dyDescent="0.25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</row>
    <row r="248" spans="1:22" ht="15" hidden="1" customHeight="1" x14ac:dyDescent="0.25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</row>
    <row r="249" spans="1:22" ht="15" hidden="1" customHeight="1" x14ac:dyDescent="0.25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</row>
    <row r="250" spans="1:22" ht="15" hidden="1" customHeight="1" x14ac:dyDescent="0.25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</row>
    <row r="251" spans="1:22" ht="15" hidden="1" customHeight="1" x14ac:dyDescent="0.25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</row>
    <row r="252" spans="1:22" ht="8.25" customHeight="1" x14ac:dyDescent="0.25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</row>
    <row r="253" spans="1:22" ht="13.5" customHeight="1" x14ac:dyDescent="0.25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</row>
    <row r="254" spans="1:22" x14ac:dyDescent="0.25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</row>
    <row r="255" spans="1:22" x14ac:dyDescent="0.25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</row>
    <row r="256" spans="1:22" x14ac:dyDescent="0.25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</row>
    <row r="257" spans="1:22" s="18" customFormat="1" ht="23.25" customHeight="1" x14ac:dyDescent="0.25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</row>
    <row r="258" spans="1:22" s="18" customFormat="1" ht="23.25" customHeight="1" x14ac:dyDescent="0.25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</row>
    <row r="259" spans="1:22" s="18" customFormat="1" ht="23.25" customHeight="1" x14ac:dyDescent="0.25"/>
    <row r="260" spans="1:22" s="18" customFormat="1" ht="23.25" customHeight="1" x14ac:dyDescent="0.25"/>
    <row r="261" spans="1:22" s="18" customFormat="1" ht="23.25" customHeight="1" x14ac:dyDescent="0.25"/>
    <row r="262" spans="1:22" s="18" customFormat="1" x14ac:dyDescent="0.25"/>
    <row r="263" spans="1:22" s="18" customFormat="1" x14ac:dyDescent="0.25"/>
    <row r="264" spans="1:22" s="18" customFormat="1" x14ac:dyDescent="0.25"/>
    <row r="265" spans="1:22" s="18" customFormat="1" x14ac:dyDescent="0.25"/>
    <row r="266" spans="1:22" s="18" customFormat="1" x14ac:dyDescent="0.25"/>
    <row r="267" spans="1:22" s="18" customFormat="1" x14ac:dyDescent="0.25"/>
    <row r="268" spans="1:22" s="18" customFormat="1" x14ac:dyDescent="0.25"/>
    <row r="269" spans="1:22" s="18" customFormat="1" x14ac:dyDescent="0.25"/>
    <row r="270" spans="1:22" s="18" customFormat="1" x14ac:dyDescent="0.25"/>
    <row r="271" spans="1:22" s="18" customFormat="1" x14ac:dyDescent="0.25"/>
    <row r="272" spans="1:2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</sheetData>
  <mergeCells count="55">
    <mergeCell ref="A202:B202"/>
    <mergeCell ref="A145:B145"/>
    <mergeCell ref="A161:B161"/>
    <mergeCell ref="A169:B169"/>
    <mergeCell ref="D171:F171"/>
    <mergeCell ref="A172:B172"/>
    <mergeCell ref="A183:B183"/>
    <mergeCell ref="A185:B185"/>
    <mergeCell ref="A197:B197"/>
    <mergeCell ref="A199:B199"/>
    <mergeCell ref="J171:L171"/>
    <mergeCell ref="M171:O171"/>
    <mergeCell ref="A85:B85"/>
    <mergeCell ref="A87:B87"/>
    <mergeCell ref="A99:B99"/>
    <mergeCell ref="A101:B101"/>
    <mergeCell ref="A127:B127"/>
    <mergeCell ref="A143:B143"/>
    <mergeCell ref="A129:B129"/>
    <mergeCell ref="A133:B133"/>
    <mergeCell ref="A84:B84"/>
    <mergeCell ref="A37:Q39"/>
    <mergeCell ref="A40:A41"/>
    <mergeCell ref="B40:B41"/>
    <mergeCell ref="C40:G40"/>
    <mergeCell ref="H40:K40"/>
    <mergeCell ref="O40:O41"/>
    <mergeCell ref="P40:P41"/>
    <mergeCell ref="Q40:Q41"/>
    <mergeCell ref="A43:B43"/>
    <mergeCell ref="A61:B61"/>
    <mergeCell ref="A63:B63"/>
    <mergeCell ref="A73:B73"/>
    <mergeCell ref="A75:B75"/>
    <mergeCell ref="J6:J10"/>
    <mergeCell ref="K6:K10"/>
    <mergeCell ref="L6:L10"/>
    <mergeCell ref="M6:M10"/>
    <mergeCell ref="N6:N10"/>
    <mergeCell ref="I6:I10"/>
    <mergeCell ref="A3:Q4"/>
    <mergeCell ref="A5:A10"/>
    <mergeCell ref="B5:B10"/>
    <mergeCell ref="C5:H5"/>
    <mergeCell ref="I5:K5"/>
    <mergeCell ref="L5:N5"/>
    <mergeCell ref="O5:O10"/>
    <mergeCell ref="P5:P10"/>
    <mergeCell ref="Q5:Q10"/>
    <mergeCell ref="C6:C10"/>
    <mergeCell ref="D6:D10"/>
    <mergeCell ref="E6:E10"/>
    <mergeCell ref="F6:F10"/>
    <mergeCell ref="G6:G10"/>
    <mergeCell ref="H6:H10"/>
  </mergeCells>
  <pageMargins left="0.7" right="0.7" top="0.75" bottom="0.75" header="0.3" footer="0.3"/>
  <pageSetup paperSize="9" scale="7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M278"/>
  <sheetViews>
    <sheetView topLeftCell="A49" workbookViewId="0">
      <selection activeCell="J55" sqref="J55"/>
    </sheetView>
  </sheetViews>
  <sheetFormatPr defaultRowHeight="15" x14ac:dyDescent="0.25"/>
  <cols>
    <col min="1" max="1" width="3.28515625" customWidth="1"/>
    <col min="2" max="2" width="27.85546875" customWidth="1"/>
    <col min="3" max="3" width="10.85546875" customWidth="1"/>
    <col min="4" max="4" width="10.42578125" customWidth="1"/>
    <col min="5" max="5" width="6.5703125" customWidth="1"/>
    <col min="6" max="6" width="10.140625" customWidth="1"/>
    <col min="7" max="7" width="10.28515625" customWidth="1"/>
    <col min="8" max="8" width="6.42578125" customWidth="1"/>
    <col min="9" max="9" width="10.140625" customWidth="1"/>
    <col min="10" max="10" width="10.42578125" customWidth="1"/>
    <col min="11" max="11" width="6.28515625" customWidth="1"/>
    <col min="12" max="12" width="10.5703125" customWidth="1"/>
    <col min="13" max="13" width="11" customWidth="1"/>
    <col min="14" max="14" width="7" customWidth="1"/>
    <col min="15" max="15" width="7.28515625" customWidth="1"/>
    <col min="16" max="16" width="6.5703125" customWidth="1"/>
    <col min="17" max="17" width="6.7109375" customWidth="1"/>
    <col min="18" max="18" width="10.28515625" customWidth="1"/>
  </cols>
  <sheetData>
    <row r="3" spans="1:18" x14ac:dyDescent="0.25">
      <c r="A3" s="337" t="s">
        <v>195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</row>
    <row r="4" spans="1:18" x14ac:dyDescent="0.25">
      <c r="A4" s="338"/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1"/>
    </row>
    <row r="5" spans="1:18" x14ac:dyDescent="0.25">
      <c r="A5" s="339" t="s">
        <v>0</v>
      </c>
      <c r="B5" s="340" t="s">
        <v>1</v>
      </c>
      <c r="C5" s="341" t="s">
        <v>172</v>
      </c>
      <c r="D5" s="341"/>
      <c r="E5" s="341"/>
      <c r="F5" s="341"/>
      <c r="G5" s="341"/>
      <c r="H5" s="341"/>
      <c r="I5" s="342" t="s">
        <v>2</v>
      </c>
      <c r="J5" s="343"/>
      <c r="K5" s="344"/>
      <c r="L5" s="345" t="s">
        <v>3</v>
      </c>
      <c r="M5" s="346"/>
      <c r="N5" s="347"/>
      <c r="O5" s="340" t="s">
        <v>4</v>
      </c>
      <c r="P5" s="348" t="s">
        <v>5</v>
      </c>
      <c r="Q5" s="340" t="s">
        <v>6</v>
      </c>
      <c r="R5" s="2"/>
    </row>
    <row r="6" spans="1:18" x14ac:dyDescent="0.25">
      <c r="A6" s="339"/>
      <c r="B6" s="340"/>
      <c r="C6" s="340" t="s">
        <v>7</v>
      </c>
      <c r="D6" s="340" t="s">
        <v>8</v>
      </c>
      <c r="E6" s="349" t="s">
        <v>9</v>
      </c>
      <c r="F6" s="340" t="s">
        <v>10</v>
      </c>
      <c r="G6" s="340" t="s">
        <v>8</v>
      </c>
      <c r="H6" s="349" t="s">
        <v>9</v>
      </c>
      <c r="I6" s="340" t="s">
        <v>11</v>
      </c>
      <c r="J6" s="340" t="s">
        <v>8</v>
      </c>
      <c r="K6" s="349" t="s">
        <v>9</v>
      </c>
      <c r="L6" s="340" t="s">
        <v>11</v>
      </c>
      <c r="M6" s="340" t="s">
        <v>8</v>
      </c>
      <c r="N6" s="349" t="s">
        <v>9</v>
      </c>
      <c r="O6" s="340"/>
      <c r="P6" s="348"/>
      <c r="Q6" s="340"/>
      <c r="R6" s="2"/>
    </row>
    <row r="7" spans="1:18" x14ac:dyDescent="0.25">
      <c r="A7" s="339"/>
      <c r="B7" s="340"/>
      <c r="C7" s="340"/>
      <c r="D7" s="340"/>
      <c r="E7" s="349"/>
      <c r="F7" s="340"/>
      <c r="G7" s="340"/>
      <c r="H7" s="349"/>
      <c r="I7" s="340"/>
      <c r="J7" s="340"/>
      <c r="K7" s="349"/>
      <c r="L7" s="340"/>
      <c r="M7" s="340"/>
      <c r="N7" s="349"/>
      <c r="O7" s="340"/>
      <c r="P7" s="348"/>
      <c r="Q7" s="340"/>
      <c r="R7" s="2"/>
    </row>
    <row r="8" spans="1:18" x14ac:dyDescent="0.25">
      <c r="A8" s="339"/>
      <c r="B8" s="340"/>
      <c r="C8" s="340"/>
      <c r="D8" s="340"/>
      <c r="E8" s="349"/>
      <c r="F8" s="340"/>
      <c r="G8" s="340"/>
      <c r="H8" s="349"/>
      <c r="I8" s="340"/>
      <c r="J8" s="340"/>
      <c r="K8" s="349"/>
      <c r="L8" s="340"/>
      <c r="M8" s="340"/>
      <c r="N8" s="349"/>
      <c r="O8" s="340"/>
      <c r="P8" s="348"/>
      <c r="Q8" s="340"/>
      <c r="R8" s="2"/>
    </row>
    <row r="9" spans="1:18" x14ac:dyDescent="0.25">
      <c r="A9" s="339"/>
      <c r="B9" s="340"/>
      <c r="C9" s="340"/>
      <c r="D9" s="340"/>
      <c r="E9" s="349"/>
      <c r="F9" s="340"/>
      <c r="G9" s="340"/>
      <c r="H9" s="349"/>
      <c r="I9" s="340"/>
      <c r="J9" s="340"/>
      <c r="K9" s="349"/>
      <c r="L9" s="340"/>
      <c r="M9" s="340"/>
      <c r="N9" s="349"/>
      <c r="O9" s="340"/>
      <c r="P9" s="348"/>
      <c r="Q9" s="340"/>
      <c r="R9" s="2"/>
    </row>
    <row r="10" spans="1:18" x14ac:dyDescent="0.25">
      <c r="A10" s="339"/>
      <c r="B10" s="340"/>
      <c r="C10" s="340"/>
      <c r="D10" s="340"/>
      <c r="E10" s="349"/>
      <c r="F10" s="340"/>
      <c r="G10" s="340"/>
      <c r="H10" s="349"/>
      <c r="I10" s="340"/>
      <c r="J10" s="340"/>
      <c r="K10" s="349"/>
      <c r="L10" s="340"/>
      <c r="M10" s="340"/>
      <c r="N10" s="349"/>
      <c r="O10" s="340"/>
      <c r="P10" s="348"/>
      <c r="Q10" s="340"/>
      <c r="R10" s="2"/>
    </row>
    <row r="11" spans="1:18" x14ac:dyDescent="0.25">
      <c r="A11" s="148">
        <v>1</v>
      </c>
      <c r="B11" s="148">
        <v>2</v>
      </c>
      <c r="C11" s="149">
        <v>3</v>
      </c>
      <c r="D11" s="149">
        <v>4</v>
      </c>
      <c r="E11" s="5">
        <v>5</v>
      </c>
      <c r="F11" s="149">
        <v>6</v>
      </c>
      <c r="G11" s="149">
        <v>7</v>
      </c>
      <c r="H11" s="149">
        <v>8</v>
      </c>
      <c r="I11" s="149">
        <v>11</v>
      </c>
      <c r="J11" s="149">
        <v>12</v>
      </c>
      <c r="K11" s="149">
        <v>13</v>
      </c>
      <c r="L11" s="149">
        <v>17</v>
      </c>
      <c r="M11" s="149">
        <v>18</v>
      </c>
      <c r="N11" s="149">
        <v>19</v>
      </c>
      <c r="O11" s="149">
        <v>20</v>
      </c>
      <c r="P11" s="5">
        <v>21</v>
      </c>
      <c r="Q11" s="149">
        <v>22</v>
      </c>
      <c r="R11" s="6"/>
    </row>
    <row r="12" spans="1:18" ht="33" x14ac:dyDescent="0.25">
      <c r="A12" s="7">
        <v>1</v>
      </c>
      <c r="B12" s="141" t="s">
        <v>178</v>
      </c>
      <c r="C12" s="5">
        <f t="shared" ref="C12:P12" si="0">C161</f>
        <v>75451014</v>
      </c>
      <c r="D12" s="5">
        <f t="shared" si="0"/>
        <v>74120055</v>
      </c>
      <c r="E12" s="9">
        <f t="shared" si="0"/>
        <v>101.79567999511063</v>
      </c>
      <c r="F12" s="5">
        <f t="shared" si="0"/>
        <v>26774772</v>
      </c>
      <c r="G12" s="10">
        <f t="shared" si="0"/>
        <v>26317699</v>
      </c>
      <c r="H12" s="11">
        <f t="shared" si="0"/>
        <v>101.73675137784653</v>
      </c>
      <c r="I12" s="10">
        <f t="shared" si="0"/>
        <v>72247367</v>
      </c>
      <c r="J12" s="10">
        <f t="shared" si="0"/>
        <v>74868528</v>
      </c>
      <c r="K12" s="11">
        <f t="shared" si="0"/>
        <v>96.498981521314263</v>
      </c>
      <c r="L12" s="5">
        <f t="shared" si="0"/>
        <v>56782290</v>
      </c>
      <c r="M12" s="5">
        <f t="shared" si="0"/>
        <v>59463515</v>
      </c>
      <c r="N12" s="9">
        <f t="shared" si="0"/>
        <v>95.490974591730748</v>
      </c>
      <c r="O12" s="5">
        <f t="shared" si="0"/>
        <v>7899</v>
      </c>
      <c r="P12" s="9">
        <f t="shared" si="0"/>
        <v>178.51398911254589</v>
      </c>
      <c r="Q12" s="5">
        <f>Q161</f>
        <v>8975</v>
      </c>
      <c r="R12" s="12">
        <f t="shared" ref="R12:R22" si="1">O12*P12</f>
        <v>1410082</v>
      </c>
    </row>
    <row r="13" spans="1:18" ht="33" x14ac:dyDescent="0.25">
      <c r="A13" s="7">
        <v>2</v>
      </c>
      <c r="B13" s="141" t="s">
        <v>179</v>
      </c>
      <c r="C13" s="5">
        <f t="shared" ref="C13:P13" si="2">C169</f>
        <v>2016877</v>
      </c>
      <c r="D13" s="5">
        <f t="shared" si="2"/>
        <v>2301792</v>
      </c>
      <c r="E13" s="9">
        <f t="shared" si="2"/>
        <v>87.622035353324719</v>
      </c>
      <c r="F13" s="5">
        <f t="shared" si="2"/>
        <v>789051</v>
      </c>
      <c r="G13" s="10">
        <f t="shared" si="2"/>
        <v>744136</v>
      </c>
      <c r="H13" s="11">
        <f t="shared" si="2"/>
        <v>106.03585903652019</v>
      </c>
      <c r="I13" s="10">
        <f t="shared" si="2"/>
        <v>2246813</v>
      </c>
      <c r="J13" s="10">
        <f t="shared" si="2"/>
        <v>2028187</v>
      </c>
      <c r="K13" s="11">
        <f t="shared" si="2"/>
        <v>110.77938079674112</v>
      </c>
      <c r="L13" s="5">
        <f t="shared" si="2"/>
        <v>1043267</v>
      </c>
      <c r="M13" s="5">
        <f t="shared" si="2"/>
        <v>531006</v>
      </c>
      <c r="N13" s="9">
        <f t="shared" si="2"/>
        <v>196.4699080613025</v>
      </c>
      <c r="O13" s="5">
        <f t="shared" si="2"/>
        <v>1380</v>
      </c>
      <c r="P13" s="9">
        <f t="shared" si="2"/>
        <v>56.755797101449275</v>
      </c>
      <c r="Q13" s="5">
        <f>Q169</f>
        <v>1071</v>
      </c>
      <c r="R13" s="12">
        <f t="shared" si="1"/>
        <v>78323</v>
      </c>
    </row>
    <row r="14" spans="1:18" ht="16.5" x14ac:dyDescent="0.25">
      <c r="A14" s="7">
        <v>3</v>
      </c>
      <c r="B14" s="141" t="s">
        <v>180</v>
      </c>
      <c r="C14" s="5">
        <f t="shared" ref="C14:P14" si="3">C183</f>
        <v>2029434</v>
      </c>
      <c r="D14" s="5">
        <f t="shared" si="3"/>
        <v>2708248</v>
      </c>
      <c r="E14" s="9">
        <f t="shared" si="3"/>
        <v>74.93530873095817</v>
      </c>
      <c r="F14" s="5">
        <f t="shared" si="3"/>
        <v>906942</v>
      </c>
      <c r="G14" s="10">
        <f t="shared" si="3"/>
        <v>1162584</v>
      </c>
      <c r="H14" s="11">
        <f t="shared" si="3"/>
        <v>78.010879213889055</v>
      </c>
      <c r="I14" s="10">
        <f t="shared" si="3"/>
        <v>2248178</v>
      </c>
      <c r="J14" s="10">
        <f t="shared" si="3"/>
        <v>2481810</v>
      </c>
      <c r="K14" s="11">
        <f t="shared" si="3"/>
        <v>90.586225375834573</v>
      </c>
      <c r="L14" s="5">
        <f t="shared" si="3"/>
        <v>2228685</v>
      </c>
      <c r="M14" s="5">
        <f t="shared" si="3"/>
        <v>2469209</v>
      </c>
      <c r="N14" s="9">
        <f t="shared" si="3"/>
        <v>90.2590667699656</v>
      </c>
      <c r="O14" s="5">
        <f t="shared" si="3"/>
        <v>521</v>
      </c>
      <c r="P14" s="9">
        <f t="shared" si="3"/>
        <v>86.756238003838774</v>
      </c>
      <c r="Q14" s="5">
        <f>Q183</f>
        <v>516</v>
      </c>
      <c r="R14" s="12">
        <f t="shared" si="1"/>
        <v>45200</v>
      </c>
    </row>
    <row r="15" spans="1:18" ht="16.5" x14ac:dyDescent="0.25">
      <c r="A15" s="7">
        <v>4</v>
      </c>
      <c r="B15" s="141" t="s">
        <v>181</v>
      </c>
      <c r="C15" s="5">
        <f t="shared" ref="C15:Q15" si="4">C61</f>
        <v>648533</v>
      </c>
      <c r="D15" s="10">
        <f t="shared" si="4"/>
        <v>480146</v>
      </c>
      <c r="E15" s="11">
        <f t="shared" si="4"/>
        <v>135.06995788780912</v>
      </c>
      <c r="F15" s="10">
        <f t="shared" si="4"/>
        <v>261729</v>
      </c>
      <c r="G15" s="10">
        <f t="shared" si="4"/>
        <v>137744</v>
      </c>
      <c r="H15" s="11">
        <f t="shared" si="4"/>
        <v>190.01118016029736</v>
      </c>
      <c r="I15" s="10">
        <f t="shared" si="4"/>
        <v>542443</v>
      </c>
      <c r="J15" s="10">
        <f t="shared" si="4"/>
        <v>459404</v>
      </c>
      <c r="K15" s="11">
        <f t="shared" si="4"/>
        <v>118.07537592184656</v>
      </c>
      <c r="L15" s="10">
        <f t="shared" si="4"/>
        <v>334557</v>
      </c>
      <c r="M15" s="10">
        <f t="shared" si="4"/>
        <v>230071</v>
      </c>
      <c r="N15" s="11">
        <f t="shared" si="4"/>
        <v>145.41467633904318</v>
      </c>
      <c r="O15" s="10">
        <f t="shared" si="4"/>
        <v>809</v>
      </c>
      <c r="P15" s="11">
        <f t="shared" si="4"/>
        <v>79.629171817058094</v>
      </c>
      <c r="Q15" s="10">
        <f t="shared" si="4"/>
        <v>790</v>
      </c>
      <c r="R15" s="12">
        <f t="shared" si="1"/>
        <v>64420</v>
      </c>
    </row>
    <row r="16" spans="1:18" ht="16.5" x14ac:dyDescent="0.25">
      <c r="A16" s="7">
        <v>5</v>
      </c>
      <c r="B16" s="141" t="s">
        <v>182</v>
      </c>
      <c r="C16" s="5">
        <f t="shared" ref="C16:Q16" si="5">C73</f>
        <v>386747</v>
      </c>
      <c r="D16" s="10">
        <f t="shared" si="5"/>
        <v>285175</v>
      </c>
      <c r="E16" s="11">
        <f t="shared" si="5"/>
        <v>135.6174278951521</v>
      </c>
      <c r="F16" s="10">
        <f t="shared" si="5"/>
        <v>214612</v>
      </c>
      <c r="G16" s="10">
        <f t="shared" si="5"/>
        <v>172946</v>
      </c>
      <c r="H16" s="11">
        <f t="shared" si="5"/>
        <v>124.09191308269634</v>
      </c>
      <c r="I16" s="10">
        <f t="shared" si="5"/>
        <v>343879</v>
      </c>
      <c r="J16" s="10">
        <f t="shared" si="5"/>
        <v>263139</v>
      </c>
      <c r="K16" s="11">
        <f t="shared" si="5"/>
        <v>130.68340306834031</v>
      </c>
      <c r="L16" s="10">
        <f t="shared" si="5"/>
        <v>274501</v>
      </c>
      <c r="M16" s="10">
        <f t="shared" si="5"/>
        <v>206336</v>
      </c>
      <c r="N16" s="11">
        <f t="shared" si="5"/>
        <v>133.03592199131512</v>
      </c>
      <c r="O16" s="10">
        <f t="shared" si="5"/>
        <v>613</v>
      </c>
      <c r="P16" s="11">
        <f t="shared" si="5"/>
        <v>66.753670473083204</v>
      </c>
      <c r="Q16" s="10">
        <f t="shared" si="5"/>
        <v>598</v>
      </c>
      <c r="R16" s="12">
        <f t="shared" si="1"/>
        <v>40920.000000000007</v>
      </c>
    </row>
    <row r="17" spans="1:18" ht="16.5" x14ac:dyDescent="0.25">
      <c r="A17" s="7">
        <v>6</v>
      </c>
      <c r="B17" s="141" t="s">
        <v>183</v>
      </c>
      <c r="C17" s="5">
        <f t="shared" ref="C17:Q17" si="6">C84</f>
        <v>308672</v>
      </c>
      <c r="D17" s="10">
        <f t="shared" si="6"/>
        <v>194833</v>
      </c>
      <c r="E17" s="11">
        <f t="shared" si="6"/>
        <v>158.42901356546375</v>
      </c>
      <c r="F17" s="10">
        <f t="shared" si="6"/>
        <v>65713</v>
      </c>
      <c r="G17" s="10">
        <f t="shared" si="6"/>
        <v>80477</v>
      </c>
      <c r="H17" s="11">
        <f t="shared" si="6"/>
        <v>81.654385725114011</v>
      </c>
      <c r="I17" s="10">
        <f t="shared" si="6"/>
        <v>338819</v>
      </c>
      <c r="J17" s="10">
        <f t="shared" si="6"/>
        <v>196852</v>
      </c>
      <c r="K17" s="11">
        <f t="shared" si="6"/>
        <v>172.11864751183629</v>
      </c>
      <c r="L17" s="10">
        <f t="shared" si="6"/>
        <v>164307</v>
      </c>
      <c r="M17" s="10">
        <f t="shared" si="6"/>
        <v>59843</v>
      </c>
      <c r="N17" s="11">
        <f t="shared" si="6"/>
        <v>274.56344100396035</v>
      </c>
      <c r="O17" s="10">
        <f t="shared" si="6"/>
        <v>572</v>
      </c>
      <c r="P17" s="11">
        <f t="shared" si="6"/>
        <v>37.870629370629374</v>
      </c>
      <c r="Q17" s="10">
        <f t="shared" si="6"/>
        <v>405</v>
      </c>
      <c r="R17" s="12">
        <f t="shared" si="1"/>
        <v>21662</v>
      </c>
    </row>
    <row r="18" spans="1:18" ht="16.5" x14ac:dyDescent="0.25">
      <c r="A18" s="7">
        <v>7</v>
      </c>
      <c r="B18" s="141" t="s">
        <v>184</v>
      </c>
      <c r="C18" s="5">
        <f t="shared" ref="C18:Q18" si="7">C99</f>
        <v>1314707</v>
      </c>
      <c r="D18" s="10">
        <f t="shared" si="7"/>
        <v>1374941</v>
      </c>
      <c r="E18" s="11">
        <f t="shared" si="7"/>
        <v>95.619157476575353</v>
      </c>
      <c r="F18" s="10">
        <f t="shared" si="7"/>
        <v>562673</v>
      </c>
      <c r="G18" s="10">
        <f t="shared" si="7"/>
        <v>525006</v>
      </c>
      <c r="H18" s="11">
        <f t="shared" si="7"/>
        <v>107.17458467141327</v>
      </c>
      <c r="I18" s="10">
        <f t="shared" si="7"/>
        <v>2089872</v>
      </c>
      <c r="J18" s="10">
        <f t="shared" si="7"/>
        <v>2000967</v>
      </c>
      <c r="K18" s="11">
        <f t="shared" si="7"/>
        <v>104.4431017602989</v>
      </c>
      <c r="L18" s="10">
        <f t="shared" si="7"/>
        <v>507297</v>
      </c>
      <c r="M18" s="10">
        <f t="shared" si="7"/>
        <v>408975</v>
      </c>
      <c r="N18" s="11">
        <f t="shared" si="7"/>
        <v>124.04107830551989</v>
      </c>
      <c r="O18" s="10">
        <f t="shared" si="7"/>
        <v>4065</v>
      </c>
      <c r="P18" s="11">
        <f t="shared" si="7"/>
        <v>109.81672816728167</v>
      </c>
      <c r="Q18" s="10">
        <f t="shared" si="7"/>
        <v>4109</v>
      </c>
      <c r="R18" s="12">
        <f t="shared" si="1"/>
        <v>446405</v>
      </c>
    </row>
    <row r="19" spans="1:18" ht="33" x14ac:dyDescent="0.25">
      <c r="A19" s="7">
        <v>8</v>
      </c>
      <c r="B19" s="141" t="s">
        <v>177</v>
      </c>
      <c r="C19" s="5">
        <f t="shared" ref="C19:L19" si="8">C133</f>
        <v>787108</v>
      </c>
      <c r="D19" s="10">
        <f t="shared" si="8"/>
        <v>556514</v>
      </c>
      <c r="E19" s="11">
        <f t="shared" si="8"/>
        <v>141.43543558652613</v>
      </c>
      <c r="F19" s="10">
        <f t="shared" si="8"/>
        <v>225487</v>
      </c>
      <c r="G19" s="10">
        <f t="shared" si="8"/>
        <v>245643</v>
      </c>
      <c r="H19" s="11">
        <f t="shared" si="8"/>
        <v>91.794596222973993</v>
      </c>
      <c r="I19" s="10">
        <f t="shared" si="8"/>
        <v>799980</v>
      </c>
      <c r="J19" s="10">
        <f t="shared" si="8"/>
        <v>196222</v>
      </c>
      <c r="K19" s="11">
        <f t="shared" si="8"/>
        <v>407.69128843860523</v>
      </c>
      <c r="L19" s="10">
        <f t="shared" si="8"/>
        <v>80210</v>
      </c>
      <c r="M19" s="10">
        <f>Փետրվար!M133</f>
        <v>0</v>
      </c>
      <c r="N19" s="11" t="e">
        <f>Փետրվար!N133</f>
        <v>#DIV/0!</v>
      </c>
      <c r="O19" s="10">
        <f>O133</f>
        <v>521</v>
      </c>
      <c r="P19" s="11">
        <f>P133</f>
        <v>330.27639155470251</v>
      </c>
      <c r="Q19" s="10">
        <f>Q133</f>
        <v>611</v>
      </c>
      <c r="R19" s="12"/>
    </row>
    <row r="20" spans="1:18" ht="33" x14ac:dyDescent="0.25">
      <c r="A20" s="7">
        <v>9</v>
      </c>
      <c r="B20" s="141" t="s">
        <v>185</v>
      </c>
      <c r="C20" s="5">
        <f t="shared" ref="C20:Q20" si="9">C127</f>
        <v>682970</v>
      </c>
      <c r="D20" s="10">
        <f t="shared" si="9"/>
        <v>558500</v>
      </c>
      <c r="E20" s="11">
        <f t="shared" si="9"/>
        <v>122.28648164726947</v>
      </c>
      <c r="F20" s="10">
        <f t="shared" si="9"/>
        <v>300324</v>
      </c>
      <c r="G20" s="10">
        <f t="shared" si="9"/>
        <v>255667</v>
      </c>
      <c r="H20" s="11">
        <f t="shared" si="9"/>
        <v>117.466861190533</v>
      </c>
      <c r="I20" s="10">
        <f t="shared" si="9"/>
        <v>630672</v>
      </c>
      <c r="J20" s="10">
        <f t="shared" si="9"/>
        <v>492244</v>
      </c>
      <c r="K20" s="11">
        <f t="shared" si="9"/>
        <v>128.12182576120784</v>
      </c>
      <c r="L20" s="10">
        <f t="shared" si="9"/>
        <v>356625</v>
      </c>
      <c r="M20" s="10">
        <f t="shared" si="9"/>
        <v>236846</v>
      </c>
      <c r="N20" s="11">
        <f t="shared" si="9"/>
        <v>150.57252391849556</v>
      </c>
      <c r="O20" s="10">
        <f t="shared" si="9"/>
        <v>1889</v>
      </c>
      <c r="P20" s="11">
        <f t="shared" si="9"/>
        <v>51.532027527792479</v>
      </c>
      <c r="Q20" s="10">
        <f t="shared" si="9"/>
        <v>1735</v>
      </c>
      <c r="R20" s="12">
        <f t="shared" si="1"/>
        <v>97344</v>
      </c>
    </row>
    <row r="21" spans="1:18" ht="16.5" x14ac:dyDescent="0.25">
      <c r="A21" s="7">
        <v>10</v>
      </c>
      <c r="B21" s="141" t="s">
        <v>186</v>
      </c>
      <c r="C21" s="5">
        <f t="shared" ref="C21:Q21" si="10">C143</f>
        <v>81893</v>
      </c>
      <c r="D21" s="10">
        <f t="shared" si="10"/>
        <v>30615</v>
      </c>
      <c r="E21" s="11">
        <f t="shared" si="10"/>
        <v>267.49305895802712</v>
      </c>
      <c r="F21" s="10">
        <f t="shared" si="10"/>
        <v>24782</v>
      </c>
      <c r="G21" s="10">
        <f t="shared" si="10"/>
        <v>17572</v>
      </c>
      <c r="H21" s="11">
        <f t="shared" si="10"/>
        <v>141.03118597769176</v>
      </c>
      <c r="I21" s="10">
        <f t="shared" si="10"/>
        <v>92300</v>
      </c>
      <c r="J21" s="10">
        <f t="shared" si="10"/>
        <v>16190</v>
      </c>
      <c r="K21" s="11">
        <f t="shared" si="10"/>
        <v>570.10500308832616</v>
      </c>
      <c r="L21" s="10">
        <f>L143</f>
        <v>0</v>
      </c>
      <c r="M21" s="10">
        <f t="shared" si="10"/>
        <v>0</v>
      </c>
      <c r="N21" s="11">
        <f t="shared" si="10"/>
        <v>0</v>
      </c>
      <c r="O21" s="10">
        <f t="shared" si="10"/>
        <v>135</v>
      </c>
      <c r="P21" s="11">
        <f t="shared" si="10"/>
        <v>73.481481481481481</v>
      </c>
      <c r="Q21" s="10">
        <f t="shared" si="10"/>
        <v>135</v>
      </c>
      <c r="R21" s="12">
        <f t="shared" si="1"/>
        <v>9920</v>
      </c>
    </row>
    <row r="22" spans="1:18" ht="33" x14ac:dyDescent="0.25">
      <c r="A22" s="7">
        <v>11</v>
      </c>
      <c r="B22" s="141" t="s">
        <v>187</v>
      </c>
      <c r="C22" s="5">
        <f t="shared" ref="C22:P22" si="11">C197</f>
        <v>369189.8</v>
      </c>
      <c r="D22" s="10">
        <f t="shared" si="11"/>
        <v>588928.30000000005</v>
      </c>
      <c r="E22" s="11">
        <f t="shared" si="11"/>
        <v>62.688412154756357</v>
      </c>
      <c r="F22" s="10">
        <f t="shared" si="11"/>
        <v>253472</v>
      </c>
      <c r="G22" s="10">
        <f t="shared" si="11"/>
        <v>263774</v>
      </c>
      <c r="H22" s="11">
        <f t="shared" si="11"/>
        <v>96.094383828580533</v>
      </c>
      <c r="I22" s="10">
        <f t="shared" si="11"/>
        <v>258675.8</v>
      </c>
      <c r="J22" s="10">
        <f t="shared" si="11"/>
        <v>471614.3</v>
      </c>
      <c r="K22" s="11">
        <f t="shared" si="11"/>
        <v>54.849015392450994</v>
      </c>
      <c r="L22" s="10">
        <f t="shared" si="11"/>
        <v>26610</v>
      </c>
      <c r="M22" s="10">
        <f t="shared" si="11"/>
        <v>248504</v>
      </c>
      <c r="N22" s="11">
        <f t="shared" si="11"/>
        <v>10.708077133567267</v>
      </c>
      <c r="O22" s="10">
        <f t="shared" si="11"/>
        <v>699</v>
      </c>
      <c r="P22" s="11">
        <f t="shared" si="11"/>
        <v>161.39914163090128</v>
      </c>
      <c r="Q22" s="10">
        <f>Q197</f>
        <v>700</v>
      </c>
      <c r="R22" s="12">
        <f t="shared" si="1"/>
        <v>112818</v>
      </c>
    </row>
    <row r="23" spans="1:18" ht="16.5" x14ac:dyDescent="0.25">
      <c r="A23" s="7">
        <v>12</v>
      </c>
      <c r="B23" s="141" t="s">
        <v>188</v>
      </c>
      <c r="C23" s="5">
        <f t="shared" ref="C23:P23" si="12">C202</f>
        <v>11574</v>
      </c>
      <c r="D23" s="10">
        <f t="shared" si="12"/>
        <v>25653</v>
      </c>
      <c r="E23" s="11">
        <f t="shared" si="12"/>
        <v>45.117530113437027</v>
      </c>
      <c r="F23" s="10">
        <f t="shared" si="12"/>
        <v>4637</v>
      </c>
      <c r="G23" s="10">
        <f t="shared" si="12"/>
        <v>17264</v>
      </c>
      <c r="H23" s="11">
        <f>H202</f>
        <v>26.859360518999075</v>
      </c>
      <c r="I23" s="10">
        <f t="shared" si="12"/>
        <v>11573</v>
      </c>
      <c r="J23" s="10">
        <f t="shared" si="12"/>
        <v>25845</v>
      </c>
      <c r="K23" s="11">
        <f t="shared" si="12"/>
        <v>44.778487134842329</v>
      </c>
      <c r="L23" s="10">
        <f t="shared" si="12"/>
        <v>11561</v>
      </c>
      <c r="M23" s="10">
        <f t="shared" si="12"/>
        <v>16379</v>
      </c>
      <c r="N23" s="11">
        <f t="shared" si="12"/>
        <v>70.584284754869046</v>
      </c>
      <c r="O23" s="10">
        <f>O202</f>
        <v>241</v>
      </c>
      <c r="P23" s="11">
        <f t="shared" si="12"/>
        <v>61.141078838174273</v>
      </c>
      <c r="Q23" s="10">
        <f>Q202</f>
        <v>243</v>
      </c>
      <c r="R23" s="12"/>
    </row>
    <row r="24" spans="1:18" s="16" customFormat="1" x14ac:dyDescent="0.25">
      <c r="A24" s="147"/>
      <c r="B24" s="147" t="s">
        <v>189</v>
      </c>
      <c r="C24" s="13">
        <f>SUM(C12:C23)</f>
        <v>84088718.799999997</v>
      </c>
      <c r="D24" s="13">
        <f>SUM(D12:D23)</f>
        <v>83225400.299999997</v>
      </c>
      <c r="E24" s="14">
        <f>C24/D24*100</f>
        <v>101.03732574056481</v>
      </c>
      <c r="F24" s="13">
        <f>SUM(F12:F23)</f>
        <v>30384194</v>
      </c>
      <c r="G24" s="13">
        <f>SUM(G12:G23)</f>
        <v>29940512</v>
      </c>
      <c r="H24" s="14">
        <f>F24/G24*100</f>
        <v>101.4818784662066</v>
      </c>
      <c r="I24" s="13">
        <f>SUM(I12:I23)</f>
        <v>81850571.799999997</v>
      </c>
      <c r="J24" s="13">
        <f>SUM(J12:J23)</f>
        <v>83501002.299999997</v>
      </c>
      <c r="K24" s="14">
        <f>I24/J24*100</f>
        <v>98.023460252524416</v>
      </c>
      <c r="L24" s="13">
        <f>SUM(L12:L23)</f>
        <v>61809910</v>
      </c>
      <c r="M24" s="13">
        <f>SUM(M12:M23)</f>
        <v>63870684</v>
      </c>
      <c r="N24" s="14">
        <f>L24/M24*100</f>
        <v>96.773521323178571</v>
      </c>
      <c r="O24" s="13">
        <f>SUM(O12:O23)</f>
        <v>19344</v>
      </c>
      <c r="P24" s="14">
        <f>R24/O24</f>
        <v>120.30055831265508</v>
      </c>
      <c r="Q24" s="13">
        <f>SUM(Q12:Q23)</f>
        <v>19888</v>
      </c>
      <c r="R24" s="15">
        <f>SUM(R12:R23)</f>
        <v>2327094</v>
      </c>
    </row>
    <row r="25" spans="1:18" x14ac:dyDescent="0.2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7"/>
      <c r="Q25" s="17"/>
      <c r="R25" s="18"/>
    </row>
    <row r="26" spans="1:18" s="22" customFormat="1" x14ac:dyDescent="0.25">
      <c r="A26" s="19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20"/>
      <c r="Q26" s="20"/>
      <c r="R26" s="21"/>
    </row>
    <row r="27" spans="1:18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18" x14ac:dyDescent="0.25">
      <c r="A31" s="18"/>
      <c r="B31" s="18"/>
      <c r="C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spans="1:18" x14ac:dyDescent="0.25">
      <c r="A32" s="18"/>
      <c r="B32" s="18"/>
      <c r="C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</row>
    <row r="33" spans="1:18" x14ac:dyDescent="0.25">
      <c r="A33" s="18"/>
      <c r="B33" s="18"/>
      <c r="C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</row>
    <row r="34" spans="1:18" ht="54.75" customHeight="1" x14ac:dyDescent="0.25">
      <c r="A34" s="18"/>
      <c r="B34" s="18"/>
      <c r="C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</row>
    <row r="35" spans="1:18" x14ac:dyDescent="0.25">
      <c r="A35" s="18"/>
      <c r="B35" s="18"/>
      <c r="C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</row>
    <row r="36" spans="1:18" x14ac:dyDescent="0.25">
      <c r="A36" s="18"/>
      <c r="B36" s="18"/>
      <c r="C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</row>
    <row r="37" spans="1:18" s="24" customFormat="1" ht="14.25" x14ac:dyDescent="0.2">
      <c r="A37" s="325" t="s">
        <v>194</v>
      </c>
      <c r="B37" s="325"/>
      <c r="C37" s="325"/>
      <c r="D37" s="325"/>
      <c r="E37" s="325"/>
      <c r="F37" s="325"/>
      <c r="G37" s="325"/>
      <c r="H37" s="325"/>
      <c r="I37" s="325"/>
      <c r="J37" s="325"/>
      <c r="K37" s="325"/>
      <c r="L37" s="325"/>
      <c r="M37" s="325"/>
      <c r="N37" s="325"/>
      <c r="O37" s="325"/>
      <c r="P37" s="325"/>
      <c r="Q37" s="325"/>
      <c r="R37" s="23"/>
    </row>
    <row r="38" spans="1:18" s="24" customFormat="1" ht="14.25" x14ac:dyDescent="0.2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23"/>
    </row>
    <row r="39" spans="1:18" s="24" customFormat="1" x14ac:dyDescent="0.2">
      <c r="A39" s="326"/>
      <c r="B39" s="326"/>
      <c r="C39" s="326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6"/>
      <c r="Q39" s="326"/>
      <c r="R39" s="25"/>
    </row>
    <row r="40" spans="1:18" x14ac:dyDescent="0.25">
      <c r="A40" s="327" t="s">
        <v>0</v>
      </c>
      <c r="B40" s="329" t="s">
        <v>24</v>
      </c>
      <c r="C40" s="331" t="s">
        <v>172</v>
      </c>
      <c r="D40" s="331"/>
      <c r="E40" s="331"/>
      <c r="F40" s="331"/>
      <c r="G40" s="331"/>
      <c r="H40" s="331" t="s">
        <v>2</v>
      </c>
      <c r="I40" s="331"/>
      <c r="J40" s="331"/>
      <c r="K40" s="331"/>
      <c r="L40" s="152"/>
      <c r="M40" s="152" t="s">
        <v>3</v>
      </c>
      <c r="N40" s="27"/>
      <c r="O40" s="329" t="s">
        <v>25</v>
      </c>
      <c r="P40" s="332" t="s">
        <v>26</v>
      </c>
      <c r="Q40" s="329" t="s">
        <v>27</v>
      </c>
      <c r="R40" s="28"/>
    </row>
    <row r="41" spans="1:18" ht="60" x14ac:dyDescent="0.25">
      <c r="A41" s="328"/>
      <c r="B41" s="330"/>
      <c r="C41" s="151" t="s">
        <v>7</v>
      </c>
      <c r="D41" s="151" t="s">
        <v>28</v>
      </c>
      <c r="E41" s="30" t="s">
        <v>29</v>
      </c>
      <c r="F41" s="151" t="s">
        <v>10</v>
      </c>
      <c r="G41" s="151" t="s">
        <v>30</v>
      </c>
      <c r="H41" s="30" t="s">
        <v>29</v>
      </c>
      <c r="I41" s="151" t="s">
        <v>11</v>
      </c>
      <c r="J41" s="151" t="s">
        <v>28</v>
      </c>
      <c r="K41" s="30" t="s">
        <v>29</v>
      </c>
      <c r="L41" s="151" t="s">
        <v>11</v>
      </c>
      <c r="M41" s="151" t="s">
        <v>28</v>
      </c>
      <c r="N41" s="30" t="s">
        <v>29</v>
      </c>
      <c r="O41" s="330"/>
      <c r="P41" s="333"/>
      <c r="Q41" s="330"/>
      <c r="R41" s="31"/>
    </row>
    <row r="42" spans="1:18" x14ac:dyDescent="0.25">
      <c r="A42" s="32"/>
      <c r="B42" s="33" t="s">
        <v>31</v>
      </c>
      <c r="C42" s="32"/>
      <c r="D42" s="32"/>
      <c r="E42" s="32"/>
      <c r="F42" s="32"/>
      <c r="G42" s="32"/>
      <c r="H42" s="32"/>
      <c r="I42" s="32"/>
      <c r="J42" s="32"/>
      <c r="K42" s="34"/>
      <c r="L42" s="32"/>
      <c r="M42" s="32"/>
      <c r="N42" s="32"/>
      <c r="O42" s="32"/>
      <c r="P42" s="35"/>
      <c r="Q42" s="35"/>
      <c r="R42" s="36"/>
    </row>
    <row r="43" spans="1:18" x14ac:dyDescent="0.25">
      <c r="A43" s="319" t="s">
        <v>32</v>
      </c>
      <c r="B43" s="320"/>
      <c r="C43" s="37">
        <v>3</v>
      </c>
      <c r="D43" s="37">
        <v>4</v>
      </c>
      <c r="E43" s="150">
        <v>5</v>
      </c>
      <c r="F43" s="37">
        <v>6</v>
      </c>
      <c r="G43" s="37">
        <v>7</v>
      </c>
      <c r="H43" s="37">
        <v>8</v>
      </c>
      <c r="I43" s="37">
        <v>9</v>
      </c>
      <c r="J43" s="37">
        <v>10</v>
      </c>
      <c r="K43" s="37">
        <v>11</v>
      </c>
      <c r="L43" s="37">
        <v>12</v>
      </c>
      <c r="M43" s="37">
        <v>13</v>
      </c>
      <c r="N43" s="37">
        <v>14</v>
      </c>
      <c r="O43" s="37">
        <v>15</v>
      </c>
      <c r="P43" s="150">
        <v>16</v>
      </c>
      <c r="Q43" s="37">
        <v>17</v>
      </c>
      <c r="R43" s="39"/>
    </row>
    <row r="44" spans="1:18" x14ac:dyDescent="0.25">
      <c r="A44" s="40">
        <v>1</v>
      </c>
      <c r="B44" s="41" t="s">
        <v>33</v>
      </c>
      <c r="C44" s="42">
        <v>32201</v>
      </c>
      <c r="D44" s="42">
        <v>34579</v>
      </c>
      <c r="E44" s="43">
        <f t="shared" ref="E44:E61" si="13">C44/D44*100</f>
        <v>93.122993724514885</v>
      </c>
      <c r="F44" s="42">
        <v>15184</v>
      </c>
      <c r="G44" s="42">
        <v>18465</v>
      </c>
      <c r="H44" s="43">
        <f>F44/G44*100</f>
        <v>82.231248307608993</v>
      </c>
      <c r="I44" s="42">
        <v>32201</v>
      </c>
      <c r="J44" s="42">
        <v>26479</v>
      </c>
      <c r="K44" s="43">
        <f>I44/J44*100</f>
        <v>121.60957740095925</v>
      </c>
      <c r="L44" s="42">
        <v>0</v>
      </c>
      <c r="M44" s="42">
        <v>0</v>
      </c>
      <c r="N44" s="43">
        <v>0</v>
      </c>
      <c r="O44" s="153">
        <v>93</v>
      </c>
      <c r="P44" s="44">
        <v>75</v>
      </c>
      <c r="Q44" s="153">
        <v>93</v>
      </c>
      <c r="R44" s="45">
        <f t="shared" ref="R44:R60" si="14">Q44*P44</f>
        <v>6975</v>
      </c>
    </row>
    <row r="45" spans="1:18" x14ac:dyDescent="0.25">
      <c r="A45" s="40">
        <v>2</v>
      </c>
      <c r="B45" s="41" t="s">
        <v>34</v>
      </c>
      <c r="C45" s="42">
        <v>0</v>
      </c>
      <c r="D45" s="42">
        <v>0</v>
      </c>
      <c r="E45" s="43">
        <v>0</v>
      </c>
      <c r="F45" s="42">
        <v>0</v>
      </c>
      <c r="G45" s="42">
        <v>0</v>
      </c>
      <c r="H45" s="43">
        <v>0</v>
      </c>
      <c r="I45" s="42">
        <v>0</v>
      </c>
      <c r="J45" s="42">
        <v>0</v>
      </c>
      <c r="K45" s="43">
        <v>0</v>
      </c>
      <c r="L45" s="42">
        <v>0</v>
      </c>
      <c r="M45" s="42">
        <v>0</v>
      </c>
      <c r="N45" s="47">
        <v>0</v>
      </c>
      <c r="O45" s="153">
        <v>0</v>
      </c>
      <c r="P45" s="44">
        <v>0</v>
      </c>
      <c r="Q45" s="153">
        <v>0</v>
      </c>
      <c r="R45" s="45">
        <f t="shared" si="14"/>
        <v>0</v>
      </c>
    </row>
    <row r="46" spans="1:18" x14ac:dyDescent="0.25">
      <c r="A46" s="40">
        <v>3</v>
      </c>
      <c r="B46" s="41" t="s">
        <v>35</v>
      </c>
      <c r="C46" s="42">
        <v>12633</v>
      </c>
      <c r="D46" s="42">
        <v>20361</v>
      </c>
      <c r="E46" s="43">
        <f t="shared" si="13"/>
        <v>62.045086194194788</v>
      </c>
      <c r="F46" s="42">
        <v>9451</v>
      </c>
      <c r="G46" s="42">
        <v>9146</v>
      </c>
      <c r="H46" s="43">
        <f t="shared" ref="H46" si="15">F46/G46*100</f>
        <v>103.33479116553686</v>
      </c>
      <c r="I46" s="42">
        <v>26638</v>
      </c>
      <c r="J46" s="42">
        <v>15314</v>
      </c>
      <c r="K46" s="43">
        <f t="shared" ref="K46" si="16">I46/J46*100</f>
        <v>173.9454094292804</v>
      </c>
      <c r="L46" s="42">
        <v>0</v>
      </c>
      <c r="M46" s="42">
        <v>0</v>
      </c>
      <c r="N46" s="43">
        <v>0</v>
      </c>
      <c r="O46" s="153">
        <v>21</v>
      </c>
      <c r="P46" s="44">
        <v>70</v>
      </c>
      <c r="Q46" s="153">
        <v>20</v>
      </c>
      <c r="R46" s="45">
        <f t="shared" si="14"/>
        <v>1400</v>
      </c>
    </row>
    <row r="47" spans="1:18" x14ac:dyDescent="0.25">
      <c r="A47" s="40">
        <v>4</v>
      </c>
      <c r="B47" s="41" t="s">
        <v>36</v>
      </c>
      <c r="C47" s="42">
        <v>1180</v>
      </c>
      <c r="D47" s="42">
        <v>1440</v>
      </c>
      <c r="E47" s="43">
        <f t="shared" si="13"/>
        <v>81.944444444444443</v>
      </c>
      <c r="F47" s="42">
        <v>1180</v>
      </c>
      <c r="G47" s="42">
        <v>1440</v>
      </c>
      <c r="H47" s="43">
        <f t="shared" ref="H47:H49" si="17">F47/G47*100</f>
        <v>81.944444444444443</v>
      </c>
      <c r="I47" s="42">
        <v>0</v>
      </c>
      <c r="J47" s="42">
        <v>10691</v>
      </c>
      <c r="K47" s="43">
        <f t="shared" ref="K47:K61" si="18">I47/J47*100</f>
        <v>0</v>
      </c>
      <c r="L47" s="42">
        <v>0</v>
      </c>
      <c r="M47" s="42">
        <f>9682+1009</f>
        <v>10691</v>
      </c>
      <c r="N47" s="43">
        <v>0</v>
      </c>
      <c r="O47" s="153">
        <v>21</v>
      </c>
      <c r="P47" s="44">
        <v>60</v>
      </c>
      <c r="Q47" s="153">
        <v>21</v>
      </c>
      <c r="R47" s="45">
        <f t="shared" si="14"/>
        <v>1260</v>
      </c>
    </row>
    <row r="48" spans="1:18" x14ac:dyDescent="0.25">
      <c r="A48" s="40">
        <v>5</v>
      </c>
      <c r="B48" s="41" t="s">
        <v>37</v>
      </c>
      <c r="C48" s="48">
        <v>12742</v>
      </c>
      <c r="D48" s="48">
        <v>24029</v>
      </c>
      <c r="E48" s="43">
        <f t="shared" si="13"/>
        <v>53.027591660077412</v>
      </c>
      <c r="F48" s="48">
        <v>3643</v>
      </c>
      <c r="G48" s="48">
        <v>16982</v>
      </c>
      <c r="H48" s="43">
        <f t="shared" si="17"/>
        <v>21.4521257802379</v>
      </c>
      <c r="I48" s="48">
        <v>11116</v>
      </c>
      <c r="J48" s="48">
        <v>25584</v>
      </c>
      <c r="K48" s="43">
        <f t="shared" si="18"/>
        <v>43.4490306441526</v>
      </c>
      <c r="L48" s="48">
        <v>1322</v>
      </c>
      <c r="M48" s="48">
        <v>1815</v>
      </c>
      <c r="N48" s="43">
        <f t="shared" ref="N48" si="19">L48/M48*100</f>
        <v>72.837465564738295</v>
      </c>
      <c r="O48" s="153">
        <v>53</v>
      </c>
      <c r="P48" s="44">
        <v>55</v>
      </c>
      <c r="Q48" s="153">
        <v>53</v>
      </c>
      <c r="R48" s="45">
        <f t="shared" si="14"/>
        <v>2915</v>
      </c>
    </row>
    <row r="49" spans="1:18" x14ac:dyDescent="0.25">
      <c r="A49" s="40">
        <v>6</v>
      </c>
      <c r="B49" s="41" t="s">
        <v>38</v>
      </c>
      <c r="C49" s="49">
        <v>11876</v>
      </c>
      <c r="D49" s="42">
        <v>13527</v>
      </c>
      <c r="E49" s="43">
        <f t="shared" si="13"/>
        <v>87.794780808752861</v>
      </c>
      <c r="F49" s="42">
        <v>5239</v>
      </c>
      <c r="G49" s="42">
        <v>5899</v>
      </c>
      <c r="H49" s="43">
        <f t="shared" si="17"/>
        <v>88.811662993727751</v>
      </c>
      <c r="I49" s="42">
        <v>11802</v>
      </c>
      <c r="J49" s="42">
        <v>12641</v>
      </c>
      <c r="K49" s="43">
        <f t="shared" si="18"/>
        <v>93.362866861798906</v>
      </c>
      <c r="L49" s="42">
        <v>0</v>
      </c>
      <c r="M49" s="42">
        <v>0</v>
      </c>
      <c r="N49" s="43">
        <v>0</v>
      </c>
      <c r="O49" s="153">
        <v>64</v>
      </c>
      <c r="P49" s="44">
        <v>70</v>
      </c>
      <c r="Q49" s="153">
        <v>65</v>
      </c>
      <c r="R49" s="45">
        <f t="shared" si="14"/>
        <v>4550</v>
      </c>
    </row>
    <row r="50" spans="1:18" x14ac:dyDescent="0.25">
      <c r="A50" s="40">
        <v>7</v>
      </c>
      <c r="B50" s="41" t="s">
        <v>39</v>
      </c>
      <c r="C50" s="42">
        <v>0</v>
      </c>
      <c r="D50" s="42">
        <v>0</v>
      </c>
      <c r="E50" s="43">
        <v>0</v>
      </c>
      <c r="F50" s="42">
        <v>0</v>
      </c>
      <c r="G50" s="42">
        <v>0</v>
      </c>
      <c r="H50" s="43">
        <v>0</v>
      </c>
      <c r="I50" s="42">
        <v>0</v>
      </c>
      <c r="J50" s="42">
        <v>0</v>
      </c>
      <c r="K50" s="43">
        <v>0</v>
      </c>
      <c r="L50" s="42">
        <v>0</v>
      </c>
      <c r="M50" s="42">
        <v>0</v>
      </c>
      <c r="N50" s="43">
        <v>0</v>
      </c>
      <c r="O50" s="153"/>
      <c r="P50" s="44">
        <v>65</v>
      </c>
      <c r="Q50" s="153">
        <v>24</v>
      </c>
      <c r="R50" s="45">
        <f t="shared" si="14"/>
        <v>1560</v>
      </c>
    </row>
    <row r="51" spans="1:18" x14ac:dyDescent="0.25">
      <c r="A51" s="40">
        <v>8</v>
      </c>
      <c r="B51" s="41" t="s">
        <v>41</v>
      </c>
      <c r="C51" s="51">
        <v>18692</v>
      </c>
      <c r="D51" s="42">
        <v>24442</v>
      </c>
      <c r="E51" s="43">
        <f t="shared" si="13"/>
        <v>76.47492021929466</v>
      </c>
      <c r="F51" s="42">
        <v>5748</v>
      </c>
      <c r="G51" s="42">
        <v>12489</v>
      </c>
      <c r="H51" s="43">
        <f t="shared" ref="H51:H61" si="20">F51/G51*100</f>
        <v>46.024501561374009</v>
      </c>
      <c r="I51" s="42">
        <v>21324</v>
      </c>
      <c r="J51" s="42">
        <v>22548</v>
      </c>
      <c r="K51" s="43">
        <f t="shared" si="18"/>
        <v>94.571580627993612</v>
      </c>
      <c r="L51" s="42">
        <v>0</v>
      </c>
      <c r="M51" s="42">
        <v>0</v>
      </c>
      <c r="N51" s="43">
        <v>0</v>
      </c>
      <c r="O51" s="153">
        <v>48</v>
      </c>
      <c r="P51" s="44">
        <v>70</v>
      </c>
      <c r="Q51" s="153">
        <v>48</v>
      </c>
      <c r="R51" s="45">
        <f t="shared" si="14"/>
        <v>3360</v>
      </c>
    </row>
    <row r="52" spans="1:18" x14ac:dyDescent="0.25">
      <c r="A52" s="40">
        <v>9</v>
      </c>
      <c r="B52" s="41" t="s">
        <v>42</v>
      </c>
      <c r="C52" s="51">
        <v>55315</v>
      </c>
      <c r="D52" s="42">
        <v>38844</v>
      </c>
      <c r="E52" s="52">
        <f t="shared" si="13"/>
        <v>142.40294511378849</v>
      </c>
      <c r="F52" s="42">
        <v>23584</v>
      </c>
      <c r="G52" s="42">
        <v>21002</v>
      </c>
      <c r="H52" s="43">
        <f t="shared" si="20"/>
        <v>112.29406723169222</v>
      </c>
      <c r="I52" s="42">
        <v>38011</v>
      </c>
      <c r="J52" s="53">
        <v>17097</v>
      </c>
      <c r="K52" s="43">
        <f t="shared" si="18"/>
        <v>222.32555419079372</v>
      </c>
      <c r="L52" s="42">
        <v>0</v>
      </c>
      <c r="M52" s="42">
        <v>0</v>
      </c>
      <c r="N52" s="43">
        <v>0</v>
      </c>
      <c r="O52" s="153">
        <v>77</v>
      </c>
      <c r="P52" s="44">
        <v>95</v>
      </c>
      <c r="Q52" s="153">
        <v>77</v>
      </c>
      <c r="R52" s="45">
        <f t="shared" si="14"/>
        <v>7315</v>
      </c>
    </row>
    <row r="53" spans="1:18" x14ac:dyDescent="0.25">
      <c r="A53" s="40">
        <v>10</v>
      </c>
      <c r="B53" s="41" t="s">
        <v>43</v>
      </c>
      <c r="C53" s="51">
        <v>350947</v>
      </c>
      <c r="D53" s="42">
        <v>196565</v>
      </c>
      <c r="E53" s="43">
        <f t="shared" si="13"/>
        <v>178.53992318062728</v>
      </c>
      <c r="F53" s="51">
        <v>133555</v>
      </c>
      <c r="G53" s="42">
        <v>10581</v>
      </c>
      <c r="H53" s="43">
        <f t="shared" si="20"/>
        <v>1262.215291560344</v>
      </c>
      <c r="I53" s="42">
        <v>315204</v>
      </c>
      <c r="J53" s="42">
        <v>190704</v>
      </c>
      <c r="K53" s="43">
        <f t="shared" si="18"/>
        <v>165.28441983387867</v>
      </c>
      <c r="L53" s="42">
        <v>314934</v>
      </c>
      <c r="M53" s="42">
        <v>189888</v>
      </c>
      <c r="N53" s="43">
        <f t="shared" ref="N53:N55" si="21">L53/M53*100</f>
        <v>165.85250252780585</v>
      </c>
      <c r="O53" s="153">
        <v>222</v>
      </c>
      <c r="P53" s="44">
        <v>84</v>
      </c>
      <c r="Q53" s="153">
        <v>180</v>
      </c>
      <c r="R53" s="45">
        <f t="shared" si="14"/>
        <v>15120</v>
      </c>
    </row>
    <row r="54" spans="1:18" x14ac:dyDescent="0.25">
      <c r="A54" s="40">
        <v>11</v>
      </c>
      <c r="B54" s="41" t="s">
        <v>44</v>
      </c>
      <c r="C54" s="51">
        <v>1190</v>
      </c>
      <c r="D54" s="42">
        <v>5417</v>
      </c>
      <c r="E54" s="43">
        <f t="shared" si="13"/>
        <v>21.967878899760017</v>
      </c>
      <c r="F54" s="42">
        <v>1190</v>
      </c>
      <c r="G54" s="42">
        <v>0</v>
      </c>
      <c r="H54" s="43">
        <v>0</v>
      </c>
      <c r="I54" s="42">
        <v>2452</v>
      </c>
      <c r="J54" s="42">
        <v>8101</v>
      </c>
      <c r="K54" s="43">
        <f t="shared" si="18"/>
        <v>30.267868164424144</v>
      </c>
      <c r="L54" s="42">
        <v>2452</v>
      </c>
      <c r="M54" s="42">
        <v>8101</v>
      </c>
      <c r="N54" s="43">
        <f t="shared" si="21"/>
        <v>30.267868164424144</v>
      </c>
      <c r="O54" s="153">
        <v>24</v>
      </c>
      <c r="P54" s="44">
        <v>65</v>
      </c>
      <c r="Q54" s="153">
        <v>24</v>
      </c>
      <c r="R54" s="45">
        <f t="shared" si="14"/>
        <v>1560</v>
      </c>
    </row>
    <row r="55" spans="1:18" x14ac:dyDescent="0.25">
      <c r="A55" s="40">
        <v>12</v>
      </c>
      <c r="B55" s="41" t="s">
        <v>45</v>
      </c>
      <c r="C55" s="42">
        <v>22640</v>
      </c>
      <c r="D55" s="42">
        <v>24752</v>
      </c>
      <c r="E55" s="43">
        <f t="shared" si="13"/>
        <v>91.467356173238528</v>
      </c>
      <c r="F55" s="54">
        <v>10604</v>
      </c>
      <c r="G55" s="54">
        <v>11035</v>
      </c>
      <c r="H55" s="43">
        <f t="shared" si="20"/>
        <v>96.094245582238329</v>
      </c>
      <c r="I55" s="54">
        <v>15849</v>
      </c>
      <c r="J55" s="54">
        <v>19576</v>
      </c>
      <c r="K55" s="43">
        <f t="shared" si="18"/>
        <v>80.96138128320392</v>
      </c>
      <c r="L55" s="55">
        <v>15849</v>
      </c>
      <c r="M55" s="54">
        <f>18910+666</f>
        <v>19576</v>
      </c>
      <c r="N55" s="43">
        <f t="shared" si="21"/>
        <v>80.96138128320392</v>
      </c>
      <c r="O55" s="153">
        <v>27</v>
      </c>
      <c r="P55" s="44">
        <v>115</v>
      </c>
      <c r="Q55" s="153">
        <v>27</v>
      </c>
      <c r="R55" s="45">
        <f t="shared" si="14"/>
        <v>3105</v>
      </c>
    </row>
    <row r="56" spans="1:18" x14ac:dyDescent="0.25">
      <c r="A56" s="40">
        <v>13</v>
      </c>
      <c r="B56" s="41" t="s">
        <v>46</v>
      </c>
      <c r="C56" s="49">
        <v>102434</v>
      </c>
      <c r="D56" s="49">
        <v>89221</v>
      </c>
      <c r="E56" s="43">
        <f t="shared" si="13"/>
        <v>114.80929377612894</v>
      </c>
      <c r="F56" s="49">
        <v>37266</v>
      </c>
      <c r="G56" s="49">
        <v>27359</v>
      </c>
      <c r="H56" s="43">
        <f t="shared" si="20"/>
        <v>136.21111882744253</v>
      </c>
      <c r="I56" s="42">
        <v>39192</v>
      </c>
      <c r="J56" s="42">
        <v>104533</v>
      </c>
      <c r="K56" s="43">
        <f t="shared" si="18"/>
        <v>37.492466493834478</v>
      </c>
      <c r="L56" s="49">
        <v>0</v>
      </c>
      <c r="M56" s="49">
        <v>0</v>
      </c>
      <c r="N56" s="43">
        <v>0</v>
      </c>
      <c r="O56" s="153">
        <v>80</v>
      </c>
      <c r="P56" s="44">
        <v>112</v>
      </c>
      <c r="Q56" s="153">
        <v>80</v>
      </c>
      <c r="R56" s="45">
        <f t="shared" si="14"/>
        <v>8960</v>
      </c>
    </row>
    <row r="57" spans="1:18" x14ac:dyDescent="0.25">
      <c r="A57" s="40">
        <v>14</v>
      </c>
      <c r="B57" s="41" t="s">
        <v>47</v>
      </c>
      <c r="C57" s="153">
        <v>4918</v>
      </c>
      <c r="D57" s="153">
        <v>6809</v>
      </c>
      <c r="E57" s="47">
        <f t="shared" si="13"/>
        <v>72.227933617271262</v>
      </c>
      <c r="F57" s="153">
        <v>1365</v>
      </c>
      <c r="G57" s="153">
        <v>3186</v>
      </c>
      <c r="H57" s="47">
        <f t="shared" si="20"/>
        <v>42.843691148775889</v>
      </c>
      <c r="I57" s="153">
        <v>6879</v>
      </c>
      <c r="J57" s="153">
        <v>5969</v>
      </c>
      <c r="K57" s="47">
        <f t="shared" si="18"/>
        <v>115.24543474618865</v>
      </c>
      <c r="L57" s="153">
        <v>0</v>
      </c>
      <c r="M57" s="153">
        <v>0</v>
      </c>
      <c r="N57" s="43">
        <v>0</v>
      </c>
      <c r="O57" s="153">
        <v>13</v>
      </c>
      <c r="P57" s="44">
        <v>80</v>
      </c>
      <c r="Q57" s="153">
        <v>12</v>
      </c>
      <c r="R57" s="45">
        <f t="shared" si="14"/>
        <v>960</v>
      </c>
    </row>
    <row r="58" spans="1:18" x14ac:dyDescent="0.25">
      <c r="A58" s="40">
        <v>15</v>
      </c>
      <c r="B58" s="41" t="s">
        <v>48</v>
      </c>
      <c r="C58" s="42">
        <v>215</v>
      </c>
      <c r="D58" s="53">
        <v>160</v>
      </c>
      <c r="E58" s="47">
        <f t="shared" si="13"/>
        <v>134.375</v>
      </c>
      <c r="F58" s="42">
        <v>200</v>
      </c>
      <c r="G58" s="42">
        <v>160</v>
      </c>
      <c r="H58" s="47">
        <f t="shared" si="20"/>
        <v>125</v>
      </c>
      <c r="I58" s="42">
        <v>225</v>
      </c>
      <c r="J58" s="42">
        <v>167</v>
      </c>
      <c r="K58" s="47">
        <f t="shared" si="18"/>
        <v>134.73053892215569</v>
      </c>
      <c r="L58" s="42">
        <v>0</v>
      </c>
      <c r="M58" s="42">
        <v>0</v>
      </c>
      <c r="N58" s="43">
        <v>0</v>
      </c>
      <c r="O58" s="153">
        <v>50</v>
      </c>
      <c r="P58" s="44">
        <v>87</v>
      </c>
      <c r="Q58" s="153">
        <v>50</v>
      </c>
      <c r="R58" s="45">
        <f t="shared" si="14"/>
        <v>4350</v>
      </c>
    </row>
    <row r="59" spans="1:18" x14ac:dyDescent="0.25">
      <c r="A59" s="40">
        <v>16</v>
      </c>
      <c r="B59" s="41" t="s">
        <v>49</v>
      </c>
      <c r="C59" s="42">
        <v>750</v>
      </c>
      <c r="D59" s="53">
        <v>0</v>
      </c>
      <c r="E59" s="47">
        <v>0</v>
      </c>
      <c r="F59" s="42">
        <v>520</v>
      </c>
      <c r="G59" s="42">
        <v>0</v>
      </c>
      <c r="H59" s="47">
        <v>0</v>
      </c>
      <c r="I59" s="42">
        <v>750</v>
      </c>
      <c r="J59" s="42">
        <v>0</v>
      </c>
      <c r="K59" s="43">
        <v>0</v>
      </c>
      <c r="L59" s="42">
        <v>0</v>
      </c>
      <c r="M59" s="42">
        <v>0</v>
      </c>
      <c r="N59" s="43">
        <v>0</v>
      </c>
      <c r="O59" s="155">
        <v>3</v>
      </c>
      <c r="P59" s="44">
        <v>40</v>
      </c>
      <c r="Q59" s="153">
        <v>3</v>
      </c>
      <c r="R59" s="45">
        <f t="shared" si="14"/>
        <v>120</v>
      </c>
    </row>
    <row r="60" spans="1:18" x14ac:dyDescent="0.25">
      <c r="A60" s="40">
        <v>17</v>
      </c>
      <c r="B60" s="41" t="s">
        <v>169</v>
      </c>
      <c r="C60" s="153">
        <v>20800</v>
      </c>
      <c r="D60" s="153">
        <v>0</v>
      </c>
      <c r="E60" s="47">
        <v>0</v>
      </c>
      <c r="F60" s="153">
        <v>13000</v>
      </c>
      <c r="G60" s="153">
        <v>0</v>
      </c>
      <c r="H60" s="47">
        <v>0</v>
      </c>
      <c r="I60" s="153">
        <v>20800</v>
      </c>
      <c r="J60" s="153">
        <v>0</v>
      </c>
      <c r="K60" s="43">
        <v>0</v>
      </c>
      <c r="L60" s="153">
        <v>0</v>
      </c>
      <c r="M60" s="153">
        <v>0</v>
      </c>
      <c r="N60" s="47">
        <v>0</v>
      </c>
      <c r="O60" s="153">
        <v>13</v>
      </c>
      <c r="P60" s="44">
        <v>70</v>
      </c>
      <c r="Q60" s="153">
        <v>13</v>
      </c>
      <c r="R60" s="45">
        <f t="shared" si="14"/>
        <v>910</v>
      </c>
    </row>
    <row r="61" spans="1:18" s="60" customFormat="1" x14ac:dyDescent="0.25">
      <c r="A61" s="315" t="s">
        <v>50</v>
      </c>
      <c r="B61" s="315"/>
      <c r="C61" s="56">
        <f>SUM(C44:C60)</f>
        <v>648533</v>
      </c>
      <c r="D61" s="56">
        <f>SUM(D44:D60)</f>
        <v>480146</v>
      </c>
      <c r="E61" s="57">
        <f t="shared" si="13"/>
        <v>135.06995788780912</v>
      </c>
      <c r="F61" s="56">
        <f>SUM(F44:F60)</f>
        <v>261729</v>
      </c>
      <c r="G61" s="56">
        <f>SUM(G44:G59)</f>
        <v>137744</v>
      </c>
      <c r="H61" s="57">
        <f t="shared" si="20"/>
        <v>190.01118016029736</v>
      </c>
      <c r="I61" s="56">
        <f>SUM(I44:I60)</f>
        <v>542443</v>
      </c>
      <c r="J61" s="56">
        <f>SUM(J44:J60)</f>
        <v>459404</v>
      </c>
      <c r="K61" s="57">
        <f t="shared" si="18"/>
        <v>118.07537592184656</v>
      </c>
      <c r="L61" s="56">
        <f>SUM(L44:L60)</f>
        <v>334557</v>
      </c>
      <c r="M61" s="56">
        <f>SUM(M44:M60)</f>
        <v>230071</v>
      </c>
      <c r="N61" s="57">
        <f>L61/M61*100</f>
        <v>145.41467633904318</v>
      </c>
      <c r="O61" s="56">
        <f>SUM(O44:O60)</f>
        <v>809</v>
      </c>
      <c r="P61" s="57">
        <f>R61/O61</f>
        <v>79.629171817058094</v>
      </c>
      <c r="Q61" s="56">
        <f>SUM(Q44:Q60)</f>
        <v>790</v>
      </c>
      <c r="R61" s="56">
        <f>SUM(R44:R60)</f>
        <v>64420</v>
      </c>
    </row>
    <row r="62" spans="1:18" x14ac:dyDescent="0.25">
      <c r="A62" s="153"/>
      <c r="B62" s="61"/>
      <c r="C62" s="153"/>
      <c r="D62" s="153"/>
      <c r="E62" s="153"/>
      <c r="F62" s="153"/>
      <c r="G62" s="153"/>
      <c r="H62" s="153"/>
      <c r="I62" s="153"/>
      <c r="J62" s="153"/>
      <c r="K62" s="34"/>
      <c r="L62" s="153"/>
      <c r="M62" s="153"/>
      <c r="N62" s="153"/>
      <c r="O62" s="153"/>
      <c r="P62" s="62"/>
      <c r="Q62" s="153"/>
      <c r="R62" s="39"/>
    </row>
    <row r="63" spans="1:18" x14ac:dyDescent="0.25">
      <c r="A63" s="319" t="s">
        <v>51</v>
      </c>
      <c r="B63" s="320"/>
      <c r="C63" s="37">
        <v>3</v>
      </c>
      <c r="D63" s="37">
        <v>4</v>
      </c>
      <c r="E63" s="150">
        <v>5</v>
      </c>
      <c r="F63" s="37">
        <v>6</v>
      </c>
      <c r="G63" s="37">
        <v>7</v>
      </c>
      <c r="H63" s="37">
        <v>8</v>
      </c>
      <c r="I63" s="37">
        <v>9</v>
      </c>
      <c r="J63" s="37">
        <v>10</v>
      </c>
      <c r="K63" s="37">
        <v>11</v>
      </c>
      <c r="L63" s="37">
        <v>12</v>
      </c>
      <c r="M63" s="37">
        <v>13</v>
      </c>
      <c r="N63" s="37">
        <v>14</v>
      </c>
      <c r="O63" s="37">
        <v>15</v>
      </c>
      <c r="P63" s="150">
        <v>16</v>
      </c>
      <c r="Q63" s="37">
        <v>17</v>
      </c>
      <c r="R63" s="39"/>
    </row>
    <row r="64" spans="1:18" s="66" customFormat="1" x14ac:dyDescent="0.25">
      <c r="A64" s="44">
        <v>1</v>
      </c>
      <c r="B64" s="63" t="s">
        <v>52</v>
      </c>
      <c r="C64" s="64">
        <v>151359</v>
      </c>
      <c r="D64" s="65">
        <v>86901</v>
      </c>
      <c r="E64" s="43">
        <f t="shared" ref="E64:E70" si="22">C64/D64*100</f>
        <v>174.17406013739773</v>
      </c>
      <c r="F64" s="65">
        <v>71086</v>
      </c>
      <c r="G64" s="65">
        <v>43659</v>
      </c>
      <c r="H64" s="43">
        <f>F64/G64*100</f>
        <v>162.82095329714377</v>
      </c>
      <c r="I64" s="65">
        <v>109934</v>
      </c>
      <c r="J64" s="65">
        <v>56186</v>
      </c>
      <c r="K64" s="43">
        <f t="shared" ref="K64:K70" si="23">I64/J64*100</f>
        <v>195.6608407788417</v>
      </c>
      <c r="L64" s="65">
        <v>101488</v>
      </c>
      <c r="M64" s="65">
        <v>75503</v>
      </c>
      <c r="N64" s="43">
        <f>L64/M64*100</f>
        <v>134.41585102578705</v>
      </c>
      <c r="O64" s="68">
        <v>156</v>
      </c>
      <c r="P64" s="65">
        <v>65</v>
      </c>
      <c r="Q64" s="68">
        <v>155</v>
      </c>
      <c r="R64" s="45">
        <f t="shared" ref="R64:R72" si="24">Q64*P64</f>
        <v>10075</v>
      </c>
    </row>
    <row r="65" spans="1:18" x14ac:dyDescent="0.25">
      <c r="A65" s="67">
        <v>2</v>
      </c>
      <c r="B65" s="63" t="s">
        <v>53</v>
      </c>
      <c r="C65" s="42">
        <v>27737</v>
      </c>
      <c r="D65" s="42">
        <v>24747</v>
      </c>
      <c r="E65" s="43">
        <f t="shared" si="22"/>
        <v>112.08227259869884</v>
      </c>
      <c r="F65" s="68">
        <v>21937</v>
      </c>
      <c r="G65" s="68">
        <v>7063</v>
      </c>
      <c r="H65" s="43">
        <f t="shared" ref="H65:H70" si="25">F65/G65*100</f>
        <v>310.59040067959791</v>
      </c>
      <c r="I65" s="68">
        <v>20554</v>
      </c>
      <c r="J65" s="68">
        <v>24306</v>
      </c>
      <c r="K65" s="43">
        <f t="shared" si="23"/>
        <v>84.563482267752818</v>
      </c>
      <c r="L65" s="68">
        <v>0</v>
      </c>
      <c r="M65" s="68">
        <v>830</v>
      </c>
      <c r="N65" s="43">
        <v>0</v>
      </c>
      <c r="O65" s="68">
        <v>135</v>
      </c>
      <c r="P65" s="68">
        <v>105</v>
      </c>
      <c r="Q65" s="68">
        <v>130</v>
      </c>
      <c r="R65" s="45">
        <f t="shared" si="24"/>
        <v>13650</v>
      </c>
    </row>
    <row r="66" spans="1:18" x14ac:dyDescent="0.25">
      <c r="A66" s="67">
        <v>3</v>
      </c>
      <c r="B66" s="63" t="s">
        <v>54</v>
      </c>
      <c r="C66" s="68">
        <v>40240</v>
      </c>
      <c r="D66" s="68">
        <v>54553</v>
      </c>
      <c r="E66" s="43">
        <f t="shared" si="22"/>
        <v>73.763129433761662</v>
      </c>
      <c r="F66" s="68">
        <v>13780</v>
      </c>
      <c r="G66" s="68">
        <v>19356</v>
      </c>
      <c r="H66" s="43">
        <f t="shared" si="25"/>
        <v>71.192395122959283</v>
      </c>
      <c r="I66" s="68">
        <v>40240</v>
      </c>
      <c r="J66" s="68">
        <v>54553</v>
      </c>
      <c r="K66" s="43">
        <f t="shared" si="23"/>
        <v>73.763129433761662</v>
      </c>
      <c r="L66" s="68">
        <v>0</v>
      </c>
      <c r="M66" s="68">
        <v>0</v>
      </c>
      <c r="N66" s="43">
        <v>0</v>
      </c>
      <c r="O66" s="68">
        <v>117</v>
      </c>
      <c r="P66" s="68">
        <v>50</v>
      </c>
      <c r="Q66" s="68">
        <v>118</v>
      </c>
      <c r="R66" s="45">
        <f t="shared" si="24"/>
        <v>5900</v>
      </c>
    </row>
    <row r="67" spans="1:18" x14ac:dyDescent="0.25">
      <c r="A67" s="44">
        <v>4</v>
      </c>
      <c r="B67" s="63" t="s">
        <v>55</v>
      </c>
      <c r="C67" s="68">
        <v>110000</v>
      </c>
      <c r="D67" s="68">
        <v>45947</v>
      </c>
      <c r="E67" s="43">
        <f t="shared" si="22"/>
        <v>239.40627244433804</v>
      </c>
      <c r="F67" s="68">
        <v>57157</v>
      </c>
      <c r="G67" s="68">
        <v>51157</v>
      </c>
      <c r="H67" s="43">
        <f t="shared" si="25"/>
        <v>111.72860019156714</v>
      </c>
      <c r="I67" s="48">
        <v>102832</v>
      </c>
      <c r="J67" s="48">
        <v>48881</v>
      </c>
      <c r="K67" s="43">
        <f>I67/J67*100</f>
        <v>210.37212822978253</v>
      </c>
      <c r="L67" s="68">
        <v>102832</v>
      </c>
      <c r="M67" s="68">
        <v>48881</v>
      </c>
      <c r="N67" s="43">
        <f t="shared" ref="N67:N69" si="26">L67/M67*100</f>
        <v>210.37212822978253</v>
      </c>
      <c r="O67" s="68">
        <v>65</v>
      </c>
      <c r="P67" s="68">
        <v>55</v>
      </c>
      <c r="Q67" s="68">
        <v>62</v>
      </c>
      <c r="R67" s="45">
        <f t="shared" si="24"/>
        <v>3410</v>
      </c>
    </row>
    <row r="68" spans="1:18" x14ac:dyDescent="0.25">
      <c r="A68" s="67">
        <v>5</v>
      </c>
      <c r="B68" s="63" t="s">
        <v>56</v>
      </c>
      <c r="C68" s="153">
        <v>36500</v>
      </c>
      <c r="D68" s="153">
        <v>34000</v>
      </c>
      <c r="E68" s="43">
        <f t="shared" si="22"/>
        <v>107.35294117647058</v>
      </c>
      <c r="F68" s="153">
        <v>36500</v>
      </c>
      <c r="G68" s="153">
        <v>34000</v>
      </c>
      <c r="H68" s="43">
        <f t="shared" si="25"/>
        <v>107.35294117647058</v>
      </c>
      <c r="I68" s="153">
        <v>47869</v>
      </c>
      <c r="J68" s="153">
        <v>41911</v>
      </c>
      <c r="K68" s="43">
        <f t="shared" ref="K68" si="27">I68/J68*100</f>
        <v>114.21583832406768</v>
      </c>
      <c r="L68" s="153">
        <v>47869</v>
      </c>
      <c r="M68" s="153">
        <v>41911</v>
      </c>
      <c r="N68" s="43">
        <f t="shared" si="26"/>
        <v>114.21583832406768</v>
      </c>
      <c r="O68" s="68">
        <v>35</v>
      </c>
      <c r="P68" s="44">
        <v>85</v>
      </c>
      <c r="Q68" s="68">
        <v>35</v>
      </c>
      <c r="R68" s="45">
        <f t="shared" si="24"/>
        <v>2975</v>
      </c>
    </row>
    <row r="69" spans="1:18" x14ac:dyDescent="0.25">
      <c r="A69" s="67">
        <v>6</v>
      </c>
      <c r="B69" s="63" t="s">
        <v>57</v>
      </c>
      <c r="C69" s="68">
        <v>11399</v>
      </c>
      <c r="D69" s="68">
        <v>15250</v>
      </c>
      <c r="E69" s="43">
        <f t="shared" si="22"/>
        <v>74.747540983606555</v>
      </c>
      <c r="F69" s="68">
        <v>4640</v>
      </c>
      <c r="G69" s="68">
        <v>7224</v>
      </c>
      <c r="H69" s="43">
        <f t="shared" si="25"/>
        <v>64.230343300110732</v>
      </c>
      <c r="I69" s="68">
        <v>13651</v>
      </c>
      <c r="J69" s="68">
        <v>15060</v>
      </c>
      <c r="K69" s="43">
        <f t="shared" si="23"/>
        <v>90.644090305444891</v>
      </c>
      <c r="L69" s="68">
        <v>13516</v>
      </c>
      <c r="M69" s="68">
        <v>15060</v>
      </c>
      <c r="N69" s="43">
        <f t="shared" si="26"/>
        <v>89.747675962815407</v>
      </c>
      <c r="O69" s="68">
        <v>53</v>
      </c>
      <c r="P69" s="68">
        <v>39</v>
      </c>
      <c r="Q69" s="68">
        <v>45</v>
      </c>
      <c r="R69" s="45">
        <f t="shared" si="24"/>
        <v>1755</v>
      </c>
    </row>
    <row r="70" spans="1:18" x14ac:dyDescent="0.25">
      <c r="A70" s="44">
        <v>7</v>
      </c>
      <c r="B70" s="63" t="s">
        <v>58</v>
      </c>
      <c r="C70" s="42">
        <v>9512</v>
      </c>
      <c r="D70" s="42">
        <v>23777</v>
      </c>
      <c r="E70" s="43">
        <f t="shared" si="22"/>
        <v>40.005046894057287</v>
      </c>
      <c r="F70" s="42">
        <v>9512</v>
      </c>
      <c r="G70" s="42">
        <v>10487</v>
      </c>
      <c r="H70" s="43">
        <f t="shared" si="25"/>
        <v>90.702774864117472</v>
      </c>
      <c r="I70" s="42">
        <v>8799</v>
      </c>
      <c r="J70" s="42">
        <v>22242</v>
      </c>
      <c r="K70" s="43">
        <f t="shared" si="23"/>
        <v>39.560291340706769</v>
      </c>
      <c r="L70" s="69">
        <v>8796</v>
      </c>
      <c r="M70" s="42">
        <v>24151</v>
      </c>
      <c r="N70" s="43">
        <f>L70/M70*100</f>
        <v>36.420852138627801</v>
      </c>
      <c r="O70" s="68">
        <v>40</v>
      </c>
      <c r="P70" s="68">
        <v>55</v>
      </c>
      <c r="Q70" s="68">
        <v>41</v>
      </c>
      <c r="R70" s="45">
        <f t="shared" si="24"/>
        <v>2255</v>
      </c>
    </row>
    <row r="71" spans="1:18" s="66" customFormat="1" x14ac:dyDescent="0.25">
      <c r="A71" s="67">
        <v>8</v>
      </c>
      <c r="B71" s="63" t="s">
        <v>59</v>
      </c>
      <c r="C71" s="42">
        <v>0</v>
      </c>
      <c r="D71" s="42">
        <v>0</v>
      </c>
      <c r="E71" s="43">
        <v>0</v>
      </c>
      <c r="F71" s="42">
        <v>0</v>
      </c>
      <c r="G71" s="42">
        <v>0</v>
      </c>
      <c r="H71" s="43">
        <v>0</v>
      </c>
      <c r="I71" s="42">
        <v>0</v>
      </c>
      <c r="J71" s="42">
        <v>0</v>
      </c>
      <c r="K71" s="43">
        <v>0</v>
      </c>
      <c r="L71" s="42">
        <v>0</v>
      </c>
      <c r="M71" s="42">
        <v>0</v>
      </c>
      <c r="N71" s="43">
        <v>0</v>
      </c>
      <c r="O71" s="68">
        <v>12</v>
      </c>
      <c r="P71" s="65">
        <v>75</v>
      </c>
      <c r="Q71" s="68">
        <v>12</v>
      </c>
      <c r="R71" s="45">
        <f t="shared" si="24"/>
        <v>900</v>
      </c>
    </row>
    <row r="72" spans="1:18" s="66" customFormat="1" x14ac:dyDescent="0.25">
      <c r="A72" s="67">
        <v>9</v>
      </c>
      <c r="B72" s="63" t="s">
        <v>60</v>
      </c>
      <c r="C72" s="153">
        <v>0</v>
      </c>
      <c r="D72" s="153">
        <v>0</v>
      </c>
      <c r="E72" s="153">
        <v>0</v>
      </c>
      <c r="F72" s="153">
        <v>0</v>
      </c>
      <c r="G72" s="153">
        <v>0</v>
      </c>
      <c r="H72" s="153">
        <v>0</v>
      </c>
      <c r="I72" s="153">
        <v>0</v>
      </c>
      <c r="J72" s="153">
        <v>0</v>
      </c>
      <c r="K72" s="153">
        <v>0</v>
      </c>
      <c r="L72" s="153">
        <v>0</v>
      </c>
      <c r="M72" s="153">
        <v>0</v>
      </c>
      <c r="N72" s="47">
        <v>0</v>
      </c>
      <c r="O72" s="68">
        <v>0</v>
      </c>
      <c r="P72" s="44">
        <v>0</v>
      </c>
      <c r="Q72" s="68">
        <v>0</v>
      </c>
      <c r="R72" s="45">
        <f t="shared" si="24"/>
        <v>0</v>
      </c>
    </row>
    <row r="73" spans="1:18" s="60" customFormat="1" x14ac:dyDescent="0.25">
      <c r="A73" s="334" t="s">
        <v>61</v>
      </c>
      <c r="B73" s="334"/>
      <c r="C73" s="70">
        <f>SUM(C64:C72)</f>
        <v>386747</v>
      </c>
      <c r="D73" s="70">
        <f>SUM(D64:D72)</f>
        <v>285175</v>
      </c>
      <c r="E73" s="71">
        <f>C73/D73*100</f>
        <v>135.6174278951521</v>
      </c>
      <c r="F73" s="70">
        <f>SUM(F64:F72)</f>
        <v>214612</v>
      </c>
      <c r="G73" s="70">
        <f>SUM(G64:G72)</f>
        <v>172946</v>
      </c>
      <c r="H73" s="71">
        <f>F73/G73*100</f>
        <v>124.09191308269634</v>
      </c>
      <c r="I73" s="72">
        <f>SUM(I64:I72)</f>
        <v>343879</v>
      </c>
      <c r="J73" s="70">
        <f>SUM(J64:J72)</f>
        <v>263139</v>
      </c>
      <c r="K73" s="71">
        <f>I73/J73*100</f>
        <v>130.68340306834031</v>
      </c>
      <c r="L73" s="70">
        <f>SUM(L64:L72)</f>
        <v>274501</v>
      </c>
      <c r="M73" s="70">
        <f>SUM(M64:M72)</f>
        <v>206336</v>
      </c>
      <c r="N73" s="71">
        <f>L73/M73*100</f>
        <v>133.03592199131512</v>
      </c>
      <c r="O73" s="72">
        <f>SUM(O64:O72)</f>
        <v>613</v>
      </c>
      <c r="P73" s="71">
        <f>R73/O73</f>
        <v>66.753670473083204</v>
      </c>
      <c r="Q73" s="70">
        <f>SUM(Q64:Q72)</f>
        <v>598</v>
      </c>
      <c r="R73" s="59">
        <f>SUM(R64:R72)</f>
        <v>40920</v>
      </c>
    </row>
    <row r="74" spans="1:18" x14ac:dyDescent="0.25">
      <c r="A74" s="39"/>
      <c r="B74" s="73"/>
      <c r="C74" s="39"/>
      <c r="D74" s="39"/>
      <c r="E74" s="39"/>
      <c r="F74" s="39"/>
      <c r="G74" s="39"/>
      <c r="H74" s="39"/>
      <c r="I74" s="39"/>
      <c r="J74" s="39"/>
      <c r="K74" s="74"/>
      <c r="L74" s="39"/>
      <c r="M74" s="39"/>
      <c r="N74" s="39"/>
      <c r="O74" s="39"/>
      <c r="P74" s="75"/>
      <c r="Q74" s="39"/>
      <c r="R74" s="39"/>
    </row>
    <row r="75" spans="1:18" x14ac:dyDescent="0.25">
      <c r="A75" s="319" t="s">
        <v>62</v>
      </c>
      <c r="B75" s="320"/>
      <c r="C75" s="37">
        <v>3</v>
      </c>
      <c r="D75" s="37">
        <v>4</v>
      </c>
      <c r="E75" s="150">
        <v>5</v>
      </c>
      <c r="F75" s="37">
        <v>6</v>
      </c>
      <c r="G75" s="37">
        <v>7</v>
      </c>
      <c r="H75" s="37">
        <v>8</v>
      </c>
      <c r="I75" s="37">
        <v>9</v>
      </c>
      <c r="J75" s="37">
        <v>10</v>
      </c>
      <c r="K75" s="37">
        <v>11</v>
      </c>
      <c r="L75" s="37">
        <v>12</v>
      </c>
      <c r="M75" s="37">
        <v>13</v>
      </c>
      <c r="N75" s="37">
        <v>14</v>
      </c>
      <c r="O75" s="37">
        <v>15</v>
      </c>
      <c r="P75" s="150">
        <v>16</v>
      </c>
      <c r="Q75" s="37">
        <v>17</v>
      </c>
      <c r="R75" s="39"/>
    </row>
    <row r="76" spans="1:18" x14ac:dyDescent="0.25">
      <c r="A76" s="40">
        <v>1</v>
      </c>
      <c r="B76" s="41" t="s">
        <v>63</v>
      </c>
      <c r="C76" s="153">
        <v>42676</v>
      </c>
      <c r="D76" s="153">
        <v>602</v>
      </c>
      <c r="E76" s="47">
        <f t="shared" ref="E76:E83" si="28">C76/D76*100</f>
        <v>7089.0365448504981</v>
      </c>
      <c r="F76" s="153">
        <v>3058</v>
      </c>
      <c r="G76" s="153">
        <v>45</v>
      </c>
      <c r="H76" s="47">
        <f t="shared" ref="H76:H83" si="29">F76/G76*100</f>
        <v>6795.5555555555547</v>
      </c>
      <c r="I76" s="153">
        <v>64899</v>
      </c>
      <c r="J76" s="153">
        <v>57291</v>
      </c>
      <c r="K76" s="47">
        <f>I76/J76*100</f>
        <v>113.27957270775515</v>
      </c>
      <c r="L76" s="153">
        <v>43360</v>
      </c>
      <c r="M76" s="153">
        <v>0</v>
      </c>
      <c r="N76" s="47">
        <v>0</v>
      </c>
      <c r="O76" s="153">
        <v>170</v>
      </c>
      <c r="P76" s="62">
        <v>55</v>
      </c>
      <c r="Q76" s="153">
        <v>168</v>
      </c>
      <c r="R76" s="45">
        <f t="shared" ref="R76:R83" si="30">Q76*P76</f>
        <v>9240</v>
      </c>
    </row>
    <row r="77" spans="1:18" x14ac:dyDescent="0.25">
      <c r="A77" s="40">
        <v>2</v>
      </c>
      <c r="B77" s="41" t="s">
        <v>40</v>
      </c>
      <c r="C77" s="51">
        <v>91944</v>
      </c>
      <c r="D77" s="51">
        <v>60082</v>
      </c>
      <c r="E77" s="47">
        <f t="shared" si="28"/>
        <v>153.03085782763557</v>
      </c>
      <c r="F77" s="51">
        <v>27013</v>
      </c>
      <c r="G77" s="51">
        <v>36531</v>
      </c>
      <c r="H77" s="47">
        <f t="shared" si="29"/>
        <v>73.945416221838983</v>
      </c>
      <c r="I77" s="51">
        <v>91984</v>
      </c>
      <c r="J77" s="51">
        <v>59798</v>
      </c>
      <c r="K77" s="47">
        <f t="shared" ref="K77:K83" si="31">I77/J77*100</f>
        <v>153.82454262684371</v>
      </c>
      <c r="L77" s="51">
        <v>91984</v>
      </c>
      <c r="M77" s="51">
        <v>59798</v>
      </c>
      <c r="N77" s="47">
        <f t="shared" ref="N77" si="32">L77/M77*100</f>
        <v>153.82454262684371</v>
      </c>
      <c r="O77" s="153">
        <v>23</v>
      </c>
      <c r="P77" s="44">
        <v>71</v>
      </c>
      <c r="Q77" s="153">
        <v>23</v>
      </c>
      <c r="R77" s="45">
        <f t="shared" si="30"/>
        <v>1633</v>
      </c>
    </row>
    <row r="78" spans="1:18" x14ac:dyDescent="0.25">
      <c r="A78" s="40">
        <v>3</v>
      </c>
      <c r="B78" s="41" t="s">
        <v>64</v>
      </c>
      <c r="C78" s="153">
        <v>17212</v>
      </c>
      <c r="D78" s="153">
        <v>1099</v>
      </c>
      <c r="E78" s="47">
        <f t="shared" si="28"/>
        <v>1566.1510464058235</v>
      </c>
      <c r="F78" s="153">
        <v>1178</v>
      </c>
      <c r="G78" s="153">
        <v>1099</v>
      </c>
      <c r="H78" s="47">
        <f t="shared" si="29"/>
        <v>107.18835304822566</v>
      </c>
      <c r="I78" s="153">
        <v>16824</v>
      </c>
      <c r="J78" s="153">
        <v>1111</v>
      </c>
      <c r="K78" s="47">
        <f t="shared" si="31"/>
        <v>1514.3114311431143</v>
      </c>
      <c r="L78" s="153">
        <v>0</v>
      </c>
      <c r="M78" s="153">
        <v>0</v>
      </c>
      <c r="N78" s="47">
        <v>0</v>
      </c>
      <c r="O78" s="153">
        <v>58</v>
      </c>
      <c r="P78" s="62">
        <v>59</v>
      </c>
      <c r="Q78" s="153">
        <v>58</v>
      </c>
      <c r="R78" s="45">
        <f t="shared" si="30"/>
        <v>3422</v>
      </c>
    </row>
    <row r="79" spans="1:18" x14ac:dyDescent="0.25">
      <c r="A79" s="40">
        <v>4</v>
      </c>
      <c r="B79" s="41" t="s">
        <v>65</v>
      </c>
      <c r="C79" s="153">
        <v>3721</v>
      </c>
      <c r="D79" s="153">
        <v>4523</v>
      </c>
      <c r="E79" s="47">
        <f t="shared" si="28"/>
        <v>82.268405925270841</v>
      </c>
      <c r="F79" s="153">
        <v>591</v>
      </c>
      <c r="G79" s="153">
        <v>3298</v>
      </c>
      <c r="H79" s="47">
        <f t="shared" si="29"/>
        <v>17.919951485748939</v>
      </c>
      <c r="I79" s="153">
        <v>6046</v>
      </c>
      <c r="J79" s="153">
        <v>3317</v>
      </c>
      <c r="K79" s="47">
        <f t="shared" si="31"/>
        <v>182.27313837805247</v>
      </c>
      <c r="L79" s="153">
        <v>0</v>
      </c>
      <c r="M79" s="153">
        <v>0</v>
      </c>
      <c r="N79" s="47">
        <v>0</v>
      </c>
      <c r="O79" s="153">
        <v>73</v>
      </c>
      <c r="P79" s="76">
        <v>50</v>
      </c>
      <c r="Q79" s="153">
        <v>74</v>
      </c>
      <c r="R79" s="45">
        <f t="shared" si="30"/>
        <v>3700</v>
      </c>
    </row>
    <row r="80" spans="1:18" x14ac:dyDescent="0.25">
      <c r="A80" s="40">
        <v>5</v>
      </c>
      <c r="B80" s="41" t="s">
        <v>66</v>
      </c>
      <c r="C80" s="153">
        <v>299</v>
      </c>
      <c r="D80" s="153">
        <v>17428</v>
      </c>
      <c r="E80" s="47">
        <f t="shared" si="28"/>
        <v>1.715630020656415</v>
      </c>
      <c r="F80" s="153">
        <v>274</v>
      </c>
      <c r="G80" s="153">
        <v>6435</v>
      </c>
      <c r="H80" s="47">
        <f t="shared" si="29"/>
        <v>4.2579642579642574</v>
      </c>
      <c r="I80" s="153">
        <v>2654</v>
      </c>
      <c r="J80" s="153">
        <v>18234</v>
      </c>
      <c r="K80" s="47">
        <f t="shared" si="31"/>
        <v>14.555226499945157</v>
      </c>
      <c r="L80" s="153">
        <v>0</v>
      </c>
      <c r="M80" s="153">
        <v>0</v>
      </c>
      <c r="N80" s="47">
        <v>0</v>
      </c>
      <c r="O80" s="153">
        <v>65</v>
      </c>
      <c r="P80" s="62">
        <v>48</v>
      </c>
      <c r="Q80" s="153">
        <v>54</v>
      </c>
      <c r="R80" s="45">
        <f t="shared" si="30"/>
        <v>2592</v>
      </c>
    </row>
    <row r="81" spans="1:18" x14ac:dyDescent="0.25">
      <c r="A81" s="40">
        <v>6</v>
      </c>
      <c r="B81" s="41" t="s">
        <v>67</v>
      </c>
      <c r="C81" s="153">
        <v>511</v>
      </c>
      <c r="D81" s="153">
        <v>849</v>
      </c>
      <c r="E81" s="47">
        <f t="shared" si="28"/>
        <v>60.188457008244988</v>
      </c>
      <c r="F81" s="153">
        <v>0</v>
      </c>
      <c r="G81" s="153">
        <v>749</v>
      </c>
      <c r="H81" s="47">
        <f t="shared" si="29"/>
        <v>0</v>
      </c>
      <c r="I81" s="153">
        <v>693</v>
      </c>
      <c r="J81" s="153">
        <v>893</v>
      </c>
      <c r="K81" s="47">
        <f t="shared" si="31"/>
        <v>77.603583426651738</v>
      </c>
      <c r="L81" s="153">
        <v>0</v>
      </c>
      <c r="M81" s="153">
        <v>45</v>
      </c>
      <c r="N81" s="47">
        <f t="shared" ref="N81" si="33">L81/M81*100</f>
        <v>0</v>
      </c>
      <c r="O81" s="153">
        <v>9</v>
      </c>
      <c r="P81" s="62">
        <v>35</v>
      </c>
      <c r="Q81" s="153">
        <v>9</v>
      </c>
      <c r="R81" s="45">
        <f t="shared" si="30"/>
        <v>315</v>
      </c>
    </row>
    <row r="82" spans="1:18" x14ac:dyDescent="0.25">
      <c r="A82" s="40">
        <v>7</v>
      </c>
      <c r="B82" s="41" t="s">
        <v>168</v>
      </c>
      <c r="C82" s="42">
        <v>151365</v>
      </c>
      <c r="D82" s="42">
        <v>107522</v>
      </c>
      <c r="E82" s="47">
        <f t="shared" si="28"/>
        <v>140.77584122319152</v>
      </c>
      <c r="F82" s="42">
        <v>33455</v>
      </c>
      <c r="G82" s="42">
        <v>30653</v>
      </c>
      <c r="H82" s="47">
        <f t="shared" si="29"/>
        <v>109.14103024173815</v>
      </c>
      <c r="I82" s="42">
        <v>154681</v>
      </c>
      <c r="J82" s="42">
        <v>53208</v>
      </c>
      <c r="K82" s="47">
        <f t="shared" si="31"/>
        <v>290.71004360246582</v>
      </c>
      <c r="L82" s="42">
        <v>28963</v>
      </c>
      <c r="M82" s="42">
        <v>0</v>
      </c>
      <c r="N82" s="43">
        <v>0</v>
      </c>
      <c r="O82" s="153">
        <v>154</v>
      </c>
      <c r="P82" s="44"/>
      <c r="Q82" s="153"/>
      <c r="R82" s="45">
        <f t="shared" si="30"/>
        <v>0</v>
      </c>
    </row>
    <row r="83" spans="1:18" x14ac:dyDescent="0.25">
      <c r="A83" s="40">
        <v>8</v>
      </c>
      <c r="B83" s="41" t="s">
        <v>68</v>
      </c>
      <c r="C83" s="153">
        <v>944</v>
      </c>
      <c r="D83" s="153">
        <v>2728</v>
      </c>
      <c r="E83" s="47">
        <f t="shared" si="28"/>
        <v>34.604105571847512</v>
      </c>
      <c r="F83" s="153">
        <v>144</v>
      </c>
      <c r="G83" s="153">
        <v>1667</v>
      </c>
      <c r="H83" s="47">
        <f t="shared" si="29"/>
        <v>8.6382723455308934</v>
      </c>
      <c r="I83" s="153">
        <v>1038</v>
      </c>
      <c r="J83" s="153">
        <v>3000</v>
      </c>
      <c r="K83" s="47">
        <f t="shared" si="31"/>
        <v>34.599999999999994</v>
      </c>
      <c r="L83" s="153">
        <v>0</v>
      </c>
      <c r="M83" s="153">
        <v>0</v>
      </c>
      <c r="N83" s="47">
        <v>0</v>
      </c>
      <c r="O83" s="153">
        <v>20</v>
      </c>
      <c r="P83" s="62">
        <v>40</v>
      </c>
      <c r="Q83" s="153">
        <v>19</v>
      </c>
      <c r="R83" s="45">
        <f t="shared" si="30"/>
        <v>760</v>
      </c>
    </row>
    <row r="84" spans="1:18" s="60" customFormat="1" x14ac:dyDescent="0.25">
      <c r="A84" s="315" t="s">
        <v>69</v>
      </c>
      <c r="B84" s="315" t="s">
        <v>69</v>
      </c>
      <c r="C84" s="56">
        <f>SUM(C76:C83)</f>
        <v>308672</v>
      </c>
      <c r="D84" s="56">
        <f>SUM(D76:D83)</f>
        <v>194833</v>
      </c>
      <c r="E84" s="57">
        <f>C84/D84*100</f>
        <v>158.42901356546375</v>
      </c>
      <c r="F84" s="56">
        <f>SUM(F76:F83)</f>
        <v>65713</v>
      </c>
      <c r="G84" s="56">
        <f>SUM(G76:G83)</f>
        <v>80477</v>
      </c>
      <c r="H84" s="57">
        <f>F84/G84*100</f>
        <v>81.654385725114011</v>
      </c>
      <c r="I84" s="56">
        <f>SUM(I76:I83)</f>
        <v>338819</v>
      </c>
      <c r="J84" s="56">
        <f>SUM(J76:J83)</f>
        <v>196852</v>
      </c>
      <c r="K84" s="57">
        <f>I84/J84*100</f>
        <v>172.11864751183629</v>
      </c>
      <c r="L84" s="56">
        <f>SUM(L76:L83)</f>
        <v>164307</v>
      </c>
      <c r="M84" s="56">
        <f>SUM(M76:M83)</f>
        <v>59843</v>
      </c>
      <c r="N84" s="58">
        <f>L84/M84*100</f>
        <v>274.56344100396035</v>
      </c>
      <c r="O84" s="56">
        <f>SUM(O76:O83)</f>
        <v>572</v>
      </c>
      <c r="P84" s="57">
        <f>R84/O84</f>
        <v>37.870629370629374</v>
      </c>
      <c r="Q84" s="56">
        <f>SUM(Q76:Q83)</f>
        <v>405</v>
      </c>
      <c r="R84" s="59">
        <f>SUM(R76:R83)</f>
        <v>21662</v>
      </c>
    </row>
    <row r="85" spans="1:18" s="60" customFormat="1" x14ac:dyDescent="0.25">
      <c r="A85" s="315" t="s">
        <v>70</v>
      </c>
      <c r="B85" s="315" t="s">
        <v>70</v>
      </c>
      <c r="C85" s="56">
        <f>C61+C73+C84</f>
        <v>1343952</v>
      </c>
      <c r="D85" s="56">
        <f>D61+D73+D84</f>
        <v>960154</v>
      </c>
      <c r="E85" s="57">
        <f>C85/D85*100</f>
        <v>139.9725460707345</v>
      </c>
      <c r="F85" s="56">
        <f>F61+F73+F84</f>
        <v>542054</v>
      </c>
      <c r="G85" s="56">
        <f>G61+G73+G84</f>
        <v>391167</v>
      </c>
      <c r="H85" s="57">
        <f>F85/G85*100</f>
        <v>138.57355042731109</v>
      </c>
      <c r="I85" s="56">
        <f>I61+I73+I84</f>
        <v>1225141</v>
      </c>
      <c r="J85" s="56">
        <f>J61+J73+J84</f>
        <v>919395</v>
      </c>
      <c r="K85" s="57">
        <f>I85/J85*100</f>
        <v>133.25512973205204</v>
      </c>
      <c r="L85" s="56">
        <f>L61+L73+L84</f>
        <v>773365</v>
      </c>
      <c r="M85" s="56">
        <f>M61+M73+M84</f>
        <v>496250</v>
      </c>
      <c r="N85" s="57">
        <f>L85/M85*100</f>
        <v>155.84181360201512</v>
      </c>
      <c r="O85" s="56">
        <f>O61+O73+O84</f>
        <v>1994</v>
      </c>
      <c r="P85" s="57">
        <f>R85/O85</f>
        <v>63.692076228686055</v>
      </c>
      <c r="Q85" s="58">
        <f>SUM(Q61:Q73:Q84)</f>
        <v>2830</v>
      </c>
      <c r="R85" s="59">
        <f>R61+R73+R84</f>
        <v>127002</v>
      </c>
    </row>
    <row r="86" spans="1:18" x14ac:dyDescent="0.25">
      <c r="A86" s="153"/>
      <c r="B86" s="61"/>
      <c r="C86" s="153"/>
      <c r="D86" s="153"/>
      <c r="E86" s="153"/>
      <c r="F86" s="153"/>
      <c r="G86" s="153"/>
      <c r="H86" s="153"/>
      <c r="I86" s="153"/>
      <c r="J86" s="153"/>
      <c r="K86" s="34"/>
      <c r="L86" s="153"/>
      <c r="M86" s="153"/>
      <c r="N86" s="153"/>
      <c r="O86" s="153"/>
      <c r="P86" s="62"/>
      <c r="Q86" s="153"/>
      <c r="R86" s="39"/>
    </row>
    <row r="87" spans="1:18" x14ac:dyDescent="0.25">
      <c r="A87" s="316" t="s">
        <v>18</v>
      </c>
      <c r="B87" s="317"/>
      <c r="C87" s="37">
        <v>3</v>
      </c>
      <c r="D87" s="37">
        <v>4</v>
      </c>
      <c r="E87" s="150">
        <v>5</v>
      </c>
      <c r="F87" s="37">
        <v>6</v>
      </c>
      <c r="G87" s="37">
        <v>7</v>
      </c>
      <c r="H87" s="37">
        <v>8</v>
      </c>
      <c r="I87" s="37">
        <v>9</v>
      </c>
      <c r="J87" s="37">
        <v>10</v>
      </c>
      <c r="K87" s="37">
        <v>11</v>
      </c>
      <c r="L87" s="37">
        <v>12</v>
      </c>
      <c r="M87" s="37">
        <v>13</v>
      </c>
      <c r="N87" s="37">
        <v>14</v>
      </c>
      <c r="O87" s="37">
        <v>15</v>
      </c>
      <c r="P87" s="150">
        <v>16</v>
      </c>
      <c r="Q87" s="37">
        <v>17</v>
      </c>
      <c r="R87" s="39"/>
    </row>
    <row r="88" spans="1:18" x14ac:dyDescent="0.25">
      <c r="A88" s="77">
        <v>1</v>
      </c>
      <c r="B88" s="78" t="s">
        <v>71</v>
      </c>
      <c r="C88" s="51">
        <v>9870</v>
      </c>
      <c r="D88" s="51">
        <v>569</v>
      </c>
      <c r="E88" s="47">
        <f>C88/D88*100</f>
        <v>1734.6221441124778</v>
      </c>
      <c r="F88" s="51">
        <v>9662</v>
      </c>
      <c r="G88" s="51">
        <v>401</v>
      </c>
      <c r="H88" s="47">
        <f>F88/G88*100</f>
        <v>2409.4763092269327</v>
      </c>
      <c r="I88" s="51">
        <v>333</v>
      </c>
      <c r="J88" s="51">
        <v>569</v>
      </c>
      <c r="K88" s="47">
        <f>I88/J88*100</f>
        <v>58.523725834797894</v>
      </c>
      <c r="L88" s="153">
        <v>0</v>
      </c>
      <c r="M88" s="51">
        <v>0</v>
      </c>
      <c r="N88" s="47" t="e">
        <f>L88/M88*100</f>
        <v>#DIV/0!</v>
      </c>
      <c r="O88" s="153">
        <v>2822</v>
      </c>
      <c r="P88" s="51">
        <v>113</v>
      </c>
      <c r="Q88" s="153">
        <v>2888</v>
      </c>
      <c r="R88" s="45">
        <f t="shared" ref="R88:R98" si="34">Q88*P88</f>
        <v>326344</v>
      </c>
    </row>
    <row r="89" spans="1:18" s="80" customFormat="1" x14ac:dyDescent="0.25">
      <c r="A89" s="79">
        <v>2</v>
      </c>
      <c r="B89" s="78" t="s">
        <v>72</v>
      </c>
      <c r="C89" s="51">
        <v>98697</v>
      </c>
      <c r="D89" s="51">
        <v>175009</v>
      </c>
      <c r="E89" s="47">
        <f>C89/D89*100</f>
        <v>56.39538538018045</v>
      </c>
      <c r="F89" s="51">
        <v>25336</v>
      </c>
      <c r="G89" s="51">
        <v>45603</v>
      </c>
      <c r="H89" s="47">
        <f t="shared" ref="H89:H98" si="35">F89/G89*100</f>
        <v>55.557748393746017</v>
      </c>
      <c r="I89" s="51">
        <v>123365</v>
      </c>
      <c r="J89" s="51">
        <v>150626</v>
      </c>
      <c r="K89" s="47">
        <f>I89/J89*100</f>
        <v>81.901530944192899</v>
      </c>
      <c r="L89" s="51">
        <v>122609</v>
      </c>
      <c r="M89" s="51">
        <v>149658</v>
      </c>
      <c r="N89" s="47">
        <f t="shared" ref="N89:N98" si="36">L89/M89*100</f>
        <v>81.926124898101008</v>
      </c>
      <c r="O89" s="153">
        <v>560</v>
      </c>
      <c r="P89" s="51">
        <v>94</v>
      </c>
      <c r="Q89" s="153">
        <v>564</v>
      </c>
      <c r="R89" s="45">
        <f t="shared" si="34"/>
        <v>53016</v>
      </c>
    </row>
    <row r="90" spans="1:18" x14ac:dyDescent="0.25">
      <c r="A90" s="77">
        <v>3</v>
      </c>
      <c r="B90" s="78" t="s">
        <v>73</v>
      </c>
      <c r="C90" s="51">
        <v>107710</v>
      </c>
      <c r="D90" s="51">
        <v>114555</v>
      </c>
      <c r="E90" s="47">
        <f>C90/D90*100</f>
        <v>94.024704290515473</v>
      </c>
      <c r="F90" s="51">
        <v>40715</v>
      </c>
      <c r="G90" s="51">
        <v>25853</v>
      </c>
      <c r="H90" s="47">
        <f t="shared" si="35"/>
        <v>157.48655861988939</v>
      </c>
      <c r="I90" s="51">
        <v>233314</v>
      </c>
      <c r="J90" s="51">
        <v>200076</v>
      </c>
      <c r="K90" s="47">
        <f>I90/J90*100</f>
        <v>116.61268717887204</v>
      </c>
      <c r="L90" s="51">
        <v>45161</v>
      </c>
      <c r="M90" s="51">
        <v>30439</v>
      </c>
      <c r="N90" s="47">
        <f t="shared" si="36"/>
        <v>148.36558362626891</v>
      </c>
      <c r="O90" s="153">
        <v>21</v>
      </c>
      <c r="P90" s="51">
        <v>180</v>
      </c>
      <c r="Q90" s="153">
        <v>21</v>
      </c>
      <c r="R90" s="45">
        <f t="shared" si="34"/>
        <v>3780</v>
      </c>
    </row>
    <row r="91" spans="1:18" x14ac:dyDescent="0.25">
      <c r="A91" s="79">
        <v>4</v>
      </c>
      <c r="B91" s="78" t="s">
        <v>74</v>
      </c>
      <c r="C91" s="51">
        <v>218004</v>
      </c>
      <c r="D91" s="51">
        <v>162288</v>
      </c>
      <c r="E91" s="47">
        <f t="shared" ref="E91:E98" si="37">C91/D91*100</f>
        <v>134.3315587104407</v>
      </c>
      <c r="F91" s="51">
        <v>87241</v>
      </c>
      <c r="G91" s="51">
        <v>26947</v>
      </c>
      <c r="H91" s="47">
        <f t="shared" si="35"/>
        <v>323.75032471147068</v>
      </c>
      <c r="I91" s="51">
        <v>233420</v>
      </c>
      <c r="J91" s="51">
        <v>162732</v>
      </c>
      <c r="K91" s="47">
        <f t="shared" ref="K91:K98" si="38">I91/J91*100</f>
        <v>143.43829117813337</v>
      </c>
      <c r="L91" s="153">
        <v>169584</v>
      </c>
      <c r="M91" s="51">
        <v>93947</v>
      </c>
      <c r="N91" s="47">
        <f t="shared" si="36"/>
        <v>180.51028771541402</v>
      </c>
      <c r="O91" s="153">
        <v>173</v>
      </c>
      <c r="P91" s="51">
        <v>35</v>
      </c>
      <c r="Q91" s="153">
        <v>175</v>
      </c>
      <c r="R91" s="45">
        <f t="shared" si="34"/>
        <v>6125</v>
      </c>
    </row>
    <row r="92" spans="1:18" x14ac:dyDescent="0.25">
      <c r="A92" s="77">
        <v>5</v>
      </c>
      <c r="B92" s="78" t="s">
        <v>75</v>
      </c>
      <c r="C92" s="62">
        <v>53194</v>
      </c>
      <c r="D92" s="62">
        <v>50378</v>
      </c>
      <c r="E92" s="47">
        <f t="shared" si="37"/>
        <v>105.58974155385287</v>
      </c>
      <c r="F92" s="62">
        <v>20053</v>
      </c>
      <c r="G92" s="62">
        <v>24309</v>
      </c>
      <c r="H92" s="47">
        <f t="shared" si="35"/>
        <v>82.49208112221811</v>
      </c>
      <c r="I92" s="62">
        <v>55063</v>
      </c>
      <c r="J92" s="62">
        <v>54682</v>
      </c>
      <c r="K92" s="47">
        <f t="shared" si="38"/>
        <v>100.69675578801068</v>
      </c>
      <c r="L92" s="153">
        <v>17268</v>
      </c>
      <c r="M92" s="62">
        <v>0</v>
      </c>
      <c r="N92" s="47">
        <v>0</v>
      </c>
      <c r="O92" s="153">
        <v>92</v>
      </c>
      <c r="P92" s="62">
        <v>44</v>
      </c>
      <c r="Q92" s="153">
        <v>90</v>
      </c>
      <c r="R92" s="45">
        <f t="shared" si="34"/>
        <v>3960</v>
      </c>
    </row>
    <row r="93" spans="1:18" x14ac:dyDescent="0.25">
      <c r="A93" s="79">
        <v>6</v>
      </c>
      <c r="B93" s="78" t="s">
        <v>76</v>
      </c>
      <c r="C93" s="153">
        <v>0</v>
      </c>
      <c r="D93" s="153">
        <v>0</v>
      </c>
      <c r="E93" s="153">
        <v>0</v>
      </c>
      <c r="F93" s="153">
        <v>0</v>
      </c>
      <c r="G93" s="153">
        <v>0</v>
      </c>
      <c r="H93" s="153">
        <v>0</v>
      </c>
      <c r="I93" s="153">
        <v>0</v>
      </c>
      <c r="J93" s="153">
        <v>0</v>
      </c>
      <c r="K93" s="153">
        <v>0</v>
      </c>
      <c r="L93" s="153">
        <v>0</v>
      </c>
      <c r="M93" s="153">
        <v>0</v>
      </c>
      <c r="N93" s="47">
        <v>0</v>
      </c>
      <c r="O93" s="153">
        <v>0</v>
      </c>
      <c r="P93" s="44">
        <v>0</v>
      </c>
      <c r="Q93" s="153">
        <v>0</v>
      </c>
      <c r="R93" s="45">
        <f t="shared" si="34"/>
        <v>0</v>
      </c>
    </row>
    <row r="94" spans="1:18" x14ac:dyDescent="0.25">
      <c r="A94" s="77">
        <v>7</v>
      </c>
      <c r="B94" s="78" t="s">
        <v>77</v>
      </c>
      <c r="C94" s="51">
        <v>305</v>
      </c>
      <c r="D94" s="62">
        <v>410</v>
      </c>
      <c r="E94" s="47">
        <f t="shared" si="37"/>
        <v>74.390243902439025</v>
      </c>
      <c r="F94" s="51">
        <v>305</v>
      </c>
      <c r="G94" s="62">
        <v>410</v>
      </c>
      <c r="H94" s="47">
        <f t="shared" si="35"/>
        <v>74.390243902439025</v>
      </c>
      <c r="I94" s="51">
        <v>305</v>
      </c>
      <c r="J94" s="62">
        <v>410</v>
      </c>
      <c r="K94" s="47">
        <f t="shared" ref="K94" si="39">I94/J94*100</f>
        <v>74.390243902439025</v>
      </c>
      <c r="L94" s="153">
        <v>0</v>
      </c>
      <c r="M94" s="62">
        <v>0</v>
      </c>
      <c r="N94" s="47">
        <v>0</v>
      </c>
      <c r="O94" s="153">
        <v>12</v>
      </c>
      <c r="P94" s="51">
        <v>75</v>
      </c>
      <c r="Q94" s="153">
        <v>9</v>
      </c>
      <c r="R94" s="45">
        <f t="shared" si="34"/>
        <v>675</v>
      </c>
    </row>
    <row r="95" spans="1:18" x14ac:dyDescent="0.25">
      <c r="A95" s="79">
        <v>8</v>
      </c>
      <c r="B95" s="81" t="s">
        <v>78</v>
      </c>
      <c r="C95" s="51">
        <v>114601</v>
      </c>
      <c r="D95" s="51">
        <v>157193</v>
      </c>
      <c r="E95" s="47">
        <f t="shared" si="37"/>
        <v>72.904645881177913</v>
      </c>
      <c r="F95" s="51">
        <v>64446</v>
      </c>
      <c r="G95" s="51">
        <v>80543</v>
      </c>
      <c r="H95" s="47">
        <f t="shared" si="35"/>
        <v>80.014402244763673</v>
      </c>
      <c r="I95" s="51">
        <v>152313</v>
      </c>
      <c r="J95" s="51">
        <v>150490</v>
      </c>
      <c r="K95" s="47">
        <f t="shared" si="38"/>
        <v>101.21137617117417</v>
      </c>
      <c r="L95" s="153">
        <v>25641</v>
      </c>
      <c r="M95" s="51">
        <v>15772</v>
      </c>
      <c r="N95" s="47">
        <f t="shared" si="36"/>
        <v>162.57291402485416</v>
      </c>
      <c r="O95" s="153">
        <v>80</v>
      </c>
      <c r="P95" s="51">
        <v>85</v>
      </c>
      <c r="Q95" s="153">
        <v>84</v>
      </c>
      <c r="R95" s="45">
        <f t="shared" si="34"/>
        <v>7140</v>
      </c>
    </row>
    <row r="96" spans="1:18" x14ac:dyDescent="0.25">
      <c r="A96" s="77">
        <v>9</v>
      </c>
      <c r="B96" s="81" t="s">
        <v>79</v>
      </c>
      <c r="C96" s="51">
        <v>337846</v>
      </c>
      <c r="D96" s="51">
        <v>392986</v>
      </c>
      <c r="E96" s="47">
        <f t="shared" si="37"/>
        <v>85.968965815576126</v>
      </c>
      <c r="F96" s="51">
        <v>152378</v>
      </c>
      <c r="G96" s="51">
        <v>189068</v>
      </c>
      <c r="H96" s="47">
        <f t="shared" si="35"/>
        <v>80.594283538197899</v>
      </c>
      <c r="I96" s="51">
        <v>324672</v>
      </c>
      <c r="J96" s="51">
        <v>413601</v>
      </c>
      <c r="K96" s="47">
        <f t="shared" si="38"/>
        <v>78.498843087903552</v>
      </c>
      <c r="L96" s="153">
        <v>0</v>
      </c>
      <c r="M96" s="51">
        <v>0</v>
      </c>
      <c r="N96" s="47">
        <v>0</v>
      </c>
      <c r="O96" s="153">
        <v>127</v>
      </c>
      <c r="P96" s="51">
        <v>145</v>
      </c>
      <c r="Q96" s="153">
        <v>127</v>
      </c>
      <c r="R96" s="45">
        <f t="shared" si="34"/>
        <v>18415</v>
      </c>
    </row>
    <row r="97" spans="1:18" x14ac:dyDescent="0.25">
      <c r="A97" s="79">
        <v>10</v>
      </c>
      <c r="B97" s="78" t="s">
        <v>80</v>
      </c>
      <c r="C97" s="51">
        <v>310132</v>
      </c>
      <c r="D97" s="51">
        <v>288017</v>
      </c>
      <c r="E97" s="47">
        <f t="shared" si="37"/>
        <v>107.67836620755024</v>
      </c>
      <c r="F97" s="51">
        <v>140644</v>
      </c>
      <c r="G97" s="51">
        <v>116964</v>
      </c>
      <c r="H97" s="47">
        <f t="shared" si="35"/>
        <v>120.24554563797408</v>
      </c>
      <c r="I97" s="51">
        <v>267318</v>
      </c>
      <c r="J97" s="51">
        <v>196064</v>
      </c>
      <c r="K97" s="47">
        <f t="shared" si="38"/>
        <v>136.34221478700832</v>
      </c>
      <c r="L97" s="153">
        <f>46525+64895</f>
        <v>111420</v>
      </c>
      <c r="M97" s="51">
        <v>89603</v>
      </c>
      <c r="N97" s="47">
        <f t="shared" si="36"/>
        <v>124.34851511668137</v>
      </c>
      <c r="O97" s="153">
        <v>127</v>
      </c>
      <c r="P97" s="51">
        <v>142</v>
      </c>
      <c r="Q97" s="153">
        <v>100</v>
      </c>
      <c r="R97" s="45">
        <f t="shared" si="34"/>
        <v>14200</v>
      </c>
    </row>
    <row r="98" spans="1:18" x14ac:dyDescent="0.25">
      <c r="A98" s="77">
        <v>11</v>
      </c>
      <c r="B98" s="78" t="s">
        <v>81</v>
      </c>
      <c r="C98" s="51">
        <v>64348</v>
      </c>
      <c r="D98" s="51">
        <v>33536</v>
      </c>
      <c r="E98" s="47">
        <f t="shared" si="37"/>
        <v>191.87738549618319</v>
      </c>
      <c r="F98" s="51">
        <v>21893</v>
      </c>
      <c r="G98" s="51">
        <v>14908</v>
      </c>
      <c r="H98" s="47">
        <f t="shared" si="35"/>
        <v>146.85403810034882</v>
      </c>
      <c r="I98" s="82">
        <v>699769</v>
      </c>
      <c r="J98" s="83">
        <v>671717</v>
      </c>
      <c r="K98" s="47">
        <f t="shared" si="38"/>
        <v>104.1761634736057</v>
      </c>
      <c r="L98" s="82">
        <v>15614</v>
      </c>
      <c r="M98" s="83">
        <v>29556</v>
      </c>
      <c r="N98" s="47">
        <f t="shared" si="36"/>
        <v>52.828528894302337</v>
      </c>
      <c r="O98" s="153">
        <v>51</v>
      </c>
      <c r="P98" s="51">
        <v>250</v>
      </c>
      <c r="Q98" s="153">
        <v>51</v>
      </c>
      <c r="R98" s="45">
        <f t="shared" si="34"/>
        <v>12750</v>
      </c>
    </row>
    <row r="99" spans="1:18" s="60" customFormat="1" x14ac:dyDescent="0.25">
      <c r="A99" s="315" t="s">
        <v>82</v>
      </c>
      <c r="B99" s="315" t="s">
        <v>83</v>
      </c>
      <c r="C99" s="58">
        <f>SUM(C88:C98)</f>
        <v>1314707</v>
      </c>
      <c r="D99" s="58">
        <f>SUM(D88:D98)</f>
        <v>1374941</v>
      </c>
      <c r="E99" s="57">
        <f>C99/D99*100</f>
        <v>95.619157476575353</v>
      </c>
      <c r="F99" s="58">
        <f>SUM(F88:F98)</f>
        <v>562673</v>
      </c>
      <c r="G99" s="58">
        <f>SUM(G88:G98)</f>
        <v>525006</v>
      </c>
      <c r="H99" s="57">
        <f>F99/G99*100</f>
        <v>107.17458467141327</v>
      </c>
      <c r="I99" s="58">
        <f>SUM(I88:I98)</f>
        <v>2089872</v>
      </c>
      <c r="J99" s="58">
        <f>SUM(J88:J98)</f>
        <v>2000967</v>
      </c>
      <c r="K99" s="57">
        <f>I99/J99*100</f>
        <v>104.4431017602989</v>
      </c>
      <c r="L99" s="58">
        <f>SUM(L88:L98)</f>
        <v>507297</v>
      </c>
      <c r="M99" s="58">
        <f>SUM(M88:M98)</f>
        <v>408975</v>
      </c>
      <c r="N99" s="57">
        <f>L99/M99*100</f>
        <v>124.04107830551989</v>
      </c>
      <c r="O99" s="56">
        <f>SUM(O88:O98)</f>
        <v>4065</v>
      </c>
      <c r="P99" s="57">
        <f>R99/O99</f>
        <v>109.81672816728167</v>
      </c>
      <c r="Q99" s="58">
        <f>SUM(Q88:Q98)</f>
        <v>4109</v>
      </c>
      <c r="R99" s="59">
        <f>SUM(R88:R98)</f>
        <v>446405</v>
      </c>
    </row>
    <row r="100" spans="1:18" x14ac:dyDescent="0.25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  <c r="K100" s="34"/>
      <c r="L100" s="153"/>
      <c r="M100" s="153"/>
      <c r="N100" s="153"/>
      <c r="O100" s="153"/>
      <c r="P100" s="62"/>
      <c r="Q100" s="153"/>
      <c r="R100" s="39"/>
    </row>
    <row r="101" spans="1:18" x14ac:dyDescent="0.25">
      <c r="A101" s="316" t="s">
        <v>19</v>
      </c>
      <c r="B101" s="317"/>
      <c r="C101" s="37">
        <v>3</v>
      </c>
      <c r="D101" s="37">
        <v>4</v>
      </c>
      <c r="E101" s="150">
        <v>5</v>
      </c>
      <c r="F101" s="37">
        <v>6</v>
      </c>
      <c r="G101" s="37">
        <v>7</v>
      </c>
      <c r="H101" s="37">
        <v>8</v>
      </c>
      <c r="I101" s="37">
        <v>9</v>
      </c>
      <c r="J101" s="37">
        <v>10</v>
      </c>
      <c r="K101" s="37">
        <v>11</v>
      </c>
      <c r="L101" s="37">
        <v>12</v>
      </c>
      <c r="M101" s="37">
        <v>13</v>
      </c>
      <c r="N101" s="37">
        <v>14</v>
      </c>
      <c r="O101" s="37">
        <v>15</v>
      </c>
      <c r="P101" s="150">
        <v>16</v>
      </c>
      <c r="Q101" s="37">
        <v>17</v>
      </c>
      <c r="R101" s="39"/>
    </row>
    <row r="102" spans="1:18" x14ac:dyDescent="0.25">
      <c r="A102" s="85">
        <v>1</v>
      </c>
      <c r="B102" s="81" t="s">
        <v>84</v>
      </c>
      <c r="C102" s="153">
        <v>30143</v>
      </c>
      <c r="D102" s="153">
        <v>40057</v>
      </c>
      <c r="E102" s="47">
        <f t="shared" ref="E102" si="40">C102/D102*100</f>
        <v>75.250268367576197</v>
      </c>
      <c r="F102" s="153">
        <v>16787</v>
      </c>
      <c r="G102" s="153">
        <v>12728</v>
      </c>
      <c r="H102" s="47">
        <f t="shared" ref="H102" si="41">F102/G102*100</f>
        <v>131.89032055311125</v>
      </c>
      <c r="I102" s="153">
        <v>18550</v>
      </c>
      <c r="J102" s="153">
        <v>39659</v>
      </c>
      <c r="K102" s="47">
        <f t="shared" ref="K102" si="42">I102/J102*100</f>
        <v>46.773746186237673</v>
      </c>
      <c r="L102" s="153">
        <v>18505</v>
      </c>
      <c r="M102" s="153">
        <v>36109</v>
      </c>
      <c r="N102" s="47">
        <f t="shared" ref="N102" si="43">L102/M102*100</f>
        <v>51.24761139882024</v>
      </c>
      <c r="O102" s="129">
        <v>190</v>
      </c>
      <c r="P102" s="62">
        <v>83</v>
      </c>
      <c r="Q102" s="129">
        <v>10</v>
      </c>
      <c r="R102" s="45">
        <f t="shared" ref="R102:R126" si="44">Q102*P102</f>
        <v>830</v>
      </c>
    </row>
    <row r="103" spans="1:18" x14ac:dyDescent="0.25">
      <c r="A103" s="85">
        <v>2</v>
      </c>
      <c r="B103" s="81" t="s">
        <v>85</v>
      </c>
      <c r="C103" s="153">
        <v>0</v>
      </c>
      <c r="D103" s="153">
        <v>0</v>
      </c>
      <c r="E103" s="153">
        <v>0</v>
      </c>
      <c r="F103" s="153">
        <v>0</v>
      </c>
      <c r="G103" s="153">
        <v>0</v>
      </c>
      <c r="H103" s="153">
        <v>0</v>
      </c>
      <c r="I103" s="153">
        <v>0</v>
      </c>
      <c r="J103" s="153">
        <v>0</v>
      </c>
      <c r="K103" s="153">
        <v>0</v>
      </c>
      <c r="L103" s="153">
        <v>0</v>
      </c>
      <c r="M103" s="153">
        <v>0</v>
      </c>
      <c r="N103" s="86">
        <v>0</v>
      </c>
      <c r="O103" s="153">
        <v>0</v>
      </c>
      <c r="P103" s="44">
        <v>0</v>
      </c>
      <c r="Q103" s="153">
        <v>0</v>
      </c>
      <c r="R103" s="45">
        <f t="shared" si="44"/>
        <v>0</v>
      </c>
    </row>
    <row r="104" spans="1:18" x14ac:dyDescent="0.25">
      <c r="A104" s="85">
        <v>3</v>
      </c>
      <c r="B104" s="78" t="s">
        <v>86</v>
      </c>
      <c r="C104" s="153">
        <v>0</v>
      </c>
      <c r="D104" s="153">
        <v>0</v>
      </c>
      <c r="E104" s="153">
        <v>0</v>
      </c>
      <c r="F104" s="153">
        <v>0</v>
      </c>
      <c r="G104" s="153">
        <v>0</v>
      </c>
      <c r="H104" s="153">
        <v>0</v>
      </c>
      <c r="I104" s="153">
        <v>0</v>
      </c>
      <c r="J104" s="153">
        <v>0</v>
      </c>
      <c r="K104" s="153">
        <v>0</v>
      </c>
      <c r="L104" s="153">
        <v>0</v>
      </c>
      <c r="M104" s="153">
        <v>0</v>
      </c>
      <c r="N104" s="86">
        <v>0</v>
      </c>
      <c r="O104" s="153">
        <v>0</v>
      </c>
      <c r="P104" s="44">
        <v>0</v>
      </c>
      <c r="Q104" s="153">
        <v>0</v>
      </c>
      <c r="R104" s="45">
        <f t="shared" si="44"/>
        <v>0</v>
      </c>
    </row>
    <row r="105" spans="1:18" x14ac:dyDescent="0.25">
      <c r="A105" s="85">
        <v>4</v>
      </c>
      <c r="B105" s="81" t="s">
        <v>87</v>
      </c>
      <c r="C105" s="86">
        <v>0</v>
      </c>
      <c r="D105" s="87">
        <v>17584</v>
      </c>
      <c r="E105" s="47">
        <f t="shared" ref="E105:E126" si="45">C105/D105*100</f>
        <v>0</v>
      </c>
      <c r="F105" s="86">
        <v>0</v>
      </c>
      <c r="G105" s="87">
        <v>3316</v>
      </c>
      <c r="H105" s="47">
        <f t="shared" ref="H105:H126" si="46">F105/G105*100</f>
        <v>0</v>
      </c>
      <c r="I105" s="86">
        <v>9664</v>
      </c>
      <c r="J105" s="86">
        <v>4009</v>
      </c>
      <c r="K105" s="47">
        <f t="shared" ref="K105:K126" si="47">I105/J105*100</f>
        <v>241.05762035420307</v>
      </c>
      <c r="L105" s="87">
        <v>0</v>
      </c>
      <c r="M105" s="87">
        <v>0</v>
      </c>
      <c r="N105" s="47">
        <v>0</v>
      </c>
      <c r="O105" s="129">
        <v>7</v>
      </c>
      <c r="P105" s="87">
        <v>68</v>
      </c>
      <c r="Q105" s="129">
        <v>7</v>
      </c>
      <c r="R105" s="45">
        <f t="shared" si="44"/>
        <v>476</v>
      </c>
    </row>
    <row r="106" spans="1:18" x14ac:dyDescent="0.25">
      <c r="A106" s="85">
        <v>5</v>
      </c>
      <c r="B106" s="81" t="s">
        <v>88</v>
      </c>
      <c r="C106" s="87">
        <v>141966</v>
      </c>
      <c r="D106" s="87">
        <v>127473</v>
      </c>
      <c r="E106" s="47">
        <f t="shared" si="45"/>
        <v>111.36946647525359</v>
      </c>
      <c r="F106" s="87">
        <v>57686</v>
      </c>
      <c r="G106" s="87">
        <v>60666</v>
      </c>
      <c r="H106" s="47">
        <f t="shared" si="46"/>
        <v>95.087858108330863</v>
      </c>
      <c r="I106" s="87">
        <v>181977</v>
      </c>
      <c r="J106" s="87">
        <v>105762</v>
      </c>
      <c r="K106" s="47">
        <f t="shared" si="47"/>
        <v>172.06274465308903</v>
      </c>
      <c r="L106" s="87">
        <v>181977</v>
      </c>
      <c r="M106" s="87">
        <v>105762</v>
      </c>
      <c r="N106" s="47">
        <f t="shared" ref="N106:N114" si="48">L106/M106*100</f>
        <v>172.06274465308903</v>
      </c>
      <c r="O106" s="129">
        <v>474</v>
      </c>
      <c r="P106" s="87">
        <v>52</v>
      </c>
      <c r="Q106" s="129">
        <v>433</v>
      </c>
      <c r="R106" s="45">
        <f t="shared" si="44"/>
        <v>22516</v>
      </c>
    </row>
    <row r="107" spans="1:18" x14ac:dyDescent="0.25">
      <c r="A107" s="85">
        <v>6</v>
      </c>
      <c r="B107" s="81" t="s">
        <v>89</v>
      </c>
      <c r="C107" s="154">
        <v>0</v>
      </c>
      <c r="D107" s="154">
        <v>0</v>
      </c>
      <c r="E107" s="154">
        <v>0</v>
      </c>
      <c r="F107" s="154">
        <v>0</v>
      </c>
      <c r="G107" s="154">
        <v>0</v>
      </c>
      <c r="H107" s="154">
        <v>0</v>
      </c>
      <c r="I107" s="154">
        <v>0</v>
      </c>
      <c r="J107" s="154">
        <v>0</v>
      </c>
      <c r="K107" s="154">
        <v>0</v>
      </c>
      <c r="L107" s="154">
        <v>0</v>
      </c>
      <c r="M107" s="154">
        <v>0</v>
      </c>
      <c r="N107" s="86">
        <v>0</v>
      </c>
      <c r="O107" s="154">
        <v>0</v>
      </c>
      <c r="P107" s="44">
        <v>0</v>
      </c>
      <c r="Q107" s="153">
        <v>0</v>
      </c>
      <c r="R107" s="45">
        <f t="shared" si="44"/>
        <v>0</v>
      </c>
    </row>
    <row r="108" spans="1:18" x14ac:dyDescent="0.25">
      <c r="A108" s="85">
        <v>7</v>
      </c>
      <c r="B108" s="78" t="s">
        <v>90</v>
      </c>
      <c r="C108" s="154">
        <v>0</v>
      </c>
      <c r="D108" s="154">
        <v>0</v>
      </c>
      <c r="E108" s="154">
        <v>0</v>
      </c>
      <c r="F108" s="154">
        <v>0</v>
      </c>
      <c r="G108" s="154">
        <v>0</v>
      </c>
      <c r="H108" s="154">
        <v>0</v>
      </c>
      <c r="I108" s="154">
        <v>0</v>
      </c>
      <c r="J108" s="154">
        <v>0</v>
      </c>
      <c r="K108" s="154">
        <v>0</v>
      </c>
      <c r="L108" s="154">
        <v>0</v>
      </c>
      <c r="M108" s="154">
        <v>0</v>
      </c>
      <c r="N108" s="86">
        <v>0</v>
      </c>
      <c r="O108" s="154">
        <v>0</v>
      </c>
      <c r="P108" s="44">
        <v>0</v>
      </c>
      <c r="Q108" s="153">
        <v>0</v>
      </c>
      <c r="R108" s="45">
        <f t="shared" si="44"/>
        <v>0</v>
      </c>
    </row>
    <row r="109" spans="1:18" x14ac:dyDescent="0.25">
      <c r="A109" s="85">
        <v>8</v>
      </c>
      <c r="B109" s="81" t="s">
        <v>91</v>
      </c>
      <c r="C109" s="87">
        <v>60457</v>
      </c>
      <c r="D109" s="87">
        <v>68558</v>
      </c>
      <c r="E109" s="47">
        <f t="shared" si="45"/>
        <v>88.183727646664138</v>
      </c>
      <c r="F109" s="87">
        <v>21152</v>
      </c>
      <c r="G109" s="87">
        <v>24429</v>
      </c>
      <c r="H109" s="47">
        <f t="shared" si="46"/>
        <v>86.58561545703877</v>
      </c>
      <c r="I109" s="87">
        <v>28390</v>
      </c>
      <c r="J109" s="86">
        <v>25045</v>
      </c>
      <c r="K109" s="47">
        <f t="shared" si="47"/>
        <v>113.35595927330803</v>
      </c>
      <c r="L109" s="87">
        <v>0</v>
      </c>
      <c r="M109" s="87">
        <v>0</v>
      </c>
      <c r="N109" s="47">
        <v>0</v>
      </c>
      <c r="O109" s="129">
        <v>139</v>
      </c>
      <c r="P109" s="87">
        <v>66</v>
      </c>
      <c r="Q109" s="129">
        <v>139</v>
      </c>
      <c r="R109" s="45">
        <f t="shared" si="44"/>
        <v>9174</v>
      </c>
    </row>
    <row r="110" spans="1:18" x14ac:dyDescent="0.25">
      <c r="A110" s="85">
        <v>9</v>
      </c>
      <c r="B110" s="81" t="s">
        <v>92</v>
      </c>
      <c r="C110" s="154">
        <v>0</v>
      </c>
      <c r="D110" s="154">
        <v>0</v>
      </c>
      <c r="E110" s="154">
        <v>0</v>
      </c>
      <c r="F110" s="154">
        <v>0</v>
      </c>
      <c r="G110" s="154">
        <v>0</v>
      </c>
      <c r="H110" s="154">
        <v>0</v>
      </c>
      <c r="I110" s="154">
        <v>0</v>
      </c>
      <c r="J110" s="154">
        <v>0</v>
      </c>
      <c r="K110" s="154">
        <v>0</v>
      </c>
      <c r="L110" s="154">
        <v>0</v>
      </c>
      <c r="M110" s="154">
        <v>0</v>
      </c>
      <c r="N110" s="86">
        <v>0</v>
      </c>
      <c r="O110" s="154">
        <v>0</v>
      </c>
      <c r="P110" s="44">
        <v>0</v>
      </c>
      <c r="Q110" s="153">
        <v>0</v>
      </c>
      <c r="R110" s="45">
        <f t="shared" si="44"/>
        <v>0</v>
      </c>
    </row>
    <row r="111" spans="1:18" x14ac:dyDescent="0.25">
      <c r="A111" s="85">
        <v>10</v>
      </c>
      <c r="B111" s="78" t="s">
        <v>93</v>
      </c>
      <c r="C111" s="87">
        <v>23009</v>
      </c>
      <c r="D111" s="87">
        <v>45947</v>
      </c>
      <c r="E111" s="47">
        <f t="shared" si="45"/>
        <v>50.077262933379764</v>
      </c>
      <c r="F111" s="87">
        <v>0</v>
      </c>
      <c r="G111" s="87">
        <v>15763</v>
      </c>
      <c r="H111" s="47">
        <f t="shared" ref="H111:H113" si="49">F111/G111*100</f>
        <v>0</v>
      </c>
      <c r="I111" s="87">
        <v>23009</v>
      </c>
      <c r="J111" s="87">
        <v>45947</v>
      </c>
      <c r="K111" s="47">
        <f t="shared" si="47"/>
        <v>50.077262933379764</v>
      </c>
      <c r="L111" s="87">
        <v>23009</v>
      </c>
      <c r="M111" s="87">
        <v>45947</v>
      </c>
      <c r="N111" s="47">
        <f t="shared" si="48"/>
        <v>50.077262933379764</v>
      </c>
      <c r="O111" s="129">
        <v>22</v>
      </c>
      <c r="P111" s="87">
        <v>37</v>
      </c>
      <c r="Q111" s="129">
        <v>22</v>
      </c>
      <c r="R111" s="45">
        <f t="shared" si="44"/>
        <v>814</v>
      </c>
    </row>
    <row r="112" spans="1:18" x14ac:dyDescent="0.25">
      <c r="A112" s="85">
        <v>11</v>
      </c>
      <c r="B112" s="81" t="s">
        <v>94</v>
      </c>
      <c r="C112" s="154">
        <v>0</v>
      </c>
      <c r="D112" s="154">
        <v>0</v>
      </c>
      <c r="E112" s="154">
        <v>0</v>
      </c>
      <c r="F112" s="154">
        <v>0</v>
      </c>
      <c r="G112" s="154">
        <v>0</v>
      </c>
      <c r="H112" s="154">
        <v>0</v>
      </c>
      <c r="I112" s="154">
        <v>0</v>
      </c>
      <c r="J112" s="154">
        <v>0</v>
      </c>
      <c r="K112" s="154">
        <v>0</v>
      </c>
      <c r="L112" s="154">
        <v>0</v>
      </c>
      <c r="M112" s="154">
        <v>0</v>
      </c>
      <c r="N112" s="86">
        <v>0</v>
      </c>
      <c r="O112" s="154">
        <v>0</v>
      </c>
      <c r="P112" s="44">
        <v>0</v>
      </c>
      <c r="Q112" s="153">
        <v>0</v>
      </c>
      <c r="R112" s="45">
        <f t="shared" si="44"/>
        <v>0</v>
      </c>
    </row>
    <row r="113" spans="1:91" x14ac:dyDescent="0.25">
      <c r="A113" s="85">
        <v>12</v>
      </c>
      <c r="B113" s="81" t="s">
        <v>95</v>
      </c>
      <c r="C113" s="86">
        <v>13666</v>
      </c>
      <c r="D113" s="87">
        <v>11958</v>
      </c>
      <c r="E113" s="47">
        <f t="shared" si="45"/>
        <v>114.28332497073089</v>
      </c>
      <c r="F113" s="86">
        <v>9396</v>
      </c>
      <c r="G113" s="87">
        <v>11958</v>
      </c>
      <c r="H113" s="47">
        <f t="shared" si="49"/>
        <v>78.575012543903668</v>
      </c>
      <c r="I113" s="86">
        <v>2650</v>
      </c>
      <c r="J113" s="86">
        <v>1150</v>
      </c>
      <c r="K113" s="47">
        <f t="shared" ref="K113" si="50">I113/J113*100</f>
        <v>230.43478260869566</v>
      </c>
      <c r="L113" s="87">
        <v>0</v>
      </c>
      <c r="M113" s="87">
        <v>0</v>
      </c>
      <c r="N113" s="47">
        <v>0</v>
      </c>
      <c r="O113" s="129">
        <v>22</v>
      </c>
      <c r="P113" s="87">
        <v>50</v>
      </c>
      <c r="Q113" s="129">
        <v>12</v>
      </c>
      <c r="R113" s="45">
        <f t="shared" si="44"/>
        <v>600</v>
      </c>
    </row>
    <row r="114" spans="1:91" x14ac:dyDescent="0.25">
      <c r="A114" s="85">
        <v>13</v>
      </c>
      <c r="B114" s="81" t="s">
        <v>96</v>
      </c>
      <c r="C114" s="86">
        <v>23936</v>
      </c>
      <c r="D114" s="87">
        <v>20951</v>
      </c>
      <c r="E114" s="47">
        <f t="shared" si="45"/>
        <v>114.24752995083767</v>
      </c>
      <c r="F114" s="86">
        <v>659</v>
      </c>
      <c r="G114" s="86">
        <v>5840</v>
      </c>
      <c r="H114" s="47">
        <f t="shared" si="46"/>
        <v>11.284246575342467</v>
      </c>
      <c r="I114" s="86">
        <v>35241</v>
      </c>
      <c r="J114" s="86">
        <v>22905</v>
      </c>
      <c r="K114" s="47">
        <f t="shared" si="47"/>
        <v>153.85723641126393</v>
      </c>
      <c r="L114" s="87">
        <v>33227</v>
      </c>
      <c r="M114" s="87">
        <v>21447</v>
      </c>
      <c r="N114" s="47">
        <f t="shared" si="48"/>
        <v>154.92609689000793</v>
      </c>
      <c r="O114" s="129">
        <v>192</v>
      </c>
      <c r="P114" s="87">
        <v>36</v>
      </c>
      <c r="Q114" s="129">
        <v>225</v>
      </c>
      <c r="R114" s="45">
        <f t="shared" si="44"/>
        <v>8100</v>
      </c>
    </row>
    <row r="115" spans="1:91" x14ac:dyDescent="0.25">
      <c r="A115" s="85">
        <v>14</v>
      </c>
      <c r="B115" s="81" t="s">
        <v>97</v>
      </c>
      <c r="C115" s="154">
        <v>0</v>
      </c>
      <c r="D115" s="154">
        <v>0</v>
      </c>
      <c r="E115" s="154">
        <v>0</v>
      </c>
      <c r="F115" s="154">
        <v>0</v>
      </c>
      <c r="G115" s="154">
        <v>0</v>
      </c>
      <c r="H115" s="154">
        <v>0</v>
      </c>
      <c r="I115" s="154">
        <v>0</v>
      </c>
      <c r="J115" s="154">
        <v>0</v>
      </c>
      <c r="K115" s="154">
        <v>0</v>
      </c>
      <c r="L115" s="154">
        <v>0</v>
      </c>
      <c r="M115" s="154">
        <v>0</v>
      </c>
      <c r="N115" s="86">
        <v>0</v>
      </c>
      <c r="O115" s="154">
        <v>0</v>
      </c>
      <c r="P115" s="44">
        <v>0</v>
      </c>
      <c r="Q115" s="153">
        <v>0</v>
      </c>
      <c r="R115" s="45">
        <f t="shared" si="44"/>
        <v>0</v>
      </c>
    </row>
    <row r="116" spans="1:91" x14ac:dyDescent="0.25">
      <c r="A116" s="85">
        <v>15</v>
      </c>
      <c r="B116" s="81" t="s">
        <v>98</v>
      </c>
      <c r="C116" s="154">
        <v>0</v>
      </c>
      <c r="D116" s="154">
        <v>0</v>
      </c>
      <c r="E116" s="154">
        <v>0</v>
      </c>
      <c r="F116" s="154">
        <v>0</v>
      </c>
      <c r="G116" s="154">
        <v>0</v>
      </c>
      <c r="H116" s="154">
        <v>0</v>
      </c>
      <c r="I116" s="154">
        <v>0</v>
      </c>
      <c r="J116" s="154">
        <v>0</v>
      </c>
      <c r="K116" s="154">
        <v>0</v>
      </c>
      <c r="L116" s="154">
        <v>0</v>
      </c>
      <c r="M116" s="154">
        <v>0</v>
      </c>
      <c r="N116" s="86">
        <v>0</v>
      </c>
      <c r="O116" s="154">
        <v>0</v>
      </c>
      <c r="P116" s="44">
        <v>0</v>
      </c>
      <c r="Q116" s="153">
        <v>0</v>
      </c>
      <c r="R116" s="45">
        <f t="shared" si="44"/>
        <v>0</v>
      </c>
    </row>
    <row r="117" spans="1:91" x14ac:dyDescent="0.25">
      <c r="A117" s="85">
        <v>16</v>
      </c>
      <c r="B117" s="81" t="s">
        <v>99</v>
      </c>
      <c r="C117" s="51">
        <v>103306</v>
      </c>
      <c r="D117" s="51">
        <v>73350</v>
      </c>
      <c r="E117" s="47">
        <f t="shared" si="45"/>
        <v>140.83980913428766</v>
      </c>
      <c r="F117" s="51">
        <v>93518</v>
      </c>
      <c r="G117" s="51">
        <v>43615</v>
      </c>
      <c r="H117" s="47">
        <f t="shared" si="46"/>
        <v>214.41705835148457</v>
      </c>
      <c r="I117" s="51">
        <v>94733</v>
      </c>
      <c r="J117" s="51">
        <v>71753</v>
      </c>
      <c r="K117" s="47">
        <f t="shared" ref="K117" si="51">I117/J117*100</f>
        <v>132.0265354758686</v>
      </c>
      <c r="L117" s="51">
        <v>0</v>
      </c>
      <c r="M117" s="51">
        <v>0</v>
      </c>
      <c r="N117" s="47">
        <v>0</v>
      </c>
      <c r="O117" s="129">
        <v>83</v>
      </c>
      <c r="P117" s="44">
        <v>55</v>
      </c>
      <c r="Q117" s="129">
        <v>25</v>
      </c>
      <c r="R117" s="45">
        <f t="shared" si="44"/>
        <v>1375</v>
      </c>
    </row>
    <row r="118" spans="1:91" x14ac:dyDescent="0.25">
      <c r="A118" s="85">
        <v>17</v>
      </c>
      <c r="B118" s="81" t="s">
        <v>100</v>
      </c>
      <c r="C118" s="86">
        <v>148131</v>
      </c>
      <c r="D118" s="87">
        <v>80429</v>
      </c>
      <c r="E118" s="47">
        <f t="shared" si="45"/>
        <v>184.17610563354015</v>
      </c>
      <c r="F118" s="86">
        <v>65015</v>
      </c>
      <c r="G118" s="86">
        <v>41231</v>
      </c>
      <c r="H118" s="47">
        <f t="shared" si="46"/>
        <v>157.68475176444906</v>
      </c>
      <c r="I118" s="86">
        <v>76674</v>
      </c>
      <c r="J118" s="86">
        <v>67475</v>
      </c>
      <c r="K118" s="47">
        <f t="shared" si="47"/>
        <v>113.63319748054835</v>
      </c>
      <c r="L118" s="87">
        <v>0</v>
      </c>
      <c r="M118" s="87">
        <v>0</v>
      </c>
      <c r="N118" s="47">
        <v>0</v>
      </c>
      <c r="O118" s="129">
        <v>169</v>
      </c>
      <c r="P118" s="87">
        <v>62</v>
      </c>
      <c r="Q118" s="129">
        <v>159</v>
      </c>
      <c r="R118" s="45">
        <f t="shared" si="44"/>
        <v>9858</v>
      </c>
    </row>
    <row r="119" spans="1:91" x14ac:dyDescent="0.25">
      <c r="A119" s="85">
        <v>18</v>
      </c>
      <c r="B119" s="78" t="s">
        <v>101</v>
      </c>
      <c r="C119" s="51">
        <v>94217</v>
      </c>
      <c r="D119" s="51">
        <v>0</v>
      </c>
      <c r="E119" s="47">
        <v>0</v>
      </c>
      <c r="F119" s="51">
        <v>20814</v>
      </c>
      <c r="G119" s="51">
        <v>0</v>
      </c>
      <c r="H119" s="47">
        <v>0</v>
      </c>
      <c r="I119" s="51">
        <v>94217</v>
      </c>
      <c r="J119" s="51">
        <v>0</v>
      </c>
      <c r="K119" s="47">
        <v>0</v>
      </c>
      <c r="L119" s="51">
        <v>94217</v>
      </c>
      <c r="M119" s="51">
        <v>0</v>
      </c>
      <c r="N119" s="47">
        <v>0</v>
      </c>
      <c r="O119" s="129">
        <v>456</v>
      </c>
      <c r="P119" s="87">
        <v>65</v>
      </c>
      <c r="Q119" s="129">
        <v>566</v>
      </c>
      <c r="R119" s="45">
        <f t="shared" si="44"/>
        <v>36790</v>
      </c>
    </row>
    <row r="120" spans="1:91" x14ac:dyDescent="0.25">
      <c r="A120" s="85">
        <v>19</v>
      </c>
      <c r="B120" s="81" t="s">
        <v>102</v>
      </c>
      <c r="C120" s="154">
        <v>0</v>
      </c>
      <c r="D120" s="154">
        <v>0</v>
      </c>
      <c r="E120" s="154">
        <v>0</v>
      </c>
      <c r="F120" s="154">
        <v>0</v>
      </c>
      <c r="G120" s="154">
        <v>0</v>
      </c>
      <c r="H120" s="154">
        <v>0</v>
      </c>
      <c r="I120" s="154">
        <v>0</v>
      </c>
      <c r="J120" s="154">
        <v>0</v>
      </c>
      <c r="K120" s="154">
        <v>0</v>
      </c>
      <c r="L120" s="154">
        <v>0</v>
      </c>
      <c r="M120" s="154">
        <v>0</v>
      </c>
      <c r="N120" s="86">
        <v>0</v>
      </c>
      <c r="O120" s="154">
        <v>0</v>
      </c>
      <c r="P120" s="44">
        <v>0</v>
      </c>
      <c r="Q120" s="153">
        <v>0</v>
      </c>
      <c r="R120" s="45">
        <f t="shared" si="44"/>
        <v>0</v>
      </c>
    </row>
    <row r="121" spans="1:91" x14ac:dyDescent="0.25">
      <c r="A121" s="85">
        <v>20</v>
      </c>
      <c r="B121" s="81" t="s">
        <v>103</v>
      </c>
      <c r="C121" s="154">
        <v>0</v>
      </c>
      <c r="D121" s="154">
        <v>0</v>
      </c>
      <c r="E121" s="154">
        <v>0</v>
      </c>
      <c r="F121" s="154">
        <v>0</v>
      </c>
      <c r="G121" s="154">
        <v>0</v>
      </c>
      <c r="H121" s="154">
        <v>0</v>
      </c>
      <c r="I121" s="154">
        <v>0</v>
      </c>
      <c r="J121" s="154">
        <v>0</v>
      </c>
      <c r="K121" s="154">
        <v>0</v>
      </c>
      <c r="L121" s="154">
        <v>0</v>
      </c>
      <c r="M121" s="154">
        <v>0</v>
      </c>
      <c r="N121" s="86">
        <v>0</v>
      </c>
      <c r="O121" s="154">
        <v>0</v>
      </c>
      <c r="P121" s="44">
        <v>0</v>
      </c>
      <c r="Q121" s="153">
        <v>0</v>
      </c>
      <c r="R121" s="45">
        <f t="shared" si="44"/>
        <v>0</v>
      </c>
    </row>
    <row r="122" spans="1:91" x14ac:dyDescent="0.25">
      <c r="A122" s="85">
        <v>21</v>
      </c>
      <c r="B122" s="81" t="s">
        <v>104</v>
      </c>
      <c r="C122" s="87">
        <v>5690</v>
      </c>
      <c r="D122" s="87">
        <v>26153</v>
      </c>
      <c r="E122" s="47">
        <f t="shared" si="45"/>
        <v>21.756586242496081</v>
      </c>
      <c r="F122" s="87">
        <v>1353</v>
      </c>
      <c r="G122" s="87">
        <v>9326</v>
      </c>
      <c r="H122" s="47">
        <f t="shared" ref="H122:H123" si="52">F122/G122*100</f>
        <v>14.507827578811924</v>
      </c>
      <c r="I122" s="87">
        <v>5690</v>
      </c>
      <c r="J122" s="87">
        <v>26153</v>
      </c>
      <c r="K122" s="47">
        <f t="shared" ref="K122" si="53">I122/J122*100</f>
        <v>21.756586242496081</v>
      </c>
      <c r="L122" s="87">
        <v>5690</v>
      </c>
      <c r="M122" s="87">
        <v>26153</v>
      </c>
      <c r="N122" s="47">
        <f t="shared" ref="N122" si="54">L122/M122*100</f>
        <v>21.756586242496081</v>
      </c>
      <c r="O122" s="129">
        <v>14</v>
      </c>
      <c r="P122" s="87">
        <v>47</v>
      </c>
      <c r="Q122" s="129">
        <v>12</v>
      </c>
      <c r="R122" s="45">
        <f t="shared" si="44"/>
        <v>564</v>
      </c>
    </row>
    <row r="123" spans="1:91" x14ac:dyDescent="0.25">
      <c r="A123" s="85">
        <v>22</v>
      </c>
      <c r="B123" s="78" t="s">
        <v>105</v>
      </c>
      <c r="C123" s="86">
        <v>3640</v>
      </c>
      <c r="D123" s="86">
        <v>4460</v>
      </c>
      <c r="E123" s="47">
        <f t="shared" si="45"/>
        <v>81.61434977578476</v>
      </c>
      <c r="F123" s="86">
        <v>1890</v>
      </c>
      <c r="G123" s="86">
        <v>2380</v>
      </c>
      <c r="H123" s="47">
        <f t="shared" si="52"/>
        <v>79.411764705882348</v>
      </c>
      <c r="I123" s="86">
        <v>9255</v>
      </c>
      <c r="J123" s="86">
        <v>9906</v>
      </c>
      <c r="K123" s="47">
        <f t="shared" si="47"/>
        <v>93.428225317989103</v>
      </c>
      <c r="L123" s="87">
        <v>0</v>
      </c>
      <c r="M123" s="86">
        <v>0</v>
      </c>
      <c r="N123" s="47">
        <v>0</v>
      </c>
      <c r="O123" s="129">
        <v>14</v>
      </c>
      <c r="P123" s="87">
        <v>63</v>
      </c>
      <c r="Q123" s="129">
        <v>15</v>
      </c>
      <c r="R123" s="45">
        <f t="shared" si="44"/>
        <v>945</v>
      </c>
    </row>
    <row r="124" spans="1:91" x14ac:dyDescent="0.25">
      <c r="A124" s="85">
        <v>23</v>
      </c>
      <c r="B124" s="78" t="s">
        <v>106</v>
      </c>
      <c r="C124" s="86">
        <v>18316</v>
      </c>
      <c r="D124" s="87">
        <v>26943</v>
      </c>
      <c r="E124" s="47">
        <f t="shared" si="45"/>
        <v>67.980551534721442</v>
      </c>
      <c r="F124" s="86">
        <v>4956</v>
      </c>
      <c r="G124" s="86">
        <v>13133</v>
      </c>
      <c r="H124" s="47">
        <f t="shared" si="46"/>
        <v>37.736998400974642</v>
      </c>
      <c r="I124" s="86">
        <v>19067</v>
      </c>
      <c r="J124" s="86">
        <v>28667</v>
      </c>
      <c r="K124" s="47">
        <f t="shared" si="47"/>
        <v>66.512017302124391</v>
      </c>
      <c r="L124" s="87">
        <v>0</v>
      </c>
      <c r="M124" s="87">
        <v>0</v>
      </c>
      <c r="N124" s="47">
        <v>0</v>
      </c>
      <c r="O124" s="129">
        <v>37</v>
      </c>
      <c r="P124" s="87">
        <v>45</v>
      </c>
      <c r="Q124" s="129">
        <v>44</v>
      </c>
      <c r="R124" s="45">
        <f t="shared" si="44"/>
        <v>1980</v>
      </c>
    </row>
    <row r="125" spans="1:91" x14ac:dyDescent="0.25">
      <c r="A125" s="85">
        <v>24</v>
      </c>
      <c r="B125" s="81" t="s">
        <v>107</v>
      </c>
      <c r="C125" s="87">
        <v>8474</v>
      </c>
      <c r="D125" s="87">
        <v>3345</v>
      </c>
      <c r="E125" s="47">
        <f t="shared" si="45"/>
        <v>253.33333333333331</v>
      </c>
      <c r="F125" s="87">
        <v>2302</v>
      </c>
      <c r="G125" s="86">
        <v>1003</v>
      </c>
      <c r="H125" s="47">
        <f t="shared" si="46"/>
        <v>229.51146560319043</v>
      </c>
      <c r="I125" s="87">
        <v>23372</v>
      </c>
      <c r="J125" s="87">
        <v>40024</v>
      </c>
      <c r="K125" s="47">
        <f t="shared" si="47"/>
        <v>58.394963022186687</v>
      </c>
      <c r="L125" s="88">
        <v>0</v>
      </c>
      <c r="M125" s="87">
        <v>1428</v>
      </c>
      <c r="N125" s="47">
        <v>0</v>
      </c>
      <c r="O125" s="129">
        <v>52</v>
      </c>
      <c r="P125" s="87">
        <v>55</v>
      </c>
      <c r="Q125" s="129">
        <v>52</v>
      </c>
      <c r="R125" s="45">
        <f t="shared" si="44"/>
        <v>2860</v>
      </c>
    </row>
    <row r="126" spans="1:91" x14ac:dyDescent="0.25">
      <c r="A126" s="85">
        <v>25</v>
      </c>
      <c r="B126" s="81" t="s">
        <v>108</v>
      </c>
      <c r="C126" s="87">
        <v>8019</v>
      </c>
      <c r="D126" s="87">
        <v>11292</v>
      </c>
      <c r="E126" s="47">
        <f t="shared" si="45"/>
        <v>71.014877789585555</v>
      </c>
      <c r="F126" s="87">
        <v>4796</v>
      </c>
      <c r="G126" s="87">
        <v>10279</v>
      </c>
      <c r="H126" s="47">
        <f t="shared" si="46"/>
        <v>46.658235236890746</v>
      </c>
      <c r="I126" s="87">
        <v>8183</v>
      </c>
      <c r="J126" s="87">
        <v>3789</v>
      </c>
      <c r="K126" s="47">
        <f t="shared" si="47"/>
        <v>215.96727368698865</v>
      </c>
      <c r="L126" s="87">
        <v>0</v>
      </c>
      <c r="M126" s="87">
        <v>0</v>
      </c>
      <c r="N126" s="47">
        <v>0</v>
      </c>
      <c r="O126" s="129">
        <v>18</v>
      </c>
      <c r="P126" s="87">
        <v>33</v>
      </c>
      <c r="Q126" s="129">
        <v>14</v>
      </c>
      <c r="R126" s="45">
        <f t="shared" si="44"/>
        <v>462</v>
      </c>
    </row>
    <row r="127" spans="1:91" s="60" customFormat="1" x14ac:dyDescent="0.25">
      <c r="A127" s="315" t="s">
        <v>109</v>
      </c>
      <c r="B127" s="315" t="s">
        <v>109</v>
      </c>
      <c r="C127" s="56">
        <f>SUM(C102:C126)</f>
        <v>682970</v>
      </c>
      <c r="D127" s="56">
        <f>SUM(D102:D126)</f>
        <v>558500</v>
      </c>
      <c r="E127" s="57">
        <f>C127/D127*100</f>
        <v>122.28648164726947</v>
      </c>
      <c r="F127" s="56">
        <f>SUM(F102:F126)</f>
        <v>300324</v>
      </c>
      <c r="G127" s="56">
        <f>SUM(G102:G126)</f>
        <v>255667</v>
      </c>
      <c r="H127" s="57">
        <f>F127/G127*100</f>
        <v>117.466861190533</v>
      </c>
      <c r="I127" s="56">
        <f>SUM(I102:I126)</f>
        <v>630672</v>
      </c>
      <c r="J127" s="56">
        <f>SUM(J102:J126)</f>
        <v>492244</v>
      </c>
      <c r="K127" s="57">
        <f>I127/J127*100</f>
        <v>128.12182576120784</v>
      </c>
      <c r="L127" s="56">
        <f>SUM(L102:L126)</f>
        <v>356625</v>
      </c>
      <c r="M127" s="56">
        <f>SUM(M102:M126)</f>
        <v>236846</v>
      </c>
      <c r="N127" s="57">
        <f>L127/M127*100</f>
        <v>150.57252391849556</v>
      </c>
      <c r="O127" s="56">
        <f>SUM(O102:O126)</f>
        <v>1889</v>
      </c>
      <c r="P127" s="57">
        <f>R127/O127</f>
        <v>51.532027527792479</v>
      </c>
      <c r="Q127" s="58">
        <f>SUM(Q102:Q126)</f>
        <v>1735</v>
      </c>
      <c r="R127" s="59">
        <f>SUM(R102:R126)</f>
        <v>97344</v>
      </c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x14ac:dyDescent="0.25">
      <c r="A128" s="85"/>
      <c r="B128" s="81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86"/>
      <c r="O128" s="153"/>
      <c r="P128" s="44"/>
      <c r="Q128" s="153"/>
      <c r="R128" s="45"/>
    </row>
    <row r="129" spans="1:91" x14ac:dyDescent="0.25">
      <c r="A129" s="350" t="s">
        <v>177</v>
      </c>
      <c r="B129" s="350"/>
      <c r="C129" s="37">
        <v>3</v>
      </c>
      <c r="D129" s="37">
        <v>4</v>
      </c>
      <c r="E129" s="150">
        <v>5</v>
      </c>
      <c r="F129" s="37">
        <v>6</v>
      </c>
      <c r="G129" s="37">
        <v>7</v>
      </c>
      <c r="H129" s="37">
        <v>8</v>
      </c>
      <c r="I129" s="37">
        <v>9</v>
      </c>
      <c r="J129" s="37">
        <v>10</v>
      </c>
      <c r="K129" s="37">
        <v>11</v>
      </c>
      <c r="L129" s="37">
        <v>12</v>
      </c>
      <c r="M129" s="37">
        <v>13</v>
      </c>
      <c r="N129" s="37">
        <v>14</v>
      </c>
      <c r="O129" s="37">
        <v>15</v>
      </c>
      <c r="P129" s="150">
        <v>16</v>
      </c>
      <c r="Q129" s="37">
        <v>17</v>
      </c>
      <c r="R129" s="45"/>
    </row>
    <row r="130" spans="1:91" x14ac:dyDescent="0.25">
      <c r="A130" s="153">
        <v>1</v>
      </c>
      <c r="B130" s="146" t="s">
        <v>191</v>
      </c>
      <c r="C130" s="153">
        <v>185171</v>
      </c>
      <c r="D130" s="153">
        <v>91408</v>
      </c>
      <c r="E130" s="47">
        <f>C130/D130*100</f>
        <v>202.57636093120954</v>
      </c>
      <c r="F130" s="153">
        <v>46488</v>
      </c>
      <c r="G130" s="153">
        <v>91408</v>
      </c>
      <c r="H130" s="47">
        <f>F130/G130*100</f>
        <v>50.85769298092071</v>
      </c>
      <c r="I130" s="153">
        <v>171740</v>
      </c>
      <c r="J130" s="153">
        <v>47412</v>
      </c>
      <c r="K130" s="47">
        <f>I130/J130*100</f>
        <v>362.22897156837928</v>
      </c>
      <c r="L130" s="153">
        <f>60826+19384</f>
        <v>80210</v>
      </c>
      <c r="M130" s="153">
        <v>0</v>
      </c>
      <c r="N130" s="47">
        <v>0</v>
      </c>
      <c r="O130" s="153">
        <v>72</v>
      </c>
      <c r="P130" s="153">
        <v>71</v>
      </c>
      <c r="Q130" s="153">
        <v>404</v>
      </c>
      <c r="R130" s="45"/>
    </row>
    <row r="131" spans="1:91" x14ac:dyDescent="0.25">
      <c r="A131" s="153">
        <v>2</v>
      </c>
      <c r="B131" s="146" t="s">
        <v>192</v>
      </c>
      <c r="C131" s="153">
        <v>99663</v>
      </c>
      <c r="D131" s="153">
        <v>0</v>
      </c>
      <c r="E131" s="47">
        <v>0</v>
      </c>
      <c r="F131" s="153">
        <v>25808</v>
      </c>
      <c r="G131" s="153">
        <v>0</v>
      </c>
      <c r="H131" s="47">
        <v>0</v>
      </c>
      <c r="I131" s="153">
        <v>193381</v>
      </c>
      <c r="J131" s="153">
        <v>0</v>
      </c>
      <c r="K131" s="47">
        <v>0</v>
      </c>
      <c r="L131" s="153">
        <v>0</v>
      </c>
      <c r="M131" s="153">
        <v>0</v>
      </c>
      <c r="N131" s="47">
        <v>0</v>
      </c>
      <c r="O131" s="153">
        <v>34</v>
      </c>
      <c r="P131" s="153">
        <v>85</v>
      </c>
      <c r="Q131" s="153">
        <v>136</v>
      </c>
      <c r="R131" s="45"/>
    </row>
    <row r="132" spans="1:91" x14ac:dyDescent="0.25">
      <c r="A132" s="153">
        <v>3</v>
      </c>
      <c r="B132" s="146" t="s">
        <v>193</v>
      </c>
      <c r="C132" s="153">
        <v>502274</v>
      </c>
      <c r="D132" s="153">
        <v>465106</v>
      </c>
      <c r="E132" s="47">
        <f>C132/D132*100</f>
        <v>107.99129660765503</v>
      </c>
      <c r="F132" s="153">
        <v>153191</v>
      </c>
      <c r="G132" s="153">
        <v>154235</v>
      </c>
      <c r="H132" s="47">
        <f>F132/G132*100</f>
        <v>99.32311083735857</v>
      </c>
      <c r="I132" s="153">
        <v>434859</v>
      </c>
      <c r="J132" s="153">
        <v>148810</v>
      </c>
      <c r="K132" s="47">
        <f>I132/J132*100</f>
        <v>292.22431288219877</v>
      </c>
      <c r="L132" s="153">
        <v>0</v>
      </c>
      <c r="M132" s="153">
        <v>0</v>
      </c>
      <c r="N132" s="47">
        <v>0</v>
      </c>
      <c r="O132" s="153">
        <v>415</v>
      </c>
      <c r="P132" s="153">
        <v>100</v>
      </c>
      <c r="Q132" s="153">
        <v>71</v>
      </c>
      <c r="R132" s="45"/>
    </row>
    <row r="133" spans="1:91" x14ac:dyDescent="0.25">
      <c r="A133" s="315" t="s">
        <v>190</v>
      </c>
      <c r="B133" s="315" t="s">
        <v>109</v>
      </c>
      <c r="C133" s="56">
        <f>SUM(C130:C132)</f>
        <v>787108</v>
      </c>
      <c r="D133" s="56">
        <f>SUM(D130:D132)</f>
        <v>556514</v>
      </c>
      <c r="E133" s="57">
        <f>C133/D133*100</f>
        <v>141.43543558652613</v>
      </c>
      <c r="F133" s="56">
        <f>SUM(F130:F132)</f>
        <v>225487</v>
      </c>
      <c r="G133" s="56">
        <f>SUM(G130:G132)</f>
        <v>245643</v>
      </c>
      <c r="H133" s="57">
        <f>F133/G133*100</f>
        <v>91.794596222973993</v>
      </c>
      <c r="I133" s="56">
        <f>SUM(I130:I132)</f>
        <v>799980</v>
      </c>
      <c r="J133" s="56">
        <f>SUM(J130:J132)</f>
        <v>196222</v>
      </c>
      <c r="K133" s="57">
        <f>I133/J133*100</f>
        <v>407.69128843860523</v>
      </c>
      <c r="L133" s="56">
        <f>SUM(L130:L132)</f>
        <v>80210</v>
      </c>
      <c r="M133" s="56">
        <f>SUM(M130:M132)</f>
        <v>0</v>
      </c>
      <c r="N133" s="57">
        <v>0</v>
      </c>
      <c r="O133" s="56">
        <f>SUM(O130:O132)</f>
        <v>521</v>
      </c>
      <c r="P133" s="57">
        <f>Փետրվար!R133/O133</f>
        <v>330.27639155470251</v>
      </c>
      <c r="Q133" s="58">
        <f>SUM(Q130:Q132)</f>
        <v>611</v>
      </c>
      <c r="R133" s="45">
        <f>SUM(R108:R132)</f>
        <v>170866</v>
      </c>
    </row>
    <row r="134" spans="1:91" s="145" customFormat="1" x14ac:dyDescent="0.25">
      <c r="A134" s="117"/>
      <c r="B134" s="117"/>
      <c r="C134" s="103"/>
      <c r="D134" s="103"/>
      <c r="E134" s="142"/>
      <c r="F134" s="103"/>
      <c r="G134" s="103"/>
      <c r="H134" s="142"/>
      <c r="I134" s="103"/>
      <c r="J134" s="103"/>
      <c r="K134" s="142"/>
      <c r="L134" s="103"/>
      <c r="M134" s="103"/>
      <c r="N134" s="142"/>
      <c r="O134" s="103"/>
      <c r="P134" s="142"/>
      <c r="Q134" s="143"/>
      <c r="R134" s="14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x14ac:dyDescent="0.25">
      <c r="A135" s="37"/>
      <c r="B135" s="37" t="s">
        <v>20</v>
      </c>
      <c r="C135" s="37">
        <v>3</v>
      </c>
      <c r="D135" s="37">
        <v>4</v>
      </c>
      <c r="E135" s="150">
        <v>5</v>
      </c>
      <c r="F135" s="37">
        <v>6</v>
      </c>
      <c r="G135" s="37">
        <v>7</v>
      </c>
      <c r="H135" s="37">
        <v>8</v>
      </c>
      <c r="I135" s="37">
        <v>9</v>
      </c>
      <c r="J135" s="37">
        <v>10</v>
      </c>
      <c r="K135" s="37">
        <v>11</v>
      </c>
      <c r="L135" s="37">
        <v>12</v>
      </c>
      <c r="M135" s="37">
        <v>13</v>
      </c>
      <c r="N135" s="37">
        <v>14</v>
      </c>
      <c r="O135" s="37">
        <v>15</v>
      </c>
      <c r="P135" s="150">
        <v>16</v>
      </c>
      <c r="Q135" s="37">
        <v>17</v>
      </c>
      <c r="R135" s="39"/>
    </row>
    <row r="136" spans="1:91" x14ac:dyDescent="0.25">
      <c r="A136" s="50">
        <v>1</v>
      </c>
      <c r="B136" s="89" t="s">
        <v>110</v>
      </c>
      <c r="C136" s="90">
        <v>3313</v>
      </c>
      <c r="D136" s="91">
        <v>63</v>
      </c>
      <c r="E136" s="47">
        <f t="shared" ref="E136:E137" si="55">C136/D136*100</f>
        <v>5258.730158730159</v>
      </c>
      <c r="F136" s="90">
        <v>1152</v>
      </c>
      <c r="G136" s="51">
        <v>63</v>
      </c>
      <c r="H136" s="47">
        <f t="shared" ref="H136:H137" si="56">F136/G136*100</f>
        <v>1828.5714285714284</v>
      </c>
      <c r="I136" s="51">
        <v>3313</v>
      </c>
      <c r="J136" s="91">
        <v>63</v>
      </c>
      <c r="K136" s="47">
        <f t="shared" ref="K136:K142" si="57">I136/J136*100</f>
        <v>5258.730158730159</v>
      </c>
      <c r="L136" s="90">
        <v>0</v>
      </c>
      <c r="M136" s="91">
        <v>0</v>
      </c>
      <c r="N136" s="47">
        <v>0</v>
      </c>
      <c r="O136" s="153">
        <v>27</v>
      </c>
      <c r="P136" s="92">
        <v>75</v>
      </c>
      <c r="Q136" s="153">
        <v>27</v>
      </c>
      <c r="R136" s="45">
        <f t="shared" ref="R136:R142" si="58">Q136*P136</f>
        <v>2025</v>
      </c>
    </row>
    <row r="137" spans="1:91" x14ac:dyDescent="0.25">
      <c r="A137" s="50">
        <v>2</v>
      </c>
      <c r="B137" s="89" t="s">
        <v>167</v>
      </c>
      <c r="C137" s="153">
        <v>72330</v>
      </c>
      <c r="D137" s="153">
        <v>27106</v>
      </c>
      <c r="E137" s="47">
        <f t="shared" si="55"/>
        <v>266.84128975134655</v>
      </c>
      <c r="F137" s="153">
        <v>20093</v>
      </c>
      <c r="G137" s="153">
        <v>16368</v>
      </c>
      <c r="H137" s="47">
        <f t="shared" si="56"/>
        <v>122.75782013685239</v>
      </c>
      <c r="I137" s="153">
        <v>81245</v>
      </c>
      <c r="J137" s="153">
        <v>11384</v>
      </c>
      <c r="K137" s="47">
        <f t="shared" si="57"/>
        <v>713.67709065354893</v>
      </c>
      <c r="L137" s="153">
        <v>0</v>
      </c>
      <c r="M137" s="153">
        <v>0</v>
      </c>
      <c r="N137" s="47">
        <v>0</v>
      </c>
      <c r="O137" s="153">
        <v>84</v>
      </c>
      <c r="P137" s="44">
        <v>80</v>
      </c>
      <c r="Q137" s="153">
        <v>83</v>
      </c>
      <c r="R137" s="45">
        <f t="shared" si="58"/>
        <v>6640</v>
      </c>
    </row>
    <row r="138" spans="1:91" x14ac:dyDescent="0.25">
      <c r="A138" s="50">
        <v>3</v>
      </c>
      <c r="B138" s="89" t="s">
        <v>166</v>
      </c>
      <c r="C138" s="153">
        <v>0</v>
      </c>
      <c r="D138" s="153">
        <v>0</v>
      </c>
      <c r="E138" s="153">
        <v>0</v>
      </c>
      <c r="F138" s="153">
        <v>0</v>
      </c>
      <c r="G138" s="153">
        <v>0</v>
      </c>
      <c r="H138" s="153">
        <v>0</v>
      </c>
      <c r="I138" s="153">
        <v>0</v>
      </c>
      <c r="J138" s="153">
        <v>0</v>
      </c>
      <c r="K138" s="153">
        <v>0</v>
      </c>
      <c r="L138" s="153">
        <v>0</v>
      </c>
      <c r="M138" s="153">
        <v>0</v>
      </c>
      <c r="N138" s="86">
        <v>0</v>
      </c>
      <c r="O138" s="153">
        <v>0</v>
      </c>
      <c r="P138" s="44">
        <v>0</v>
      </c>
      <c r="Q138" s="153">
        <v>0</v>
      </c>
      <c r="R138" s="45">
        <f t="shared" si="58"/>
        <v>0</v>
      </c>
    </row>
    <row r="139" spans="1:91" x14ac:dyDescent="0.25">
      <c r="A139" s="50">
        <v>4</v>
      </c>
      <c r="B139" s="89" t="s">
        <v>111</v>
      </c>
      <c r="C139" s="153">
        <v>0</v>
      </c>
      <c r="D139" s="153">
        <v>0</v>
      </c>
      <c r="E139" s="153">
        <v>0</v>
      </c>
      <c r="F139" s="153">
        <v>0</v>
      </c>
      <c r="G139" s="153">
        <v>0</v>
      </c>
      <c r="H139" s="153">
        <v>0</v>
      </c>
      <c r="I139" s="153">
        <v>0</v>
      </c>
      <c r="J139" s="153">
        <v>0</v>
      </c>
      <c r="K139" s="153">
        <v>0</v>
      </c>
      <c r="L139" s="153">
        <v>0</v>
      </c>
      <c r="M139" s="153">
        <v>0</v>
      </c>
      <c r="N139" s="86">
        <v>0</v>
      </c>
      <c r="O139" s="153">
        <v>0</v>
      </c>
      <c r="P139" s="44">
        <v>0</v>
      </c>
      <c r="Q139" s="153">
        <v>0</v>
      </c>
      <c r="R139" s="45">
        <f t="shared" si="58"/>
        <v>0</v>
      </c>
    </row>
    <row r="140" spans="1:91" x14ac:dyDescent="0.25">
      <c r="A140" s="50">
        <v>5</v>
      </c>
      <c r="B140" s="93" t="s">
        <v>112</v>
      </c>
      <c r="C140" s="86">
        <v>0</v>
      </c>
      <c r="D140" s="86">
        <v>181</v>
      </c>
      <c r="E140" s="47">
        <f t="shared" ref="E140" si="59">C140/D140*100</f>
        <v>0</v>
      </c>
      <c r="F140" s="86">
        <v>0</v>
      </c>
      <c r="G140" s="86">
        <v>0</v>
      </c>
      <c r="H140" s="47">
        <v>0</v>
      </c>
      <c r="I140" s="86">
        <v>1492</v>
      </c>
      <c r="J140" s="86">
        <v>1478</v>
      </c>
      <c r="K140" s="94">
        <f t="shared" si="57"/>
        <v>100.94722598105548</v>
      </c>
      <c r="L140" s="86">
        <v>0</v>
      </c>
      <c r="M140" s="86">
        <v>0</v>
      </c>
      <c r="N140" s="86">
        <v>0</v>
      </c>
      <c r="O140" s="153">
        <v>7</v>
      </c>
      <c r="P140" s="92">
        <v>45</v>
      </c>
      <c r="Q140" s="153">
        <v>7</v>
      </c>
      <c r="R140" s="45">
        <f t="shared" si="58"/>
        <v>315</v>
      </c>
    </row>
    <row r="141" spans="1:91" s="66" customFormat="1" x14ac:dyDescent="0.25">
      <c r="A141" s="50">
        <v>6</v>
      </c>
      <c r="B141" s="93" t="s">
        <v>113</v>
      </c>
      <c r="C141" s="86">
        <v>0</v>
      </c>
      <c r="D141" s="86">
        <v>0</v>
      </c>
      <c r="E141" s="94">
        <v>0</v>
      </c>
      <c r="F141" s="86">
        <v>0</v>
      </c>
      <c r="G141" s="86">
        <v>0</v>
      </c>
      <c r="H141" s="47">
        <v>0</v>
      </c>
      <c r="I141" s="95">
        <v>0</v>
      </c>
      <c r="J141" s="86">
        <v>0</v>
      </c>
      <c r="K141" s="94">
        <v>0</v>
      </c>
      <c r="L141" s="86">
        <v>0</v>
      </c>
      <c r="M141" s="86">
        <v>0</v>
      </c>
      <c r="N141" s="86">
        <v>0</v>
      </c>
      <c r="O141" s="153">
        <v>4</v>
      </c>
      <c r="P141" s="88">
        <v>60</v>
      </c>
      <c r="Q141" s="153">
        <v>4</v>
      </c>
      <c r="R141" s="45">
        <f t="shared" si="58"/>
        <v>240</v>
      </c>
    </row>
    <row r="142" spans="1:91" x14ac:dyDescent="0.25">
      <c r="A142" s="50">
        <v>7</v>
      </c>
      <c r="B142" s="89" t="s">
        <v>114</v>
      </c>
      <c r="C142" s="51">
        <v>6250</v>
      </c>
      <c r="D142" s="51">
        <v>3265</v>
      </c>
      <c r="E142" s="47">
        <f t="shared" ref="E142" si="60">C142/D142*100</f>
        <v>191.42419601837673</v>
      </c>
      <c r="F142" s="51">
        <v>3537</v>
      </c>
      <c r="G142" s="51">
        <v>1141</v>
      </c>
      <c r="H142" s="47">
        <f t="shared" ref="H142" si="61">F142/G142*100</f>
        <v>309.99123575810694</v>
      </c>
      <c r="I142" s="51">
        <v>6250</v>
      </c>
      <c r="J142" s="51">
        <v>3265</v>
      </c>
      <c r="K142" s="94">
        <f t="shared" si="57"/>
        <v>191.42419601837673</v>
      </c>
      <c r="L142" s="51">
        <v>0</v>
      </c>
      <c r="M142" s="51">
        <v>0</v>
      </c>
      <c r="N142" s="47">
        <v>0</v>
      </c>
      <c r="O142" s="153">
        <v>13</v>
      </c>
      <c r="P142" s="87">
        <v>50</v>
      </c>
      <c r="Q142" s="153">
        <v>14</v>
      </c>
      <c r="R142" s="45">
        <f t="shared" si="58"/>
        <v>700</v>
      </c>
    </row>
    <row r="143" spans="1:91" s="60" customFormat="1" x14ac:dyDescent="0.25">
      <c r="A143" s="315" t="s">
        <v>115</v>
      </c>
      <c r="B143" s="315" t="s">
        <v>115</v>
      </c>
      <c r="C143" s="56">
        <f>SUM(C136:C142)</f>
        <v>81893</v>
      </c>
      <c r="D143" s="56">
        <f>SUM(D136:D142)</f>
        <v>30615</v>
      </c>
      <c r="E143" s="57">
        <f>C143/D143*100</f>
        <v>267.49305895802712</v>
      </c>
      <c r="F143" s="56">
        <f>SUM(F136:F142)</f>
        <v>24782</v>
      </c>
      <c r="G143" s="56">
        <f>SUM(G136:G142)</f>
        <v>17572</v>
      </c>
      <c r="H143" s="57">
        <f>F143/G143*100</f>
        <v>141.03118597769176</v>
      </c>
      <c r="I143" s="56">
        <f>SUM(I136:I142)</f>
        <v>92300</v>
      </c>
      <c r="J143" s="56">
        <f>SUM(J136:J142)</f>
        <v>16190</v>
      </c>
      <c r="K143" s="57">
        <f>I143/J143*100</f>
        <v>570.10500308832616</v>
      </c>
      <c r="L143" s="56">
        <f>SUM(L136:L142)</f>
        <v>0</v>
      </c>
      <c r="M143" s="56">
        <f>SUM(M136:M142)</f>
        <v>0</v>
      </c>
      <c r="N143" s="58">
        <v>0</v>
      </c>
      <c r="O143" s="56">
        <f>SUM(O136:O142)</f>
        <v>135</v>
      </c>
      <c r="P143" s="57">
        <f>R143/O143</f>
        <v>73.481481481481481</v>
      </c>
      <c r="Q143" s="58">
        <f>SUM(Q136:Q142)</f>
        <v>135</v>
      </c>
      <c r="R143" s="59">
        <f>SUM(R136:R142)</f>
        <v>9920</v>
      </c>
    </row>
    <row r="144" spans="1:91" x14ac:dyDescent="0.25">
      <c r="A144" s="153"/>
      <c r="B144" s="153"/>
      <c r="C144" s="153"/>
      <c r="D144" s="153"/>
      <c r="E144" s="153"/>
      <c r="F144" s="153"/>
      <c r="G144" s="153"/>
      <c r="H144" s="153"/>
      <c r="I144" s="153"/>
      <c r="J144" s="153"/>
      <c r="K144" s="34"/>
      <c r="L144" s="153"/>
      <c r="M144" s="153"/>
      <c r="N144" s="153"/>
      <c r="O144" s="153"/>
      <c r="P144" s="62"/>
      <c r="Q144" s="153"/>
      <c r="R144" s="39"/>
    </row>
    <row r="145" spans="1:18" x14ac:dyDescent="0.25">
      <c r="A145" s="316" t="s">
        <v>116</v>
      </c>
      <c r="B145" s="317"/>
      <c r="C145" s="37">
        <v>3</v>
      </c>
      <c r="D145" s="37">
        <v>4</v>
      </c>
      <c r="E145" s="150">
        <v>5</v>
      </c>
      <c r="F145" s="37">
        <v>6</v>
      </c>
      <c r="G145" s="37">
        <v>7</v>
      </c>
      <c r="H145" s="37">
        <v>8</v>
      </c>
      <c r="I145" s="37">
        <v>9</v>
      </c>
      <c r="J145" s="37">
        <v>10</v>
      </c>
      <c r="K145" s="37">
        <v>11</v>
      </c>
      <c r="L145" s="37">
        <v>12</v>
      </c>
      <c r="M145" s="37">
        <v>13</v>
      </c>
      <c r="N145" s="37">
        <v>14</v>
      </c>
      <c r="O145" s="37">
        <v>15</v>
      </c>
      <c r="P145" s="150">
        <v>16</v>
      </c>
      <c r="Q145" s="37">
        <v>17</v>
      </c>
      <c r="R145" s="31"/>
    </row>
    <row r="146" spans="1:18" x14ac:dyDescent="0.25">
      <c r="A146" s="96">
        <v>1</v>
      </c>
      <c r="B146" s="78" t="s">
        <v>117</v>
      </c>
      <c r="C146" s="62">
        <v>25338912</v>
      </c>
      <c r="D146" s="62">
        <v>23988947</v>
      </c>
      <c r="E146" s="47">
        <f>C146/D146*100</f>
        <v>105.62744583995287</v>
      </c>
      <c r="F146" s="153">
        <v>8431456</v>
      </c>
      <c r="G146" s="153">
        <v>8062306</v>
      </c>
      <c r="H146" s="47">
        <f>F146/G146*100</f>
        <v>104.57871482426988</v>
      </c>
      <c r="I146" s="96">
        <v>25893976</v>
      </c>
      <c r="J146" s="96">
        <v>25029215</v>
      </c>
      <c r="K146" s="47">
        <f>I146/J146*100</f>
        <v>103.45500647942814</v>
      </c>
      <c r="L146" s="96">
        <v>11395986</v>
      </c>
      <c r="M146" s="96">
        <v>10328522</v>
      </c>
      <c r="N146" s="47">
        <f>L146/M146*100</f>
        <v>110.33510893426958</v>
      </c>
      <c r="O146" s="153">
        <v>2913</v>
      </c>
      <c r="P146" s="62">
        <v>145</v>
      </c>
      <c r="Q146" s="153">
        <v>2880</v>
      </c>
      <c r="R146" s="45">
        <f t="shared" ref="R146:R160" si="62">Q146*P146</f>
        <v>417600</v>
      </c>
    </row>
    <row r="147" spans="1:18" x14ac:dyDescent="0.25">
      <c r="A147" s="96">
        <v>2</v>
      </c>
      <c r="B147" s="78" t="s">
        <v>118</v>
      </c>
      <c r="C147" s="62">
        <v>6326190</v>
      </c>
      <c r="D147" s="62">
        <v>5464280</v>
      </c>
      <c r="E147" s="47">
        <f t="shared" ref="E147:E160" si="63">C147/D147*100</f>
        <v>115.77353283506702</v>
      </c>
      <c r="F147" s="153">
        <v>2294494</v>
      </c>
      <c r="G147" s="153">
        <v>2451234</v>
      </c>
      <c r="H147" s="47">
        <f t="shared" ref="H147:H160" si="64">F147/G147*100</f>
        <v>93.60566963415161</v>
      </c>
      <c r="I147" s="96">
        <v>4523895</v>
      </c>
      <c r="J147" s="96">
        <v>6103126</v>
      </c>
      <c r="K147" s="47">
        <f t="shared" ref="K147:K160" si="65">I147/J147*100</f>
        <v>74.124227486045683</v>
      </c>
      <c r="L147" s="153">
        <v>4523895</v>
      </c>
      <c r="M147" s="153">
        <v>6103126</v>
      </c>
      <c r="N147" s="47">
        <f t="shared" ref="N147:N160" si="66">L147/M147*100</f>
        <v>74.124227486045683</v>
      </c>
      <c r="O147" s="153">
        <v>926</v>
      </c>
      <c r="P147" s="62">
        <v>120</v>
      </c>
      <c r="Q147" s="153">
        <v>896</v>
      </c>
      <c r="R147" s="45">
        <f t="shared" si="62"/>
        <v>107520</v>
      </c>
    </row>
    <row r="148" spans="1:18" s="66" customFormat="1" x14ac:dyDescent="0.25">
      <c r="A148" s="96">
        <v>3</v>
      </c>
      <c r="B148" s="78" t="s">
        <v>119</v>
      </c>
      <c r="C148" s="76">
        <v>6620940</v>
      </c>
      <c r="D148" s="76">
        <v>6361416</v>
      </c>
      <c r="E148" s="47">
        <f t="shared" si="63"/>
        <v>104.07965773657941</v>
      </c>
      <c r="F148" s="96">
        <v>2216501</v>
      </c>
      <c r="G148" s="96">
        <v>2131029</v>
      </c>
      <c r="H148" s="47">
        <f t="shared" si="64"/>
        <v>104.0108323256042</v>
      </c>
      <c r="I148" s="96">
        <v>5013722</v>
      </c>
      <c r="J148" s="96">
        <v>6658960</v>
      </c>
      <c r="K148" s="47">
        <f t="shared" si="65"/>
        <v>75.292868556050792</v>
      </c>
      <c r="L148" s="96">
        <v>5013722</v>
      </c>
      <c r="M148" s="96">
        <v>6658960</v>
      </c>
      <c r="N148" s="47">
        <f t="shared" si="66"/>
        <v>75.292868556050792</v>
      </c>
      <c r="O148" s="153"/>
      <c r="P148" s="76">
        <v>306</v>
      </c>
      <c r="Q148" s="153">
        <v>1205</v>
      </c>
      <c r="R148" s="45">
        <f t="shared" si="62"/>
        <v>368730</v>
      </c>
    </row>
    <row r="149" spans="1:18" x14ac:dyDescent="0.25">
      <c r="A149" s="96">
        <v>4</v>
      </c>
      <c r="B149" s="78" t="s">
        <v>120</v>
      </c>
      <c r="C149" s="62">
        <v>1223734</v>
      </c>
      <c r="D149" s="62">
        <v>1523340</v>
      </c>
      <c r="E149" s="47">
        <f t="shared" si="63"/>
        <v>80.332296138747751</v>
      </c>
      <c r="F149" s="153">
        <v>310316</v>
      </c>
      <c r="G149" s="153">
        <v>466944</v>
      </c>
      <c r="H149" s="47">
        <f t="shared" si="64"/>
        <v>66.456791392543863</v>
      </c>
      <c r="I149" s="153">
        <v>972102</v>
      </c>
      <c r="J149" s="153">
        <v>1445483</v>
      </c>
      <c r="K149" s="47">
        <f t="shared" si="65"/>
        <v>67.251015750444665</v>
      </c>
      <c r="L149" s="154">
        <v>972102</v>
      </c>
      <c r="M149" s="154">
        <v>1445483</v>
      </c>
      <c r="N149" s="47">
        <f t="shared" si="66"/>
        <v>67.251015750444665</v>
      </c>
      <c r="O149" s="153">
        <v>550</v>
      </c>
      <c r="P149" s="62">
        <v>150</v>
      </c>
      <c r="Q149" s="153">
        <v>550</v>
      </c>
      <c r="R149" s="45">
        <f t="shared" si="62"/>
        <v>82500</v>
      </c>
    </row>
    <row r="150" spans="1:18" x14ac:dyDescent="0.25">
      <c r="A150" s="96">
        <v>5</v>
      </c>
      <c r="B150" s="78" t="s">
        <v>121</v>
      </c>
      <c r="C150" s="153">
        <v>0</v>
      </c>
      <c r="D150" s="153">
        <v>0</v>
      </c>
      <c r="E150" s="153">
        <v>0</v>
      </c>
      <c r="F150" s="153">
        <v>0</v>
      </c>
      <c r="G150" s="153">
        <v>0</v>
      </c>
      <c r="H150" s="153">
        <v>0</v>
      </c>
      <c r="I150" s="153">
        <v>0</v>
      </c>
      <c r="J150" s="153">
        <v>0</v>
      </c>
      <c r="K150" s="153">
        <v>0</v>
      </c>
      <c r="L150" s="153">
        <v>0</v>
      </c>
      <c r="M150" s="153">
        <v>0</v>
      </c>
      <c r="N150" s="47">
        <v>0</v>
      </c>
      <c r="O150" s="153">
        <v>0</v>
      </c>
      <c r="P150" s="44">
        <v>0</v>
      </c>
      <c r="Q150" s="153">
        <v>0</v>
      </c>
      <c r="R150" s="45">
        <f t="shared" si="62"/>
        <v>0</v>
      </c>
    </row>
    <row r="151" spans="1:18" x14ac:dyDescent="0.25">
      <c r="A151" s="96">
        <v>6</v>
      </c>
      <c r="B151" s="78" t="s">
        <v>122</v>
      </c>
      <c r="C151" s="76">
        <v>4689468</v>
      </c>
      <c r="D151" s="76">
        <v>5313397</v>
      </c>
      <c r="E151" s="47">
        <f t="shared" si="63"/>
        <v>88.257436814903912</v>
      </c>
      <c r="F151" s="96">
        <v>2057341</v>
      </c>
      <c r="G151" s="96">
        <v>1901369</v>
      </c>
      <c r="H151" s="47">
        <f t="shared" si="64"/>
        <v>108.20314205185841</v>
      </c>
      <c r="I151" s="96">
        <v>4830019</v>
      </c>
      <c r="J151" s="96">
        <v>5587522</v>
      </c>
      <c r="K151" s="47">
        <f t="shared" si="65"/>
        <v>86.442952707837222</v>
      </c>
      <c r="L151" s="96">
        <v>4830019</v>
      </c>
      <c r="M151" s="96">
        <v>5587522</v>
      </c>
      <c r="N151" s="47">
        <f t="shared" si="66"/>
        <v>86.442952707837222</v>
      </c>
      <c r="O151" s="153">
        <v>464</v>
      </c>
      <c r="P151" s="76">
        <v>150</v>
      </c>
      <c r="Q151" s="153">
        <v>477</v>
      </c>
      <c r="R151" s="45">
        <f t="shared" si="62"/>
        <v>71550</v>
      </c>
    </row>
    <row r="152" spans="1:18" x14ac:dyDescent="0.25">
      <c r="A152" s="96">
        <v>7</v>
      </c>
      <c r="B152" s="78" t="s">
        <v>123</v>
      </c>
      <c r="C152" s="153">
        <v>0</v>
      </c>
      <c r="D152" s="153">
        <v>0</v>
      </c>
      <c r="E152" s="153">
        <v>0</v>
      </c>
      <c r="F152" s="153">
        <v>0</v>
      </c>
      <c r="G152" s="153">
        <v>0</v>
      </c>
      <c r="H152" s="153">
        <v>0</v>
      </c>
      <c r="I152" s="153">
        <v>0</v>
      </c>
      <c r="J152" s="153">
        <v>0</v>
      </c>
      <c r="K152" s="153">
        <v>0</v>
      </c>
      <c r="L152" s="153">
        <v>0</v>
      </c>
      <c r="M152" s="153">
        <v>0</v>
      </c>
      <c r="N152" s="47">
        <v>0</v>
      </c>
      <c r="O152" s="153">
        <v>0</v>
      </c>
      <c r="P152" s="44">
        <v>0</v>
      </c>
      <c r="Q152" s="153">
        <v>0</v>
      </c>
      <c r="R152" s="45">
        <f t="shared" si="62"/>
        <v>0</v>
      </c>
    </row>
    <row r="153" spans="1:18" x14ac:dyDescent="0.25">
      <c r="A153" s="96">
        <v>8</v>
      </c>
      <c r="B153" s="78" t="s">
        <v>124</v>
      </c>
      <c r="C153" s="153">
        <v>0</v>
      </c>
      <c r="D153" s="153">
        <v>0</v>
      </c>
      <c r="E153" s="153">
        <v>0</v>
      </c>
      <c r="F153" s="153">
        <v>0</v>
      </c>
      <c r="G153" s="153">
        <v>0</v>
      </c>
      <c r="H153" s="153">
        <v>0</v>
      </c>
      <c r="I153" s="153">
        <v>0</v>
      </c>
      <c r="J153" s="153">
        <v>0</v>
      </c>
      <c r="K153" s="153">
        <v>0</v>
      </c>
      <c r="L153" s="153">
        <v>0</v>
      </c>
      <c r="M153" s="153">
        <v>0</v>
      </c>
      <c r="N153" s="47">
        <v>0</v>
      </c>
      <c r="O153" s="153">
        <v>0</v>
      </c>
      <c r="P153" s="44">
        <v>0</v>
      </c>
      <c r="Q153" s="153">
        <v>0</v>
      </c>
      <c r="R153" s="45">
        <f t="shared" si="62"/>
        <v>0</v>
      </c>
    </row>
    <row r="154" spans="1:18" s="66" customFormat="1" x14ac:dyDescent="0.25">
      <c r="A154" s="96">
        <v>9</v>
      </c>
      <c r="B154" s="78" t="s">
        <v>125</v>
      </c>
      <c r="C154" s="76">
        <v>5428339</v>
      </c>
      <c r="D154" s="76">
        <v>3771190</v>
      </c>
      <c r="E154" s="47">
        <f t="shared" si="63"/>
        <v>143.94233650386218</v>
      </c>
      <c r="F154" s="153">
        <v>2168121</v>
      </c>
      <c r="G154" s="153">
        <v>1212900</v>
      </c>
      <c r="H154" s="47">
        <f t="shared" si="64"/>
        <v>178.7551323274796</v>
      </c>
      <c r="I154" s="153">
        <v>5910964</v>
      </c>
      <c r="J154" s="153">
        <v>3624204</v>
      </c>
      <c r="K154" s="47">
        <f t="shared" si="65"/>
        <v>163.09688968943249</v>
      </c>
      <c r="L154" s="153">
        <v>5910964</v>
      </c>
      <c r="M154" s="153">
        <v>3624204</v>
      </c>
      <c r="N154" s="47">
        <f t="shared" si="66"/>
        <v>163.09688968943249</v>
      </c>
      <c r="O154" s="153">
        <v>867</v>
      </c>
      <c r="P154" s="62">
        <v>100</v>
      </c>
      <c r="Q154" s="153">
        <v>802</v>
      </c>
      <c r="R154" s="45">
        <f t="shared" si="62"/>
        <v>80200</v>
      </c>
    </row>
    <row r="155" spans="1:18" x14ac:dyDescent="0.25">
      <c r="A155" s="96">
        <v>10</v>
      </c>
      <c r="B155" s="78" t="s">
        <v>126</v>
      </c>
      <c r="C155" s="76">
        <v>10478736</v>
      </c>
      <c r="D155" s="76">
        <v>10365052</v>
      </c>
      <c r="E155" s="47">
        <f t="shared" si="63"/>
        <v>101.09680105801688</v>
      </c>
      <c r="F155" s="76">
        <v>3838210</v>
      </c>
      <c r="G155" s="76">
        <v>3847821</v>
      </c>
      <c r="H155" s="47">
        <f t="shared" si="64"/>
        <v>99.750222268655435</v>
      </c>
      <c r="I155" s="153">
        <v>9480032</v>
      </c>
      <c r="J155" s="153">
        <v>9962516</v>
      </c>
      <c r="K155" s="47">
        <f t="shared" si="65"/>
        <v>95.157006523251752</v>
      </c>
      <c r="L155" s="153">
        <v>9479717</v>
      </c>
      <c r="M155" s="153">
        <v>9953113</v>
      </c>
      <c r="N155" s="47">
        <f t="shared" si="66"/>
        <v>95.24373932055228</v>
      </c>
      <c r="O155" s="153">
        <v>659</v>
      </c>
      <c r="P155" s="62">
        <v>134</v>
      </c>
      <c r="Q155" s="153">
        <v>663</v>
      </c>
      <c r="R155" s="45">
        <f t="shared" si="62"/>
        <v>88842</v>
      </c>
    </row>
    <row r="156" spans="1:18" x14ac:dyDescent="0.25">
      <c r="A156" s="96">
        <v>11</v>
      </c>
      <c r="B156" s="78" t="s">
        <v>127</v>
      </c>
      <c r="C156" s="62">
        <v>6930480</v>
      </c>
      <c r="D156" s="62">
        <v>8173138</v>
      </c>
      <c r="E156" s="47">
        <f t="shared" si="63"/>
        <v>84.795827502239646</v>
      </c>
      <c r="F156" s="153">
        <v>2180433</v>
      </c>
      <c r="G156" s="153">
        <v>2966073</v>
      </c>
      <c r="H156" s="47">
        <f t="shared" si="64"/>
        <v>73.512452323324467</v>
      </c>
      <c r="I156" s="153">
        <v>7331598</v>
      </c>
      <c r="J156" s="153">
        <v>8279304</v>
      </c>
      <c r="K156" s="47">
        <f t="shared" si="65"/>
        <v>88.55331317704966</v>
      </c>
      <c r="L156" s="153">
        <v>7331598</v>
      </c>
      <c r="M156" s="153">
        <v>8279304</v>
      </c>
      <c r="N156" s="47">
        <f t="shared" si="66"/>
        <v>88.55331317704966</v>
      </c>
      <c r="O156" s="153">
        <v>560</v>
      </c>
      <c r="P156" s="62">
        <v>168</v>
      </c>
      <c r="Q156" s="153">
        <v>540</v>
      </c>
      <c r="R156" s="45">
        <f t="shared" si="62"/>
        <v>90720</v>
      </c>
    </row>
    <row r="157" spans="1:18" x14ac:dyDescent="0.25">
      <c r="A157" s="96">
        <v>12</v>
      </c>
      <c r="B157" s="78" t="s">
        <v>128</v>
      </c>
      <c r="C157" s="51">
        <v>1060</v>
      </c>
      <c r="D157" s="51">
        <v>0</v>
      </c>
      <c r="E157" s="47">
        <v>0</v>
      </c>
      <c r="F157" s="51">
        <v>1060</v>
      </c>
      <c r="G157" s="51">
        <v>0</v>
      </c>
      <c r="H157" s="47">
        <v>0</v>
      </c>
      <c r="I157" s="51">
        <v>9760</v>
      </c>
      <c r="J157" s="51">
        <v>1747</v>
      </c>
      <c r="K157" s="47">
        <f t="shared" si="65"/>
        <v>558.67200915855756</v>
      </c>
      <c r="L157" s="51">
        <v>0</v>
      </c>
      <c r="M157" s="51">
        <v>0</v>
      </c>
      <c r="N157" s="47">
        <v>0</v>
      </c>
      <c r="O157" s="153">
        <v>9</v>
      </c>
      <c r="P157" s="62">
        <v>45</v>
      </c>
      <c r="Q157" s="153">
        <v>8</v>
      </c>
      <c r="R157" s="45">
        <f t="shared" si="62"/>
        <v>360</v>
      </c>
    </row>
    <row r="158" spans="1:18" x14ac:dyDescent="0.25">
      <c r="A158" s="96">
        <v>13</v>
      </c>
      <c r="B158" s="78" t="s">
        <v>129</v>
      </c>
      <c r="C158" s="153">
        <v>0</v>
      </c>
      <c r="D158" s="153">
        <v>0</v>
      </c>
      <c r="E158" s="153">
        <v>0</v>
      </c>
      <c r="F158" s="153">
        <v>0</v>
      </c>
      <c r="G158" s="153">
        <v>0</v>
      </c>
      <c r="H158" s="153">
        <v>0</v>
      </c>
      <c r="I158" s="153">
        <v>0</v>
      </c>
      <c r="J158" s="153">
        <v>0</v>
      </c>
      <c r="K158" s="153">
        <v>0</v>
      </c>
      <c r="L158" s="153">
        <v>0</v>
      </c>
      <c r="M158" s="153">
        <v>0</v>
      </c>
      <c r="N158" s="47">
        <v>0</v>
      </c>
      <c r="O158" s="153">
        <v>0</v>
      </c>
      <c r="P158" s="44">
        <v>0</v>
      </c>
      <c r="Q158" s="153">
        <v>0</v>
      </c>
      <c r="R158" s="45">
        <f t="shared" si="62"/>
        <v>0</v>
      </c>
    </row>
    <row r="159" spans="1:18" x14ac:dyDescent="0.25">
      <c r="A159" s="96">
        <v>14</v>
      </c>
      <c r="B159" s="78" t="s">
        <v>130</v>
      </c>
      <c r="C159" s="76">
        <v>938031</v>
      </c>
      <c r="D159" s="76">
        <v>673236</v>
      </c>
      <c r="E159" s="47">
        <f t="shared" si="63"/>
        <v>139.33167566796786</v>
      </c>
      <c r="F159" s="96">
        <v>330155</v>
      </c>
      <c r="G159" s="96">
        <v>218403</v>
      </c>
      <c r="H159" s="47">
        <f t="shared" si="64"/>
        <v>151.16779531416694</v>
      </c>
      <c r="I159" s="96">
        <v>927221</v>
      </c>
      <c r="J159" s="96">
        <v>659170</v>
      </c>
      <c r="K159" s="47">
        <f t="shared" si="65"/>
        <v>140.66492710529909</v>
      </c>
      <c r="L159" s="96">
        <v>0</v>
      </c>
      <c r="M159" s="96">
        <v>0</v>
      </c>
      <c r="N159" s="47">
        <v>0</v>
      </c>
      <c r="O159" s="153">
        <v>303</v>
      </c>
      <c r="P159" s="76">
        <v>58</v>
      </c>
      <c r="Q159" s="153">
        <v>305</v>
      </c>
      <c r="R159" s="45">
        <f t="shared" si="62"/>
        <v>17690</v>
      </c>
    </row>
    <row r="160" spans="1:18" x14ac:dyDescent="0.25">
      <c r="A160" s="96">
        <v>15</v>
      </c>
      <c r="B160" s="78" t="s">
        <v>131</v>
      </c>
      <c r="C160" s="62">
        <v>7475124</v>
      </c>
      <c r="D160" s="62">
        <v>8486059</v>
      </c>
      <c r="E160" s="47">
        <f t="shared" si="63"/>
        <v>88.087108515271922</v>
      </c>
      <c r="F160" s="153">
        <v>2946685</v>
      </c>
      <c r="G160" s="153">
        <v>3059620</v>
      </c>
      <c r="H160" s="47">
        <f t="shared" si="64"/>
        <v>96.308855348049761</v>
      </c>
      <c r="I160" s="153">
        <v>7354078</v>
      </c>
      <c r="J160" s="153">
        <v>7517281</v>
      </c>
      <c r="K160" s="47">
        <f t="shared" si="65"/>
        <v>97.828962360193799</v>
      </c>
      <c r="L160" s="153">
        <v>7324287</v>
      </c>
      <c r="M160" s="153">
        <v>7483281</v>
      </c>
      <c r="N160" s="47">
        <f t="shared" si="66"/>
        <v>97.875343716212186</v>
      </c>
      <c r="O160" s="153">
        <v>648</v>
      </c>
      <c r="P160" s="62">
        <v>130</v>
      </c>
      <c r="Q160" s="153">
        <v>649</v>
      </c>
      <c r="R160" s="45">
        <f t="shared" si="62"/>
        <v>84370</v>
      </c>
    </row>
    <row r="161" spans="1:18" s="60" customFormat="1" x14ac:dyDescent="0.25">
      <c r="A161" s="315" t="s">
        <v>132</v>
      </c>
      <c r="B161" s="315" t="s">
        <v>133</v>
      </c>
      <c r="C161" s="56">
        <f>SUM(C146:C160)</f>
        <v>75451014</v>
      </c>
      <c r="D161" s="56">
        <f>SUM(D146:D160)</f>
        <v>74120055</v>
      </c>
      <c r="E161" s="57">
        <f>C161/D161*100</f>
        <v>101.79567999511063</v>
      </c>
      <c r="F161" s="56">
        <f>SUM(F146:F160)</f>
        <v>26774772</v>
      </c>
      <c r="G161" s="56">
        <f>SUM(G146:G160)</f>
        <v>26317699</v>
      </c>
      <c r="H161" s="57">
        <f>F161/G161*100</f>
        <v>101.73675137784653</v>
      </c>
      <c r="I161" s="56">
        <f>SUM(I146:I160)</f>
        <v>72247367</v>
      </c>
      <c r="J161" s="56">
        <f>SUM(J146:J160)</f>
        <v>74868528</v>
      </c>
      <c r="K161" s="57">
        <f>I161/J161*100</f>
        <v>96.498981521314263</v>
      </c>
      <c r="L161" s="56">
        <f>SUM(L146:L160)</f>
        <v>56782290</v>
      </c>
      <c r="M161" s="56">
        <f>SUM(M146:M160)</f>
        <v>59463515</v>
      </c>
      <c r="N161" s="57">
        <f>L161/M161*100</f>
        <v>95.490974591730748</v>
      </c>
      <c r="O161" s="56">
        <f>SUM(O146:O160)</f>
        <v>7899</v>
      </c>
      <c r="P161" s="57">
        <f>R161/O161</f>
        <v>178.51398911254589</v>
      </c>
      <c r="Q161" s="58">
        <f>SUM(Q146:Q160)</f>
        <v>8975</v>
      </c>
      <c r="R161" s="59">
        <f>SUM(R146:R160)</f>
        <v>1410082</v>
      </c>
    </row>
    <row r="162" spans="1:18" x14ac:dyDescent="0.25">
      <c r="A162" s="37"/>
      <c r="B162" s="37"/>
      <c r="C162" s="96"/>
      <c r="D162" s="96"/>
      <c r="E162" s="97"/>
      <c r="F162" s="96"/>
      <c r="G162" s="96"/>
      <c r="H162" s="97"/>
      <c r="I162" s="96"/>
      <c r="J162" s="96"/>
      <c r="K162" s="34"/>
      <c r="L162" s="96"/>
      <c r="M162" s="96"/>
      <c r="N162" s="97"/>
      <c r="O162" s="98"/>
      <c r="P162" s="76"/>
      <c r="Q162" s="98"/>
      <c r="R162" s="31"/>
    </row>
    <row r="163" spans="1:18" x14ac:dyDescent="0.25">
      <c r="A163" s="99"/>
      <c r="B163" s="99" t="s">
        <v>13</v>
      </c>
      <c r="C163" s="37">
        <v>3</v>
      </c>
      <c r="D163" s="37">
        <v>4</v>
      </c>
      <c r="E163" s="150">
        <v>5</v>
      </c>
      <c r="F163" s="37">
        <v>6</v>
      </c>
      <c r="G163" s="37">
        <v>7</v>
      </c>
      <c r="H163" s="37">
        <v>8</v>
      </c>
      <c r="I163" s="37">
        <v>9</v>
      </c>
      <c r="J163" s="37">
        <v>10</v>
      </c>
      <c r="K163" s="37">
        <v>11</v>
      </c>
      <c r="L163" s="37">
        <v>12</v>
      </c>
      <c r="M163" s="37">
        <v>13</v>
      </c>
      <c r="N163" s="37">
        <v>14</v>
      </c>
      <c r="O163" s="37">
        <v>15</v>
      </c>
      <c r="P163" s="150">
        <v>16</v>
      </c>
      <c r="Q163" s="37">
        <v>17</v>
      </c>
      <c r="R163" s="100"/>
    </row>
    <row r="164" spans="1:18" x14ac:dyDescent="0.25">
      <c r="A164" s="96">
        <v>1</v>
      </c>
      <c r="B164" s="84" t="s">
        <v>134</v>
      </c>
      <c r="C164" s="96">
        <v>8152</v>
      </c>
      <c r="D164" s="96">
        <v>32857</v>
      </c>
      <c r="E164" s="47">
        <f>C164/D164*100</f>
        <v>24.810542654533279</v>
      </c>
      <c r="F164" s="34">
        <v>5819</v>
      </c>
      <c r="G164" s="96">
        <v>13624</v>
      </c>
      <c r="H164" s="47">
        <f>F164/G164*100</f>
        <v>42.711391661773341</v>
      </c>
      <c r="I164" s="96">
        <v>8152</v>
      </c>
      <c r="J164" s="96">
        <v>32857</v>
      </c>
      <c r="K164" s="47">
        <f t="shared" ref="K164:K168" si="67">I164/J164*100</f>
        <v>24.810542654533279</v>
      </c>
      <c r="L164" s="96">
        <v>0</v>
      </c>
      <c r="M164" s="96">
        <v>0</v>
      </c>
      <c r="N164" s="47">
        <v>0</v>
      </c>
      <c r="O164" s="96">
        <v>49</v>
      </c>
      <c r="P164" s="76">
        <v>76</v>
      </c>
      <c r="Q164" s="96">
        <v>49</v>
      </c>
      <c r="R164" s="45">
        <f>Q164*P164</f>
        <v>3724</v>
      </c>
    </row>
    <row r="165" spans="1:18" s="66" customFormat="1" x14ac:dyDescent="0.25">
      <c r="A165" s="96">
        <v>2</v>
      </c>
      <c r="B165" s="84" t="s">
        <v>135</v>
      </c>
      <c r="C165" s="51">
        <v>1364586</v>
      </c>
      <c r="D165" s="51">
        <v>1214531</v>
      </c>
      <c r="E165" s="47">
        <f t="shared" ref="E165:E168" si="68">C165/D165*100</f>
        <v>112.35497488330886</v>
      </c>
      <c r="F165" s="51">
        <v>404335</v>
      </c>
      <c r="G165" s="51">
        <v>491175</v>
      </c>
      <c r="H165" s="47">
        <f t="shared" ref="H165:H168" si="69">F165/G165*100</f>
        <v>82.319947065709769</v>
      </c>
      <c r="I165" s="51">
        <v>1529747</v>
      </c>
      <c r="J165" s="51">
        <v>1173632</v>
      </c>
      <c r="K165" s="47">
        <f t="shared" si="67"/>
        <v>130.34298655796707</v>
      </c>
      <c r="L165" s="51">
        <v>740307</v>
      </c>
      <c r="M165" s="51">
        <v>524708</v>
      </c>
      <c r="N165" s="47">
        <f t="shared" ref="N165:N167" si="70">L165/M165*100</f>
        <v>141.08932968431967</v>
      </c>
      <c r="O165" s="96">
        <v>509</v>
      </c>
      <c r="P165" s="76">
        <v>110</v>
      </c>
      <c r="Q165" s="96">
        <v>475</v>
      </c>
      <c r="R165" s="45">
        <f>Q165*P165</f>
        <v>52250</v>
      </c>
    </row>
    <row r="166" spans="1:18" x14ac:dyDescent="0.25">
      <c r="A166" s="96">
        <v>3</v>
      </c>
      <c r="B166" s="84" t="s">
        <v>136</v>
      </c>
      <c r="C166" s="153">
        <v>0</v>
      </c>
      <c r="D166" s="153">
        <v>0</v>
      </c>
      <c r="E166" s="153">
        <v>0</v>
      </c>
      <c r="F166" s="153">
        <v>0</v>
      </c>
      <c r="G166" s="153">
        <v>0</v>
      </c>
      <c r="H166" s="153">
        <v>0</v>
      </c>
      <c r="I166" s="153">
        <v>0</v>
      </c>
      <c r="J166" s="153">
        <v>0</v>
      </c>
      <c r="K166" s="153">
        <v>0</v>
      </c>
      <c r="L166" s="153">
        <v>0</v>
      </c>
      <c r="M166" s="153">
        <v>0</v>
      </c>
      <c r="N166" s="47">
        <v>0</v>
      </c>
      <c r="O166" s="96">
        <v>0</v>
      </c>
      <c r="P166" s="76">
        <v>0</v>
      </c>
      <c r="Q166" s="96">
        <v>0</v>
      </c>
      <c r="R166" s="45">
        <f>Q166*P166</f>
        <v>0</v>
      </c>
    </row>
    <row r="167" spans="1:18" x14ac:dyDescent="0.25">
      <c r="A167" s="96">
        <v>4</v>
      </c>
      <c r="B167" s="84" t="s">
        <v>137</v>
      </c>
      <c r="C167" s="96">
        <v>644139</v>
      </c>
      <c r="D167" s="96">
        <v>771401</v>
      </c>
      <c r="E167" s="47">
        <f t="shared" si="68"/>
        <v>83.502484440647606</v>
      </c>
      <c r="F167" s="96">
        <v>378897</v>
      </c>
      <c r="G167" s="101">
        <v>143027</v>
      </c>
      <c r="H167" s="47">
        <f t="shared" si="69"/>
        <v>264.91291853985615</v>
      </c>
      <c r="I167" s="101">
        <v>635793</v>
      </c>
      <c r="J167" s="101">
        <v>116900</v>
      </c>
      <c r="K167" s="47">
        <f t="shared" si="67"/>
        <v>543.87767322497859</v>
      </c>
      <c r="L167" s="101">
        <v>302960</v>
      </c>
      <c r="M167" s="101">
        <v>6298</v>
      </c>
      <c r="N167" s="47">
        <f t="shared" si="70"/>
        <v>4810.4160050809778</v>
      </c>
      <c r="O167" s="96">
        <v>291</v>
      </c>
      <c r="P167" s="76">
        <v>32</v>
      </c>
      <c r="Q167" s="96">
        <v>292</v>
      </c>
      <c r="R167" s="45">
        <f>Q167*P167</f>
        <v>9344</v>
      </c>
    </row>
    <row r="168" spans="1:18" x14ac:dyDescent="0.25">
      <c r="A168" s="96">
        <v>5</v>
      </c>
      <c r="B168" s="84" t="s">
        <v>138</v>
      </c>
      <c r="C168" s="96">
        <v>0</v>
      </c>
      <c r="D168" s="96">
        <v>283003</v>
      </c>
      <c r="E168" s="47">
        <f t="shared" si="68"/>
        <v>0</v>
      </c>
      <c r="F168" s="96">
        <v>0</v>
      </c>
      <c r="G168" s="96">
        <v>96310</v>
      </c>
      <c r="H168" s="47">
        <f t="shared" si="69"/>
        <v>0</v>
      </c>
      <c r="I168" s="96">
        <v>73121</v>
      </c>
      <c r="J168" s="96">
        <v>704798</v>
      </c>
      <c r="K168" s="47">
        <f t="shared" si="67"/>
        <v>10.374745671809512</v>
      </c>
      <c r="L168" s="96">
        <v>0</v>
      </c>
      <c r="M168" s="96">
        <v>0</v>
      </c>
      <c r="N168" s="47">
        <v>0</v>
      </c>
      <c r="O168" s="96">
        <v>531</v>
      </c>
      <c r="P168" s="76">
        <v>51</v>
      </c>
      <c r="Q168" s="96">
        <v>255</v>
      </c>
      <c r="R168" s="45">
        <f>Q168*P168</f>
        <v>13005</v>
      </c>
    </row>
    <row r="169" spans="1:18" s="60" customFormat="1" x14ac:dyDescent="0.25">
      <c r="A169" s="315" t="s">
        <v>174</v>
      </c>
      <c r="B169" s="315" t="s">
        <v>139</v>
      </c>
      <c r="C169" s="56">
        <f>SUM(C164:C168)</f>
        <v>2016877</v>
      </c>
      <c r="D169" s="56">
        <f>SUM(D164:D168)</f>
        <v>2301792</v>
      </c>
      <c r="E169" s="57">
        <f>C169/D169*100</f>
        <v>87.622035353324719</v>
      </c>
      <c r="F169" s="56">
        <f>SUM(F164:F168)</f>
        <v>789051</v>
      </c>
      <c r="G169" s="56">
        <f>SUM(G164:G168)</f>
        <v>744136</v>
      </c>
      <c r="H169" s="57">
        <f>F169/G169*100</f>
        <v>106.03585903652019</v>
      </c>
      <c r="I169" s="56">
        <f>SUM(I164:I168)</f>
        <v>2246813</v>
      </c>
      <c r="J169" s="56">
        <f>SUM(J164:J168)</f>
        <v>2028187</v>
      </c>
      <c r="K169" s="57">
        <f>I169/J169*100</f>
        <v>110.77938079674112</v>
      </c>
      <c r="L169" s="56">
        <f>SUM(L164:L168)</f>
        <v>1043267</v>
      </c>
      <c r="M169" s="56">
        <f>SUM(M164:M168)</f>
        <v>531006</v>
      </c>
      <c r="N169" s="57">
        <f>L169/M169*100</f>
        <v>196.4699080613025</v>
      </c>
      <c r="O169" s="56">
        <f>SUM(O164:O168)</f>
        <v>1380</v>
      </c>
      <c r="P169" s="57">
        <f>R169/O169</f>
        <v>56.755797101449275</v>
      </c>
      <c r="Q169" s="58">
        <f>SUM(Q164:Q168)</f>
        <v>1071</v>
      </c>
      <c r="R169" s="59">
        <f>SUM(R164:R168)</f>
        <v>78323</v>
      </c>
    </row>
    <row r="170" spans="1:18" x14ac:dyDescent="0.25">
      <c r="A170" s="102"/>
      <c r="B170" s="103"/>
      <c r="C170" s="104"/>
      <c r="D170" s="104"/>
      <c r="E170" s="105"/>
      <c r="F170" s="104"/>
      <c r="G170" s="104"/>
      <c r="H170" s="105"/>
      <c r="I170" s="104"/>
      <c r="J170" s="104"/>
      <c r="K170" s="105"/>
      <c r="L170" s="104"/>
      <c r="M170" s="104"/>
      <c r="N170" s="105"/>
      <c r="O170" s="104"/>
      <c r="P170" s="104"/>
      <c r="Q170" s="104"/>
      <c r="R170" s="106"/>
    </row>
    <row r="171" spans="1:18" x14ac:dyDescent="0.25">
      <c r="A171" s="96"/>
      <c r="B171" s="37"/>
      <c r="C171" s="150"/>
      <c r="D171" s="318"/>
      <c r="E171" s="318"/>
      <c r="F171" s="318"/>
      <c r="G171" s="108"/>
      <c r="H171" s="108"/>
      <c r="I171" s="108"/>
      <c r="J171" s="335"/>
      <c r="K171" s="335"/>
      <c r="L171" s="335"/>
      <c r="M171" s="335"/>
      <c r="N171" s="335"/>
      <c r="O171" s="335"/>
      <c r="P171" s="109"/>
      <c r="Q171" s="110"/>
      <c r="R171" s="111"/>
    </row>
    <row r="172" spans="1:18" x14ac:dyDescent="0.25">
      <c r="A172" s="319" t="s">
        <v>140</v>
      </c>
      <c r="B172" s="320"/>
      <c r="C172" s="37">
        <v>3</v>
      </c>
      <c r="D172" s="37">
        <v>4</v>
      </c>
      <c r="E172" s="150">
        <v>5</v>
      </c>
      <c r="F172" s="37">
        <v>6</v>
      </c>
      <c r="G172" s="37">
        <v>7</v>
      </c>
      <c r="H172" s="37">
        <v>8</v>
      </c>
      <c r="I172" s="37">
        <v>9</v>
      </c>
      <c r="J172" s="37">
        <v>10</v>
      </c>
      <c r="K172" s="37">
        <v>11</v>
      </c>
      <c r="L172" s="37">
        <v>12</v>
      </c>
      <c r="M172" s="37">
        <v>13</v>
      </c>
      <c r="N172" s="37">
        <v>14</v>
      </c>
      <c r="O172" s="37">
        <v>15</v>
      </c>
      <c r="P172" s="150">
        <v>16</v>
      </c>
      <c r="Q172" s="37">
        <v>17</v>
      </c>
      <c r="R172" s="23"/>
    </row>
    <row r="173" spans="1:18" x14ac:dyDescent="0.25">
      <c r="A173" s="102">
        <v>1</v>
      </c>
      <c r="B173" s="113" t="s">
        <v>141</v>
      </c>
      <c r="C173" s="96">
        <v>0</v>
      </c>
      <c r="D173" s="96">
        <v>3270</v>
      </c>
      <c r="E173" s="97">
        <f t="shared" ref="E173:E182" si="71">C173/D173*100</f>
        <v>0</v>
      </c>
      <c r="F173" s="96">
        <v>0</v>
      </c>
      <c r="G173" s="96">
        <v>2867</v>
      </c>
      <c r="H173" s="96">
        <f t="shared" ref="H173:H182" si="72">F173/G173*100</f>
        <v>0</v>
      </c>
      <c r="I173" s="96">
        <v>12474</v>
      </c>
      <c r="J173" s="96">
        <v>8343</v>
      </c>
      <c r="K173" s="97">
        <f t="shared" ref="K173:K182" si="73">I173/J173*100</f>
        <v>149.51456310679612</v>
      </c>
      <c r="L173" s="96">
        <v>0</v>
      </c>
      <c r="M173" s="96">
        <v>0</v>
      </c>
      <c r="N173" s="96">
        <v>0</v>
      </c>
      <c r="O173" s="96">
        <v>71</v>
      </c>
      <c r="P173" s="96">
        <v>92</v>
      </c>
      <c r="Q173" s="96">
        <v>68</v>
      </c>
      <c r="R173" s="45">
        <f t="shared" ref="R173:R182" si="74">Q173*P173</f>
        <v>6256</v>
      </c>
    </row>
    <row r="174" spans="1:18" x14ac:dyDescent="0.25">
      <c r="A174" s="112">
        <v>2</v>
      </c>
      <c r="B174" s="113" t="s">
        <v>142</v>
      </c>
      <c r="C174" s="96">
        <v>308751</v>
      </c>
      <c r="D174" s="96">
        <v>260778</v>
      </c>
      <c r="E174" s="76">
        <f t="shared" si="71"/>
        <v>118.39610703356878</v>
      </c>
      <c r="F174" s="96">
        <v>43004</v>
      </c>
      <c r="G174" s="96">
        <v>240306</v>
      </c>
      <c r="H174" s="97">
        <f t="shared" si="72"/>
        <v>17.895516549732424</v>
      </c>
      <c r="I174" s="96">
        <v>308751</v>
      </c>
      <c r="J174" s="96">
        <v>260778</v>
      </c>
      <c r="K174" s="96">
        <f t="shared" si="73"/>
        <v>118.39610703356878</v>
      </c>
      <c r="L174" s="96">
        <v>308751</v>
      </c>
      <c r="M174" s="96">
        <v>260778</v>
      </c>
      <c r="N174" s="97">
        <f t="shared" ref="N174:N182" si="75">L174/M174*100</f>
        <v>118.39610703356878</v>
      </c>
      <c r="O174" s="96">
        <v>129</v>
      </c>
      <c r="P174" s="96">
        <v>100</v>
      </c>
      <c r="Q174" s="96">
        <v>129</v>
      </c>
      <c r="R174" s="45">
        <f t="shared" si="74"/>
        <v>12900</v>
      </c>
    </row>
    <row r="175" spans="1:18" s="80" customFormat="1" x14ac:dyDescent="0.25">
      <c r="A175" s="102">
        <v>3</v>
      </c>
      <c r="B175" s="113" t="s">
        <v>143</v>
      </c>
      <c r="C175" s="96">
        <v>0</v>
      </c>
      <c r="D175" s="96">
        <v>64779</v>
      </c>
      <c r="E175" s="96">
        <f t="shared" si="71"/>
        <v>0</v>
      </c>
      <c r="F175" s="96">
        <v>0</v>
      </c>
      <c r="G175" s="96">
        <v>36097</v>
      </c>
      <c r="H175" s="96">
        <f t="shared" si="72"/>
        <v>0</v>
      </c>
      <c r="I175" s="96">
        <v>0</v>
      </c>
      <c r="J175" s="96">
        <v>64322</v>
      </c>
      <c r="K175" s="96">
        <f t="shared" si="73"/>
        <v>0</v>
      </c>
      <c r="L175" s="96">
        <v>0</v>
      </c>
      <c r="M175" s="96">
        <v>60937</v>
      </c>
      <c r="N175" s="96">
        <f t="shared" si="75"/>
        <v>0</v>
      </c>
      <c r="O175" s="96">
        <v>63</v>
      </c>
      <c r="P175" s="96">
        <v>36</v>
      </c>
      <c r="Q175" s="96">
        <v>75</v>
      </c>
      <c r="R175" s="45">
        <f t="shared" si="74"/>
        <v>2700</v>
      </c>
    </row>
    <row r="176" spans="1:18" x14ac:dyDescent="0.25">
      <c r="A176" s="112">
        <v>4</v>
      </c>
      <c r="B176" s="113" t="s">
        <v>144</v>
      </c>
      <c r="C176" s="76">
        <v>637139</v>
      </c>
      <c r="D176" s="76">
        <v>936797</v>
      </c>
      <c r="E176" s="114">
        <f t="shared" si="71"/>
        <v>68.012493635227273</v>
      </c>
      <c r="F176" s="76">
        <v>373887</v>
      </c>
      <c r="G176" s="76">
        <v>363694</v>
      </c>
      <c r="H176" s="114">
        <f t="shared" si="72"/>
        <v>102.8026307830209</v>
      </c>
      <c r="I176" s="76">
        <v>637139</v>
      </c>
      <c r="J176" s="76">
        <v>936797</v>
      </c>
      <c r="K176" s="114">
        <f t="shared" si="73"/>
        <v>68.012493635227273</v>
      </c>
      <c r="L176" s="76">
        <v>637139</v>
      </c>
      <c r="M176" s="76">
        <v>936797</v>
      </c>
      <c r="N176" s="47">
        <f t="shared" si="75"/>
        <v>68.012493635227273</v>
      </c>
      <c r="O176" s="96">
        <v>99</v>
      </c>
      <c r="P176" s="115">
        <v>144</v>
      </c>
      <c r="Q176" s="96">
        <v>86</v>
      </c>
      <c r="R176" s="45">
        <f t="shared" si="74"/>
        <v>12384</v>
      </c>
    </row>
    <row r="177" spans="1:18" x14ac:dyDescent="0.25">
      <c r="A177" s="102">
        <v>5</v>
      </c>
      <c r="B177" s="113" t="s">
        <v>145</v>
      </c>
      <c r="C177" s="96">
        <v>162985</v>
      </c>
      <c r="D177" s="96">
        <v>237596</v>
      </c>
      <c r="E177" s="114">
        <f t="shared" si="71"/>
        <v>68.597535312042297</v>
      </c>
      <c r="F177" s="96">
        <v>70883</v>
      </c>
      <c r="G177" s="96">
        <v>0</v>
      </c>
      <c r="H177" s="114">
        <v>0</v>
      </c>
      <c r="I177" s="96">
        <v>358920</v>
      </c>
      <c r="J177" s="96">
        <v>238209</v>
      </c>
      <c r="K177" s="114">
        <f t="shared" si="73"/>
        <v>150.67440776796846</v>
      </c>
      <c r="L177" s="96">
        <v>362999</v>
      </c>
      <c r="M177" s="96">
        <v>237596</v>
      </c>
      <c r="N177" s="114">
        <f t="shared" si="75"/>
        <v>152.77992895503291</v>
      </c>
      <c r="O177" s="96">
        <v>16</v>
      </c>
      <c r="P177" s="96">
        <v>59</v>
      </c>
      <c r="Q177" s="96">
        <v>16</v>
      </c>
      <c r="R177" s="45">
        <f t="shared" si="74"/>
        <v>944</v>
      </c>
    </row>
    <row r="178" spans="1:18" x14ac:dyDescent="0.25">
      <c r="A178" s="112">
        <v>6</v>
      </c>
      <c r="B178" s="113" t="s">
        <v>146</v>
      </c>
      <c r="C178" s="153">
        <v>0</v>
      </c>
      <c r="D178" s="153">
        <v>0</v>
      </c>
      <c r="E178" s="153">
        <v>0</v>
      </c>
      <c r="F178" s="153">
        <v>0</v>
      </c>
      <c r="G178" s="153">
        <v>0</v>
      </c>
      <c r="H178" s="153">
        <v>0</v>
      </c>
      <c r="I178" s="153">
        <v>0</v>
      </c>
      <c r="J178" s="153">
        <v>0</v>
      </c>
      <c r="K178" s="153">
        <v>0</v>
      </c>
      <c r="L178" s="153">
        <v>0</v>
      </c>
      <c r="M178" s="153">
        <v>0</v>
      </c>
      <c r="N178" s="47">
        <v>0</v>
      </c>
      <c r="O178" s="96">
        <v>0</v>
      </c>
      <c r="P178" s="44">
        <v>0</v>
      </c>
      <c r="Q178" s="96">
        <v>0</v>
      </c>
      <c r="R178" s="45">
        <f t="shared" si="74"/>
        <v>0</v>
      </c>
    </row>
    <row r="179" spans="1:18" x14ac:dyDescent="0.25">
      <c r="A179" s="102">
        <v>7</v>
      </c>
      <c r="B179" s="113" t="s">
        <v>147</v>
      </c>
      <c r="C179" s="154">
        <v>628902</v>
      </c>
      <c r="D179" s="154">
        <v>1012971</v>
      </c>
      <c r="E179" s="114">
        <f t="shared" si="71"/>
        <v>62.084896803561008</v>
      </c>
      <c r="F179" s="96">
        <v>203488</v>
      </c>
      <c r="G179" s="96">
        <v>403866</v>
      </c>
      <c r="H179" s="47">
        <f t="shared" si="72"/>
        <v>50.385028697637338</v>
      </c>
      <c r="I179" s="96">
        <v>639237</v>
      </c>
      <c r="J179" s="96">
        <v>781304</v>
      </c>
      <c r="K179" s="47">
        <f t="shared" si="73"/>
        <v>81.81668083102096</v>
      </c>
      <c r="L179" s="96">
        <v>628139</v>
      </c>
      <c r="M179" s="96">
        <v>781304</v>
      </c>
      <c r="N179" s="47">
        <f t="shared" si="75"/>
        <v>80.396235012235948</v>
      </c>
      <c r="O179" s="96">
        <v>71</v>
      </c>
      <c r="P179" s="96">
        <v>62</v>
      </c>
      <c r="Q179" s="96">
        <v>72</v>
      </c>
      <c r="R179" s="45">
        <f t="shared" si="74"/>
        <v>4464</v>
      </c>
    </row>
    <row r="180" spans="1:18" x14ac:dyDescent="0.25">
      <c r="A180" s="112">
        <v>8</v>
      </c>
      <c r="B180" s="113" t="s">
        <v>148</v>
      </c>
      <c r="C180" s="76">
        <v>181089</v>
      </c>
      <c r="D180" s="76">
        <v>73311</v>
      </c>
      <c r="E180" s="47">
        <f t="shared" si="71"/>
        <v>247.01477268077093</v>
      </c>
      <c r="F180" s="76">
        <v>105998</v>
      </c>
      <c r="G180" s="76">
        <v>32332</v>
      </c>
      <c r="H180" s="47">
        <f t="shared" si="72"/>
        <v>327.84238525300015</v>
      </c>
      <c r="I180" s="76">
        <v>181089</v>
      </c>
      <c r="J180" s="76">
        <v>73311</v>
      </c>
      <c r="K180" s="47">
        <f t="shared" si="73"/>
        <v>247.01477268077093</v>
      </c>
      <c r="L180" s="76">
        <v>181089</v>
      </c>
      <c r="M180" s="76">
        <v>73311</v>
      </c>
      <c r="N180" s="47">
        <f t="shared" si="75"/>
        <v>247.01477268077093</v>
      </c>
      <c r="O180" s="96">
        <v>39</v>
      </c>
      <c r="P180" s="49">
        <v>104</v>
      </c>
      <c r="Q180" s="96">
        <v>38</v>
      </c>
      <c r="R180" s="45">
        <f t="shared" si="74"/>
        <v>3952</v>
      </c>
    </row>
    <row r="181" spans="1:18" x14ac:dyDescent="0.25">
      <c r="A181" s="102">
        <v>9</v>
      </c>
      <c r="B181" s="113" t="s">
        <v>149</v>
      </c>
      <c r="C181" s="96">
        <v>53268</v>
      </c>
      <c r="D181" s="96">
        <v>31632</v>
      </c>
      <c r="E181" s="47">
        <f t="shared" si="71"/>
        <v>168.3990895295903</v>
      </c>
      <c r="F181" s="96">
        <v>52382</v>
      </c>
      <c r="G181" s="96">
        <v>15847</v>
      </c>
      <c r="H181" s="47">
        <f t="shared" si="72"/>
        <v>330.54836877642458</v>
      </c>
      <c r="I181" s="96">
        <v>53268</v>
      </c>
      <c r="J181" s="96">
        <v>31632</v>
      </c>
      <c r="K181" s="47">
        <f t="shared" si="73"/>
        <v>168.3990895295903</v>
      </c>
      <c r="L181" s="96">
        <v>53268</v>
      </c>
      <c r="M181" s="96">
        <v>31632</v>
      </c>
      <c r="N181" s="47">
        <f t="shared" si="75"/>
        <v>168.3990895295903</v>
      </c>
      <c r="O181" s="96">
        <v>10</v>
      </c>
      <c r="P181" s="96">
        <v>50</v>
      </c>
      <c r="Q181" s="96">
        <v>9</v>
      </c>
      <c r="R181" s="45">
        <f t="shared" si="74"/>
        <v>450</v>
      </c>
    </row>
    <row r="182" spans="1:18" x14ac:dyDescent="0.25">
      <c r="A182" s="112">
        <v>10</v>
      </c>
      <c r="B182" s="113" t="s">
        <v>150</v>
      </c>
      <c r="C182" s="96">
        <v>57300</v>
      </c>
      <c r="D182" s="96">
        <v>87114</v>
      </c>
      <c r="E182" s="47">
        <f t="shared" si="71"/>
        <v>65.775879881534536</v>
      </c>
      <c r="F182" s="96">
        <v>57300</v>
      </c>
      <c r="G182" s="96">
        <v>67575</v>
      </c>
      <c r="H182" s="47">
        <f t="shared" si="72"/>
        <v>84.794672586015537</v>
      </c>
      <c r="I182" s="96">
        <v>57300</v>
      </c>
      <c r="J182" s="96">
        <v>87114</v>
      </c>
      <c r="K182" s="47">
        <f t="shared" si="73"/>
        <v>65.775879881534536</v>
      </c>
      <c r="L182" s="96">
        <f>56432+868</f>
        <v>57300</v>
      </c>
      <c r="M182" s="96">
        <f>67315+19539</f>
        <v>86854</v>
      </c>
      <c r="N182" s="47">
        <f t="shared" si="75"/>
        <v>65.972781909871742</v>
      </c>
      <c r="O182" s="96">
        <v>23</v>
      </c>
      <c r="P182" s="96">
        <v>50</v>
      </c>
      <c r="Q182" s="96">
        <v>23</v>
      </c>
      <c r="R182" s="116">
        <f t="shared" si="74"/>
        <v>1150</v>
      </c>
    </row>
    <row r="183" spans="1:18" s="60" customFormat="1" x14ac:dyDescent="0.25">
      <c r="A183" s="315" t="s">
        <v>173</v>
      </c>
      <c r="B183" s="315" t="s">
        <v>139</v>
      </c>
      <c r="C183" s="58">
        <f>SUM(C173:C182)</f>
        <v>2029434</v>
      </c>
      <c r="D183" s="58">
        <f>SUM(D173:D182)</f>
        <v>2708248</v>
      </c>
      <c r="E183" s="57">
        <f>C183/D183*100</f>
        <v>74.93530873095817</v>
      </c>
      <c r="F183" s="58">
        <f>SUM(F173:F182)</f>
        <v>906942</v>
      </c>
      <c r="G183" s="58">
        <f>SUM(G173:G182)</f>
        <v>1162584</v>
      </c>
      <c r="H183" s="57">
        <f>F183/G183*100</f>
        <v>78.010879213889055</v>
      </c>
      <c r="I183" s="58">
        <f>SUM(I173:I182)</f>
        <v>2248178</v>
      </c>
      <c r="J183" s="58">
        <f>SUM(J173:J182)</f>
        <v>2481810</v>
      </c>
      <c r="K183" s="57">
        <f>I183/J183*100</f>
        <v>90.586225375834573</v>
      </c>
      <c r="L183" s="58">
        <f>SUM(L173:L182)</f>
        <v>2228685</v>
      </c>
      <c r="M183" s="56">
        <f>SUM(M173:M182)</f>
        <v>2469209</v>
      </c>
      <c r="N183" s="57">
        <f>L183/M183*100</f>
        <v>90.2590667699656</v>
      </c>
      <c r="O183" s="58">
        <f>SUM(O173:O182)</f>
        <v>521</v>
      </c>
      <c r="P183" s="57">
        <f>R183/O183</f>
        <v>86.756238003838774</v>
      </c>
      <c r="Q183" s="58">
        <f>SUM(Q173:Q182)</f>
        <v>516</v>
      </c>
      <c r="R183" s="59">
        <f>SUM(R173:R182)</f>
        <v>45200</v>
      </c>
    </row>
    <row r="184" spans="1:18" x14ac:dyDescent="0.25">
      <c r="A184" s="117"/>
      <c r="B184" s="117"/>
      <c r="C184" s="98"/>
      <c r="D184" s="98"/>
      <c r="E184" s="97"/>
      <c r="F184" s="118"/>
      <c r="G184" s="118"/>
      <c r="H184" s="97"/>
      <c r="I184" s="153"/>
      <c r="J184" s="153"/>
      <c r="K184" s="119"/>
      <c r="L184" s="153"/>
      <c r="M184" s="153"/>
      <c r="N184" s="153"/>
      <c r="O184" s="153"/>
      <c r="P184" s="62"/>
      <c r="Q184" s="153"/>
      <c r="R184" s="31"/>
    </row>
    <row r="185" spans="1:18" x14ac:dyDescent="0.25">
      <c r="A185" s="321" t="s">
        <v>151</v>
      </c>
      <c r="B185" s="322"/>
      <c r="C185" s="37">
        <v>3</v>
      </c>
      <c r="D185" s="37">
        <v>4</v>
      </c>
      <c r="E185" s="150">
        <v>5</v>
      </c>
      <c r="F185" s="37">
        <v>6</v>
      </c>
      <c r="G185" s="37">
        <v>7</v>
      </c>
      <c r="H185" s="37">
        <v>8</v>
      </c>
      <c r="I185" s="37">
        <v>9</v>
      </c>
      <c r="J185" s="37">
        <v>10</v>
      </c>
      <c r="K185" s="37">
        <v>11</v>
      </c>
      <c r="L185" s="37">
        <v>12</v>
      </c>
      <c r="M185" s="37">
        <v>13</v>
      </c>
      <c r="N185" s="37">
        <v>14</v>
      </c>
      <c r="O185" s="37">
        <v>15</v>
      </c>
      <c r="P185" s="150">
        <v>16</v>
      </c>
      <c r="Q185" s="37">
        <v>17</v>
      </c>
      <c r="R185" s="31"/>
    </row>
    <row r="186" spans="1:18" x14ac:dyDescent="0.25">
      <c r="A186" s="118">
        <v>1</v>
      </c>
      <c r="B186" s="120" t="s">
        <v>152</v>
      </c>
      <c r="C186" s="76">
        <v>268548</v>
      </c>
      <c r="D186" s="76">
        <v>214567.3</v>
      </c>
      <c r="E186" s="47">
        <f t="shared" ref="E186:E196" si="76">C186/D186*100</f>
        <v>125.15793413069001</v>
      </c>
      <c r="F186" s="76">
        <v>178610</v>
      </c>
      <c r="G186" s="76">
        <v>148767</v>
      </c>
      <c r="H186" s="47">
        <f t="shared" ref="H186:H196" si="77">F186/G186*100</f>
        <v>120.06022841087069</v>
      </c>
      <c r="I186" s="76">
        <v>212468.8</v>
      </c>
      <c r="J186" s="76">
        <v>203827.3</v>
      </c>
      <c r="K186" s="43">
        <f t="shared" ref="K186:K196" si="78">IF(OR(I186=0,J186=0),0,I186/J186*100)</f>
        <v>104.23961853981287</v>
      </c>
      <c r="L186" s="76">
        <v>0</v>
      </c>
      <c r="M186" s="76">
        <v>0</v>
      </c>
      <c r="N186" s="43">
        <f t="shared" ref="N186:N196" si="79">IF(OR(L186=0,M186=0),0,L186/M186*100)</f>
        <v>0</v>
      </c>
      <c r="O186" s="96">
        <v>308</v>
      </c>
      <c r="P186" s="96">
        <v>290</v>
      </c>
      <c r="Q186" s="96">
        <v>306</v>
      </c>
      <c r="R186" s="45">
        <f t="shared" ref="R186:R193" si="80">Q186*P186</f>
        <v>88740</v>
      </c>
    </row>
    <row r="187" spans="1:18" x14ac:dyDescent="0.25">
      <c r="A187" s="118">
        <v>2</v>
      </c>
      <c r="B187" s="120" t="s">
        <v>154</v>
      </c>
      <c r="C187" s="76">
        <v>26610</v>
      </c>
      <c r="D187" s="76">
        <v>303447</v>
      </c>
      <c r="E187" s="47">
        <f t="shared" si="76"/>
        <v>8.7692414161286809</v>
      </c>
      <c r="F187" s="76">
        <v>38059</v>
      </c>
      <c r="G187" s="76">
        <v>82448</v>
      </c>
      <c r="H187" s="47">
        <f t="shared" si="77"/>
        <v>46.161216766931886</v>
      </c>
      <c r="I187" s="76">
        <v>26610</v>
      </c>
      <c r="J187" s="76">
        <v>248504</v>
      </c>
      <c r="K187" s="43">
        <f t="shared" si="78"/>
        <v>10.708077133567267</v>
      </c>
      <c r="L187" s="76">
        <v>26610</v>
      </c>
      <c r="M187" s="76">
        <v>248504</v>
      </c>
      <c r="N187" s="43">
        <f t="shared" si="79"/>
        <v>10.708077133567267</v>
      </c>
      <c r="O187" s="96">
        <v>50</v>
      </c>
      <c r="P187" s="96">
        <v>124</v>
      </c>
      <c r="Q187" s="96">
        <v>50</v>
      </c>
      <c r="R187" s="45">
        <f t="shared" si="80"/>
        <v>6200</v>
      </c>
    </row>
    <row r="188" spans="1:18" x14ac:dyDescent="0.25">
      <c r="A188" s="118">
        <v>3</v>
      </c>
      <c r="B188" s="120" t="s">
        <v>155</v>
      </c>
      <c r="C188" s="76">
        <v>3009</v>
      </c>
      <c r="D188" s="76">
        <v>1385</v>
      </c>
      <c r="E188" s="47">
        <f t="shared" si="76"/>
        <v>217.25631768953068</v>
      </c>
      <c r="F188" s="76">
        <v>1992</v>
      </c>
      <c r="G188" s="76">
        <v>1385</v>
      </c>
      <c r="H188" s="47">
        <f t="shared" si="77"/>
        <v>143.82671480144404</v>
      </c>
      <c r="I188" s="76">
        <v>1868</v>
      </c>
      <c r="J188" s="76">
        <v>1389</v>
      </c>
      <c r="K188" s="43">
        <f t="shared" si="78"/>
        <v>134.48524118070554</v>
      </c>
      <c r="L188" s="76">
        <v>0</v>
      </c>
      <c r="M188" s="76">
        <v>0</v>
      </c>
      <c r="N188" s="43">
        <f t="shared" si="79"/>
        <v>0</v>
      </c>
      <c r="O188" s="96">
        <v>28</v>
      </c>
      <c r="P188" s="96">
        <v>40</v>
      </c>
      <c r="Q188" s="96">
        <v>28</v>
      </c>
      <c r="R188" s="45">
        <f t="shared" si="80"/>
        <v>1120</v>
      </c>
    </row>
    <row r="189" spans="1:18" ht="36" x14ac:dyDescent="0.25">
      <c r="A189" s="118">
        <v>4</v>
      </c>
      <c r="B189" s="121" t="s">
        <v>156</v>
      </c>
      <c r="C189" s="65">
        <v>28891.8</v>
      </c>
      <c r="D189" s="65">
        <v>27466</v>
      </c>
      <c r="E189" s="43">
        <f t="shared" si="76"/>
        <v>105.19114541615086</v>
      </c>
      <c r="F189" s="65">
        <v>18236</v>
      </c>
      <c r="G189" s="65">
        <v>17635</v>
      </c>
      <c r="H189" s="43">
        <f t="shared" si="77"/>
        <v>103.40799546356676</v>
      </c>
      <c r="I189" s="65">
        <v>0</v>
      </c>
      <c r="J189" s="65">
        <v>0</v>
      </c>
      <c r="K189" s="43">
        <f t="shared" si="78"/>
        <v>0</v>
      </c>
      <c r="L189" s="65">
        <v>0</v>
      </c>
      <c r="M189" s="65">
        <v>0</v>
      </c>
      <c r="N189" s="43">
        <f t="shared" si="79"/>
        <v>0</v>
      </c>
      <c r="O189" s="49">
        <v>88</v>
      </c>
      <c r="P189" s="49">
        <v>82</v>
      </c>
      <c r="Q189" s="49">
        <v>88</v>
      </c>
      <c r="R189" s="45">
        <f t="shared" si="80"/>
        <v>7216</v>
      </c>
    </row>
    <row r="190" spans="1:18" x14ac:dyDescent="0.25">
      <c r="A190" s="118">
        <v>5</v>
      </c>
      <c r="B190" s="122" t="s">
        <v>157</v>
      </c>
      <c r="C190" s="76">
        <v>0</v>
      </c>
      <c r="D190" s="76">
        <v>0</v>
      </c>
      <c r="E190" s="47">
        <v>0</v>
      </c>
      <c r="F190" s="76">
        <v>0</v>
      </c>
      <c r="G190" s="76">
        <v>0</v>
      </c>
      <c r="H190" s="47">
        <v>0</v>
      </c>
      <c r="I190" s="76">
        <v>0</v>
      </c>
      <c r="J190" s="76">
        <v>0</v>
      </c>
      <c r="K190" s="43">
        <f t="shared" si="78"/>
        <v>0</v>
      </c>
      <c r="L190" s="76">
        <v>0</v>
      </c>
      <c r="M190" s="76">
        <v>0</v>
      </c>
      <c r="N190" s="43">
        <f t="shared" si="79"/>
        <v>0</v>
      </c>
      <c r="O190" s="96">
        <v>31</v>
      </c>
      <c r="P190" s="76">
        <v>15.9</v>
      </c>
      <c r="Q190" s="96">
        <v>32</v>
      </c>
      <c r="R190" s="45">
        <f t="shared" si="80"/>
        <v>508.8</v>
      </c>
    </row>
    <row r="191" spans="1:18" x14ac:dyDescent="0.25">
      <c r="A191" s="118">
        <v>6</v>
      </c>
      <c r="B191" s="120" t="s">
        <v>158</v>
      </c>
      <c r="C191" s="76">
        <v>3356</v>
      </c>
      <c r="D191" s="76">
        <v>4079</v>
      </c>
      <c r="E191" s="47">
        <f t="shared" si="76"/>
        <v>82.275067418484923</v>
      </c>
      <c r="F191" s="76">
        <v>1861</v>
      </c>
      <c r="G191" s="76">
        <v>2425</v>
      </c>
      <c r="H191" s="47">
        <f t="shared" si="77"/>
        <v>76.742268041237111</v>
      </c>
      <c r="I191" s="76">
        <v>0</v>
      </c>
      <c r="J191" s="76">
        <v>0</v>
      </c>
      <c r="K191" s="43">
        <f t="shared" si="78"/>
        <v>0</v>
      </c>
      <c r="L191" s="76">
        <v>0</v>
      </c>
      <c r="M191" s="76">
        <v>0</v>
      </c>
      <c r="N191" s="43">
        <f t="shared" si="79"/>
        <v>0</v>
      </c>
      <c r="O191" s="96">
        <v>19</v>
      </c>
      <c r="P191" s="96">
        <v>34</v>
      </c>
      <c r="Q191" s="96">
        <v>19</v>
      </c>
      <c r="R191" s="45">
        <f t="shared" si="80"/>
        <v>646</v>
      </c>
    </row>
    <row r="192" spans="1:18" x14ac:dyDescent="0.25">
      <c r="A192" s="118">
        <v>7</v>
      </c>
      <c r="B192" s="120" t="s">
        <v>159</v>
      </c>
      <c r="C192" s="76">
        <v>13009</v>
      </c>
      <c r="D192" s="76">
        <v>14640</v>
      </c>
      <c r="E192" s="47">
        <f t="shared" si="76"/>
        <v>88.85928961748634</v>
      </c>
      <c r="F192" s="76">
        <v>6454</v>
      </c>
      <c r="G192" s="76">
        <v>7640</v>
      </c>
      <c r="H192" s="47">
        <f t="shared" si="77"/>
        <v>84.476439790575924</v>
      </c>
      <c r="I192" s="76">
        <v>13009</v>
      </c>
      <c r="J192" s="76">
        <v>14640</v>
      </c>
      <c r="K192" s="43">
        <f t="shared" si="78"/>
        <v>88.85928961748634</v>
      </c>
      <c r="L192" s="76">
        <v>0</v>
      </c>
      <c r="M192" s="76">
        <v>0</v>
      </c>
      <c r="N192" s="43">
        <f t="shared" si="79"/>
        <v>0</v>
      </c>
      <c r="O192" s="96">
        <v>84</v>
      </c>
      <c r="P192" s="76">
        <v>56.1</v>
      </c>
      <c r="Q192" s="96">
        <v>84</v>
      </c>
      <c r="R192" s="45">
        <f t="shared" si="80"/>
        <v>4712.4000000000005</v>
      </c>
    </row>
    <row r="193" spans="1:18" x14ac:dyDescent="0.25">
      <c r="A193" s="118">
        <v>8</v>
      </c>
      <c r="B193" s="120" t="s">
        <v>160</v>
      </c>
      <c r="C193" s="76">
        <v>3094</v>
      </c>
      <c r="D193" s="76">
        <v>1073</v>
      </c>
      <c r="E193" s="47">
        <f t="shared" si="76"/>
        <v>288.35041938490218</v>
      </c>
      <c r="F193" s="76">
        <v>1074</v>
      </c>
      <c r="G193" s="76">
        <v>478</v>
      </c>
      <c r="H193" s="47">
        <f t="shared" si="77"/>
        <v>224.68619246861925</v>
      </c>
      <c r="I193" s="76">
        <v>0</v>
      </c>
      <c r="J193" s="76">
        <v>0</v>
      </c>
      <c r="K193" s="43">
        <f t="shared" si="78"/>
        <v>0</v>
      </c>
      <c r="L193" s="76">
        <v>0</v>
      </c>
      <c r="M193" s="76">
        <v>0</v>
      </c>
      <c r="N193" s="43">
        <f t="shared" si="79"/>
        <v>0</v>
      </c>
      <c r="O193" s="96">
        <v>14</v>
      </c>
      <c r="P193" s="76">
        <v>49.5</v>
      </c>
      <c r="Q193" s="96">
        <v>14</v>
      </c>
      <c r="R193" s="45">
        <f t="shared" si="80"/>
        <v>693</v>
      </c>
    </row>
    <row r="194" spans="1:18" x14ac:dyDescent="0.25">
      <c r="A194" s="118">
        <v>9</v>
      </c>
      <c r="B194" s="120" t="s">
        <v>161</v>
      </c>
      <c r="C194" s="76">
        <v>16699</v>
      </c>
      <c r="D194" s="76">
        <v>17840</v>
      </c>
      <c r="E194" s="47">
        <f t="shared" si="76"/>
        <v>93.604260089686093</v>
      </c>
      <c r="F194" s="76">
        <v>5219</v>
      </c>
      <c r="G194" s="76">
        <v>940</v>
      </c>
      <c r="H194" s="47">
        <f t="shared" si="77"/>
        <v>555.21276595744689</v>
      </c>
      <c r="I194" s="76">
        <v>0</v>
      </c>
      <c r="J194" s="76">
        <v>0</v>
      </c>
      <c r="K194" s="43">
        <f t="shared" si="78"/>
        <v>0</v>
      </c>
      <c r="L194" s="76">
        <v>0</v>
      </c>
      <c r="M194" s="76">
        <v>0</v>
      </c>
      <c r="N194" s="43">
        <v>0</v>
      </c>
      <c r="O194" s="96">
        <v>24</v>
      </c>
      <c r="P194" s="76">
        <v>87.7</v>
      </c>
      <c r="Q194" s="96">
        <v>24</v>
      </c>
      <c r="R194" s="45"/>
    </row>
    <row r="195" spans="1:18" x14ac:dyDescent="0.25">
      <c r="A195" s="118">
        <v>10</v>
      </c>
      <c r="B195" s="120" t="s">
        <v>162</v>
      </c>
      <c r="C195" s="76">
        <v>4720</v>
      </c>
      <c r="D195" s="76">
        <v>3254</v>
      </c>
      <c r="E195" s="47">
        <f t="shared" si="76"/>
        <v>145.05224339274739</v>
      </c>
      <c r="F195" s="76">
        <v>1542</v>
      </c>
      <c r="G195" s="76">
        <v>1446</v>
      </c>
      <c r="H195" s="47">
        <f t="shared" si="77"/>
        <v>106.6390041493776</v>
      </c>
      <c r="I195" s="76">
        <v>4720</v>
      </c>
      <c r="J195" s="76">
        <v>3254</v>
      </c>
      <c r="K195" s="43">
        <f t="shared" si="78"/>
        <v>145.05224339274739</v>
      </c>
      <c r="L195" s="76">
        <v>0</v>
      </c>
      <c r="M195" s="76">
        <v>0</v>
      </c>
      <c r="N195" s="43">
        <f t="shared" si="79"/>
        <v>0</v>
      </c>
      <c r="O195" s="96">
        <v>27</v>
      </c>
      <c r="P195" s="76">
        <v>56.2</v>
      </c>
      <c r="Q195" s="96">
        <v>29</v>
      </c>
      <c r="R195" s="45">
        <f>Q195*P195</f>
        <v>1629.8000000000002</v>
      </c>
    </row>
    <row r="196" spans="1:18" x14ac:dyDescent="0.25">
      <c r="A196" s="118">
        <v>11</v>
      </c>
      <c r="B196" s="123" t="s">
        <v>163</v>
      </c>
      <c r="C196" s="76">
        <v>1253</v>
      </c>
      <c r="D196" s="76">
        <v>1177</v>
      </c>
      <c r="E196" s="47">
        <f t="shared" si="76"/>
        <v>106.4570943075616</v>
      </c>
      <c r="F196" s="76">
        <v>425</v>
      </c>
      <c r="G196" s="76">
        <v>610</v>
      </c>
      <c r="H196" s="47">
        <f t="shared" si="77"/>
        <v>69.672131147540981</v>
      </c>
      <c r="I196" s="76">
        <v>0</v>
      </c>
      <c r="J196" s="76">
        <v>0</v>
      </c>
      <c r="K196" s="43">
        <f t="shared" si="78"/>
        <v>0</v>
      </c>
      <c r="L196" s="76">
        <v>0</v>
      </c>
      <c r="M196" s="76">
        <v>0</v>
      </c>
      <c r="N196" s="43">
        <f t="shared" si="79"/>
        <v>0</v>
      </c>
      <c r="O196" s="96">
        <v>26</v>
      </c>
      <c r="P196" s="96">
        <v>52</v>
      </c>
      <c r="Q196" s="96">
        <v>26</v>
      </c>
      <c r="R196" s="45">
        <f>Q196*P196</f>
        <v>1352</v>
      </c>
    </row>
    <row r="197" spans="1:18" s="60" customFormat="1" x14ac:dyDescent="0.25">
      <c r="A197" s="315" t="s">
        <v>173</v>
      </c>
      <c r="B197" s="315" t="s">
        <v>139</v>
      </c>
      <c r="C197" s="124">
        <f>SUM(C186:C196)</f>
        <v>369189.8</v>
      </c>
      <c r="D197" s="124">
        <f>SUM(D186:D196)</f>
        <v>588928.30000000005</v>
      </c>
      <c r="E197" s="57">
        <f t="shared" ref="E197" si="81">C197/D197*100</f>
        <v>62.688412154756357</v>
      </c>
      <c r="F197" s="124">
        <f>SUM(F186:F196)</f>
        <v>253472</v>
      </c>
      <c r="G197" s="124">
        <f>SUM(G186:G196)</f>
        <v>263774</v>
      </c>
      <c r="H197" s="57">
        <f t="shared" ref="H197" si="82">F197/G197*100</f>
        <v>96.094383828580533</v>
      </c>
      <c r="I197" s="124">
        <f>SUM(I186:I196)</f>
        <v>258675.8</v>
      </c>
      <c r="J197" s="124">
        <f>SUM(J186:J196)</f>
        <v>471614.3</v>
      </c>
      <c r="K197" s="57">
        <f>I197/J197*100</f>
        <v>54.849015392450994</v>
      </c>
      <c r="L197" s="124">
        <f>SUM(L186:L196)</f>
        <v>26610</v>
      </c>
      <c r="M197" s="124">
        <f>SUM(M186:M196)</f>
        <v>248504</v>
      </c>
      <c r="N197" s="57">
        <f>L197/M197*100</f>
        <v>10.708077133567267</v>
      </c>
      <c r="O197" s="124">
        <f>SUM(O186:O196)</f>
        <v>699</v>
      </c>
      <c r="P197" s="57">
        <f>R197/O197</f>
        <v>161.39914163090128</v>
      </c>
      <c r="Q197" s="124">
        <f>SUM(Q186:Q196)</f>
        <v>700</v>
      </c>
      <c r="R197" s="59">
        <f>SUM(R186:R196)</f>
        <v>112818</v>
      </c>
    </row>
    <row r="198" spans="1:18" x14ac:dyDescent="0.25">
      <c r="A198" s="125"/>
      <c r="B198" s="37"/>
      <c r="C198" s="125"/>
      <c r="D198" s="125"/>
      <c r="E198" s="125"/>
      <c r="F198" s="125"/>
      <c r="G198" s="125"/>
      <c r="H198" s="125"/>
      <c r="I198" s="125"/>
      <c r="J198" s="125"/>
      <c r="K198" s="125"/>
      <c r="L198" s="125"/>
      <c r="M198" s="125"/>
      <c r="N198" s="125"/>
      <c r="O198" s="125"/>
      <c r="P198" s="125"/>
      <c r="Q198" s="125"/>
      <c r="R198" s="126"/>
    </row>
    <row r="199" spans="1:18" x14ac:dyDescent="0.25">
      <c r="A199" s="323" t="s">
        <v>22</v>
      </c>
      <c r="B199" s="324"/>
      <c r="C199" s="37">
        <v>3</v>
      </c>
      <c r="D199" s="37">
        <v>4</v>
      </c>
      <c r="E199" s="150">
        <v>5</v>
      </c>
      <c r="F199" s="37">
        <v>6</v>
      </c>
      <c r="G199" s="37">
        <v>7</v>
      </c>
      <c r="H199" s="37">
        <v>8</v>
      </c>
      <c r="I199" s="37">
        <v>9</v>
      </c>
      <c r="J199" s="37">
        <v>10</v>
      </c>
      <c r="K199" s="37">
        <v>11</v>
      </c>
      <c r="L199" s="37">
        <v>12</v>
      </c>
      <c r="M199" s="37">
        <v>13</v>
      </c>
      <c r="N199" s="37">
        <v>14</v>
      </c>
      <c r="O199" s="37">
        <v>15</v>
      </c>
      <c r="P199" s="150">
        <v>16</v>
      </c>
      <c r="Q199" s="37">
        <v>17</v>
      </c>
      <c r="R199" s="23"/>
    </row>
    <row r="200" spans="1:18" x14ac:dyDescent="0.25">
      <c r="A200" s="96">
        <v>1</v>
      </c>
      <c r="B200" s="127" t="s">
        <v>164</v>
      </c>
      <c r="C200" s="49">
        <v>11561</v>
      </c>
      <c r="D200" s="49">
        <v>25595</v>
      </c>
      <c r="E200" s="119">
        <f t="shared" ref="E200" si="83">C200/D200*100</f>
        <v>45.168978316077357</v>
      </c>
      <c r="F200" s="49">
        <v>4624</v>
      </c>
      <c r="G200" s="49">
        <v>17206</v>
      </c>
      <c r="H200" s="119">
        <f t="shared" ref="H200" si="84">F200/G200*100</f>
        <v>26.874346158316865</v>
      </c>
      <c r="I200" s="49">
        <v>11561</v>
      </c>
      <c r="J200" s="49">
        <v>25595</v>
      </c>
      <c r="K200" s="119">
        <f t="shared" ref="K200:K201" si="85">I200/J200*100</f>
        <v>45.168978316077357</v>
      </c>
      <c r="L200" s="49">
        <v>11561</v>
      </c>
      <c r="M200" s="49">
        <v>16379</v>
      </c>
      <c r="N200" s="47">
        <f t="shared" ref="N200" si="86">L200/M200*100</f>
        <v>70.584284754869046</v>
      </c>
      <c r="O200" s="34">
        <v>51</v>
      </c>
      <c r="P200" s="96">
        <v>45</v>
      </c>
      <c r="Q200" s="34">
        <v>53</v>
      </c>
      <c r="R200" s="45">
        <f>Q200*P200</f>
        <v>2385</v>
      </c>
    </row>
    <row r="201" spans="1:18" x14ac:dyDescent="0.25">
      <c r="A201" s="96">
        <v>2</v>
      </c>
      <c r="B201" s="127" t="s">
        <v>165</v>
      </c>
      <c r="C201" s="49">
        <v>13</v>
      </c>
      <c r="D201" s="49">
        <v>58</v>
      </c>
      <c r="E201" s="119">
        <v>0</v>
      </c>
      <c r="F201" s="49">
        <v>13</v>
      </c>
      <c r="G201" s="49">
        <v>58</v>
      </c>
      <c r="H201" s="119">
        <v>0</v>
      </c>
      <c r="I201" s="49">
        <v>12</v>
      </c>
      <c r="J201" s="49">
        <v>250</v>
      </c>
      <c r="K201" s="119">
        <f t="shared" si="85"/>
        <v>4.8</v>
      </c>
      <c r="L201" s="49">
        <v>0</v>
      </c>
      <c r="M201" s="49">
        <v>0</v>
      </c>
      <c r="N201" s="47">
        <v>0</v>
      </c>
      <c r="O201" s="34">
        <v>190</v>
      </c>
      <c r="P201" s="96">
        <v>65</v>
      </c>
      <c r="Q201" s="34">
        <v>190</v>
      </c>
      <c r="R201" s="45">
        <f>Q201*P201</f>
        <v>12350</v>
      </c>
    </row>
    <row r="202" spans="1:18" s="60" customFormat="1" x14ac:dyDescent="0.25">
      <c r="A202" s="315" t="s">
        <v>173</v>
      </c>
      <c r="B202" s="315" t="s">
        <v>139</v>
      </c>
      <c r="C202" s="56">
        <f>SUM(C200:C201)</f>
        <v>11574</v>
      </c>
      <c r="D202" s="56">
        <f>SUM(D200:D201)</f>
        <v>25653</v>
      </c>
      <c r="E202" s="57">
        <f>C202/D202*100</f>
        <v>45.117530113437027</v>
      </c>
      <c r="F202" s="56">
        <f>SUM(F200:F201)</f>
        <v>4637</v>
      </c>
      <c r="G202" s="56">
        <f>SUM(G200:G201)</f>
        <v>17264</v>
      </c>
      <c r="H202" s="57">
        <f>F202/G202*100</f>
        <v>26.859360518999075</v>
      </c>
      <c r="I202" s="57">
        <f>SUM(I200:I201)</f>
        <v>11573</v>
      </c>
      <c r="J202" s="56">
        <f>SUM(J200:J201)</f>
        <v>25845</v>
      </c>
      <c r="K202" s="57">
        <f>I202/J202*100</f>
        <v>44.778487134842329</v>
      </c>
      <c r="L202" s="58">
        <f>SUM(L200:L201)</f>
        <v>11561</v>
      </c>
      <c r="M202" s="56">
        <f>SUM(M200:M201)</f>
        <v>16379</v>
      </c>
      <c r="N202" s="57">
        <f>L202/M202*100</f>
        <v>70.584284754869046</v>
      </c>
      <c r="O202" s="58">
        <f>SUM(O200:O201)</f>
        <v>241</v>
      </c>
      <c r="P202" s="58">
        <f>R202/O202</f>
        <v>61.141078838174273</v>
      </c>
      <c r="Q202" s="56">
        <f>SUM(Q200:Q201)</f>
        <v>243</v>
      </c>
      <c r="R202" s="59">
        <f>SUM(R200:R201)</f>
        <v>14735</v>
      </c>
    </row>
    <row r="203" spans="1:18" x14ac:dyDescent="0.25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6"/>
    </row>
    <row r="204" spans="1:18" x14ac:dyDescent="0.25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6"/>
    </row>
    <row r="205" spans="1:18" x14ac:dyDescent="0.25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6"/>
    </row>
    <row r="206" spans="1:18" x14ac:dyDescent="0.25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6"/>
    </row>
    <row r="207" spans="1:18" x14ac:dyDescent="0.25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6"/>
    </row>
    <row r="208" spans="1:18" x14ac:dyDescent="0.25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6"/>
    </row>
    <row r="209" spans="1:22" x14ac:dyDescent="0.25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6"/>
    </row>
    <row r="210" spans="1:22" x14ac:dyDescent="0.25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</row>
    <row r="211" spans="1:22" x14ac:dyDescent="0.25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</row>
    <row r="212" spans="1:22" x14ac:dyDescent="0.25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</row>
    <row r="213" spans="1:22" x14ac:dyDescent="0.25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</row>
    <row r="214" spans="1:22" x14ac:dyDescent="0.25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</row>
    <row r="215" spans="1:22" x14ac:dyDescent="0.25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</row>
    <row r="216" spans="1:22" x14ac:dyDescent="0.25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</row>
    <row r="217" spans="1:22" x14ac:dyDescent="0.25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</row>
    <row r="218" spans="1:22" x14ac:dyDescent="0.25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</row>
    <row r="219" spans="1:22" x14ac:dyDescent="0.25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</row>
    <row r="220" spans="1:22" x14ac:dyDescent="0.25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</row>
    <row r="221" spans="1:22" x14ac:dyDescent="0.25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</row>
    <row r="222" spans="1:22" x14ac:dyDescent="0.25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</row>
    <row r="223" spans="1:22" x14ac:dyDescent="0.25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</row>
    <row r="224" spans="1:22" x14ac:dyDescent="0.25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</row>
    <row r="225" spans="1:22" x14ac:dyDescent="0.25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</row>
    <row r="226" spans="1:22" x14ac:dyDescent="0.25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</row>
    <row r="227" spans="1:22" x14ac:dyDescent="0.25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</row>
    <row r="228" spans="1:22" x14ac:dyDescent="0.25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</row>
    <row r="229" spans="1:22" x14ac:dyDescent="0.25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</row>
    <row r="230" spans="1:22" x14ac:dyDescent="0.25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</row>
    <row r="231" spans="1:22" x14ac:dyDescent="0.25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</row>
    <row r="232" spans="1:22" x14ac:dyDescent="0.25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</row>
    <row r="233" spans="1:22" x14ac:dyDescent="0.25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</row>
    <row r="234" spans="1:22" x14ac:dyDescent="0.25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</row>
    <row r="235" spans="1:22" x14ac:dyDescent="0.25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</row>
    <row r="236" spans="1:22" x14ac:dyDescent="0.25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</row>
    <row r="237" spans="1:22" x14ac:dyDescent="0.25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</row>
    <row r="238" spans="1:22" x14ac:dyDescent="0.25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</row>
    <row r="239" spans="1:22" x14ac:dyDescent="0.25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</row>
    <row r="240" spans="1:22" x14ac:dyDescent="0.25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</row>
    <row r="241" spans="1:22" x14ac:dyDescent="0.25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</row>
    <row r="242" spans="1:22" x14ac:dyDescent="0.25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</row>
    <row r="243" spans="1:22" x14ac:dyDescent="0.25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</row>
    <row r="244" spans="1:22" x14ac:dyDescent="0.25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</row>
    <row r="245" spans="1:22" x14ac:dyDescent="0.25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</row>
    <row r="246" spans="1:22" x14ac:dyDescent="0.25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</row>
    <row r="247" spans="1:22" x14ac:dyDescent="0.25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</row>
    <row r="248" spans="1:22" x14ac:dyDescent="0.25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</row>
    <row r="249" spans="1:22" x14ac:dyDescent="0.25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</row>
    <row r="250" spans="1:22" x14ac:dyDescent="0.25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</row>
    <row r="251" spans="1:22" x14ac:dyDescent="0.25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</row>
    <row r="252" spans="1:22" x14ac:dyDescent="0.25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</row>
    <row r="253" spans="1:22" x14ac:dyDescent="0.25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</row>
    <row r="254" spans="1:22" x14ac:dyDescent="0.25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</row>
    <row r="255" spans="1:22" x14ac:dyDescent="0.25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</row>
    <row r="256" spans="1:22" x14ac:dyDescent="0.25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</row>
    <row r="257" spans="1:22" s="18" customFormat="1" x14ac:dyDescent="0.25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</row>
    <row r="258" spans="1:22" s="18" customFormat="1" x14ac:dyDescent="0.25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</row>
    <row r="259" spans="1:22" s="18" customFormat="1" x14ac:dyDescent="0.25"/>
    <row r="260" spans="1:22" s="18" customFormat="1" x14ac:dyDescent="0.25"/>
    <row r="261" spans="1:22" s="18" customFormat="1" x14ac:dyDescent="0.25"/>
    <row r="262" spans="1:22" s="18" customFormat="1" x14ac:dyDescent="0.25"/>
    <row r="263" spans="1:22" s="18" customFormat="1" x14ac:dyDescent="0.25"/>
    <row r="264" spans="1:22" s="18" customFormat="1" x14ac:dyDescent="0.25"/>
    <row r="265" spans="1:22" s="18" customFormat="1" x14ac:dyDescent="0.25"/>
    <row r="266" spans="1:22" s="18" customFormat="1" x14ac:dyDescent="0.25"/>
    <row r="267" spans="1:22" s="18" customFormat="1" x14ac:dyDescent="0.25"/>
    <row r="268" spans="1:22" s="18" customFormat="1" x14ac:dyDescent="0.25"/>
    <row r="269" spans="1:22" s="18" customFormat="1" x14ac:dyDescent="0.25"/>
    <row r="270" spans="1:22" s="18" customFormat="1" x14ac:dyDescent="0.25"/>
    <row r="271" spans="1:22" s="18" customFormat="1" x14ac:dyDescent="0.25"/>
    <row r="272" spans="1:2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</sheetData>
  <mergeCells count="55">
    <mergeCell ref="A197:B197"/>
    <mergeCell ref="A199:B199"/>
    <mergeCell ref="A202:B202"/>
    <mergeCell ref="D171:F171"/>
    <mergeCell ref="J171:L171"/>
    <mergeCell ref="A185:B185"/>
    <mergeCell ref="A183:B183"/>
    <mergeCell ref="A169:B169"/>
    <mergeCell ref="A99:B99"/>
    <mergeCell ref="A101:B101"/>
    <mergeCell ref="M171:O171"/>
    <mergeCell ref="A172:B172"/>
    <mergeCell ref="A127:B127"/>
    <mergeCell ref="A129:B129"/>
    <mergeCell ref="A133:B133"/>
    <mergeCell ref="A143:B143"/>
    <mergeCell ref="A145:B145"/>
    <mergeCell ref="A161:B161"/>
    <mergeCell ref="Q40:Q41"/>
    <mergeCell ref="P40:P41"/>
    <mergeCell ref="A84:B84"/>
    <mergeCell ref="A85:B85"/>
    <mergeCell ref="A87:B87"/>
    <mergeCell ref="A75:B75"/>
    <mergeCell ref="A43:B43"/>
    <mergeCell ref="A61:B61"/>
    <mergeCell ref="A63:B63"/>
    <mergeCell ref="A73:B73"/>
    <mergeCell ref="O40:O41"/>
    <mergeCell ref="A40:A41"/>
    <mergeCell ref="B40:B41"/>
    <mergeCell ref="C40:G40"/>
    <mergeCell ref="H40:K40"/>
    <mergeCell ref="A37:Q39"/>
    <mergeCell ref="D6:D10"/>
    <mergeCell ref="E6:E10"/>
    <mergeCell ref="F6:F10"/>
    <mergeCell ref="G6:G10"/>
    <mergeCell ref="H6:H10"/>
    <mergeCell ref="I6:I10"/>
    <mergeCell ref="J6:J10"/>
    <mergeCell ref="K6:K10"/>
    <mergeCell ref="L6:L10"/>
    <mergeCell ref="M6:M10"/>
    <mergeCell ref="N6:N10"/>
    <mergeCell ref="A3:Q4"/>
    <mergeCell ref="A5:A10"/>
    <mergeCell ref="B5:B10"/>
    <mergeCell ref="C5:H5"/>
    <mergeCell ref="I5:K5"/>
    <mergeCell ref="L5:N5"/>
    <mergeCell ref="O5:O10"/>
    <mergeCell ref="P5:P10"/>
    <mergeCell ref="Q5:Q10"/>
    <mergeCell ref="C6:C10"/>
  </mergeCells>
  <pageMargins left="0.7" right="0.7" top="0.75" bottom="0.75" header="0.3" footer="0.3"/>
  <pageSetup scale="7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M280"/>
  <sheetViews>
    <sheetView topLeftCell="A42" workbookViewId="0">
      <selection activeCell="D30" sqref="D30"/>
    </sheetView>
  </sheetViews>
  <sheetFormatPr defaultRowHeight="15" x14ac:dyDescent="0.25"/>
  <cols>
    <col min="1" max="1" width="3.28515625" customWidth="1"/>
    <col min="2" max="2" width="27.85546875" customWidth="1"/>
    <col min="3" max="3" width="11.42578125" customWidth="1"/>
    <col min="4" max="4" width="11.5703125" customWidth="1"/>
    <col min="5" max="5" width="6.5703125" customWidth="1"/>
    <col min="6" max="6" width="10.140625" customWidth="1"/>
    <col min="7" max="7" width="10.28515625" customWidth="1"/>
    <col min="8" max="8" width="7.140625" customWidth="1"/>
    <col min="9" max="9" width="11.28515625" customWidth="1"/>
    <col min="10" max="10" width="11.42578125" customWidth="1"/>
    <col min="11" max="11" width="6.28515625" customWidth="1"/>
    <col min="12" max="12" width="10.5703125" customWidth="1"/>
    <col min="13" max="13" width="11" customWidth="1"/>
    <col min="14" max="14" width="7" customWidth="1"/>
    <col min="15" max="15" width="7.28515625" customWidth="1"/>
    <col min="16" max="16" width="6.5703125" customWidth="1"/>
    <col min="17" max="17" width="6.7109375" customWidth="1"/>
    <col min="18" max="18" width="10.28515625" customWidth="1"/>
  </cols>
  <sheetData>
    <row r="3" spans="1:18" x14ac:dyDescent="0.25">
      <c r="A3" s="337" t="s">
        <v>196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</row>
    <row r="4" spans="1:18" x14ac:dyDescent="0.25">
      <c r="A4" s="338"/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1"/>
    </row>
    <row r="5" spans="1:18" x14ac:dyDescent="0.25">
      <c r="A5" s="339" t="s">
        <v>0</v>
      </c>
      <c r="B5" s="340" t="s">
        <v>1</v>
      </c>
      <c r="C5" s="341" t="s">
        <v>172</v>
      </c>
      <c r="D5" s="341"/>
      <c r="E5" s="341"/>
      <c r="F5" s="341"/>
      <c r="G5" s="341"/>
      <c r="H5" s="341"/>
      <c r="I5" s="342" t="s">
        <v>2</v>
      </c>
      <c r="J5" s="343"/>
      <c r="K5" s="344"/>
      <c r="L5" s="345" t="s">
        <v>3</v>
      </c>
      <c r="M5" s="346"/>
      <c r="N5" s="347"/>
      <c r="O5" s="340" t="s">
        <v>4</v>
      </c>
      <c r="P5" s="348" t="s">
        <v>5</v>
      </c>
      <c r="Q5" s="340" t="s">
        <v>6</v>
      </c>
      <c r="R5" s="2"/>
    </row>
    <row r="6" spans="1:18" x14ac:dyDescent="0.25">
      <c r="A6" s="339"/>
      <c r="B6" s="340"/>
      <c r="C6" s="340" t="s">
        <v>7</v>
      </c>
      <c r="D6" s="340" t="s">
        <v>8</v>
      </c>
      <c r="E6" s="349" t="s">
        <v>9</v>
      </c>
      <c r="F6" s="340" t="s">
        <v>10</v>
      </c>
      <c r="G6" s="340" t="s">
        <v>8</v>
      </c>
      <c r="H6" s="349" t="s">
        <v>9</v>
      </c>
      <c r="I6" s="340" t="s">
        <v>11</v>
      </c>
      <c r="J6" s="340" t="s">
        <v>8</v>
      </c>
      <c r="K6" s="349" t="s">
        <v>9</v>
      </c>
      <c r="L6" s="340" t="s">
        <v>11</v>
      </c>
      <c r="M6" s="340" t="s">
        <v>8</v>
      </c>
      <c r="N6" s="349" t="s">
        <v>9</v>
      </c>
      <c r="O6" s="340"/>
      <c r="P6" s="348"/>
      <c r="Q6" s="340"/>
      <c r="R6" s="2"/>
    </row>
    <row r="7" spans="1:18" x14ac:dyDescent="0.25">
      <c r="A7" s="339"/>
      <c r="B7" s="340"/>
      <c r="C7" s="340"/>
      <c r="D7" s="340"/>
      <c r="E7" s="349"/>
      <c r="F7" s="340"/>
      <c r="G7" s="340"/>
      <c r="H7" s="349"/>
      <c r="I7" s="340"/>
      <c r="J7" s="340"/>
      <c r="K7" s="349"/>
      <c r="L7" s="340"/>
      <c r="M7" s="340"/>
      <c r="N7" s="349"/>
      <c r="O7" s="340"/>
      <c r="P7" s="348"/>
      <c r="Q7" s="340"/>
      <c r="R7" s="2"/>
    </row>
    <row r="8" spans="1:18" x14ac:dyDescent="0.25">
      <c r="A8" s="339"/>
      <c r="B8" s="340"/>
      <c r="C8" s="340"/>
      <c r="D8" s="340"/>
      <c r="E8" s="349"/>
      <c r="F8" s="340"/>
      <c r="G8" s="340"/>
      <c r="H8" s="349"/>
      <c r="I8" s="340"/>
      <c r="J8" s="340"/>
      <c r="K8" s="349"/>
      <c r="L8" s="340"/>
      <c r="M8" s="340"/>
      <c r="N8" s="349"/>
      <c r="O8" s="340"/>
      <c r="P8" s="348"/>
      <c r="Q8" s="340"/>
      <c r="R8" s="2"/>
    </row>
    <row r="9" spans="1:18" x14ac:dyDescent="0.25">
      <c r="A9" s="339"/>
      <c r="B9" s="340"/>
      <c r="C9" s="340"/>
      <c r="D9" s="340"/>
      <c r="E9" s="349"/>
      <c r="F9" s="340"/>
      <c r="G9" s="340"/>
      <c r="H9" s="349"/>
      <c r="I9" s="340"/>
      <c r="J9" s="340"/>
      <c r="K9" s="349"/>
      <c r="L9" s="340"/>
      <c r="M9" s="340"/>
      <c r="N9" s="349"/>
      <c r="O9" s="340"/>
      <c r="P9" s="348"/>
      <c r="Q9" s="340"/>
      <c r="R9" s="2"/>
    </row>
    <row r="10" spans="1:18" x14ac:dyDescent="0.25">
      <c r="A10" s="339"/>
      <c r="B10" s="340"/>
      <c r="C10" s="340"/>
      <c r="D10" s="340"/>
      <c r="E10" s="349"/>
      <c r="F10" s="340"/>
      <c r="G10" s="340"/>
      <c r="H10" s="349"/>
      <c r="I10" s="340"/>
      <c r="J10" s="340"/>
      <c r="K10" s="349"/>
      <c r="L10" s="340"/>
      <c r="M10" s="340"/>
      <c r="N10" s="349"/>
      <c r="O10" s="340"/>
      <c r="P10" s="348"/>
      <c r="Q10" s="340"/>
      <c r="R10" s="2"/>
    </row>
    <row r="11" spans="1:18" x14ac:dyDescent="0.25">
      <c r="A11" s="170">
        <v>1</v>
      </c>
      <c r="B11" s="170">
        <v>2</v>
      </c>
      <c r="C11" s="171">
        <v>3</v>
      </c>
      <c r="D11" s="171">
        <v>4</v>
      </c>
      <c r="E11" s="5">
        <v>5</v>
      </c>
      <c r="F11" s="171">
        <v>6</v>
      </c>
      <c r="G11" s="171">
        <v>7</v>
      </c>
      <c r="H11" s="171">
        <v>8</v>
      </c>
      <c r="I11" s="171">
        <v>11</v>
      </c>
      <c r="J11" s="171">
        <v>12</v>
      </c>
      <c r="K11" s="171">
        <v>13</v>
      </c>
      <c r="L11" s="171">
        <v>17</v>
      </c>
      <c r="M11" s="171">
        <v>18</v>
      </c>
      <c r="N11" s="171">
        <v>19</v>
      </c>
      <c r="O11" s="171">
        <v>20</v>
      </c>
      <c r="P11" s="5">
        <v>21</v>
      </c>
      <c r="Q11" s="171">
        <v>22</v>
      </c>
      <c r="R11" s="6"/>
    </row>
    <row r="12" spans="1:18" ht="33" x14ac:dyDescent="0.25">
      <c r="A12" s="7">
        <v>1</v>
      </c>
      <c r="B12" s="141" t="s">
        <v>178</v>
      </c>
      <c r="C12" s="5">
        <f t="shared" ref="C12:P12" si="0">C163</f>
        <v>103398346</v>
      </c>
      <c r="D12" s="5">
        <f t="shared" si="0"/>
        <v>101835983</v>
      </c>
      <c r="E12" s="9">
        <f t="shared" si="0"/>
        <v>101.53419543266942</v>
      </c>
      <c r="F12" s="5">
        <f t="shared" si="0"/>
        <v>28050790</v>
      </c>
      <c r="G12" s="10">
        <f t="shared" si="0"/>
        <v>27714830</v>
      </c>
      <c r="H12" s="11">
        <f t="shared" si="0"/>
        <v>101.21220299745659</v>
      </c>
      <c r="I12" s="10">
        <f t="shared" si="0"/>
        <v>95934566</v>
      </c>
      <c r="J12" s="10">
        <f t="shared" si="0"/>
        <v>101391530</v>
      </c>
      <c r="K12" s="11">
        <f t="shared" si="0"/>
        <v>94.61792913076664</v>
      </c>
      <c r="L12" s="5">
        <f t="shared" si="0"/>
        <v>74278861</v>
      </c>
      <c r="M12" s="5">
        <f t="shared" si="0"/>
        <v>82486495</v>
      </c>
      <c r="N12" s="9">
        <f t="shared" si="0"/>
        <v>90.049723897227054</v>
      </c>
      <c r="O12" s="5">
        <f t="shared" si="0"/>
        <v>9113</v>
      </c>
      <c r="P12" s="9">
        <f t="shared" si="0"/>
        <v>156.44025019203335</v>
      </c>
      <c r="Q12" s="5">
        <f>Q163</f>
        <v>9104</v>
      </c>
      <c r="R12" s="12">
        <f t="shared" ref="R12:R22" si="1">O12*P12</f>
        <v>1425640</v>
      </c>
    </row>
    <row r="13" spans="1:18" ht="33" x14ac:dyDescent="0.25">
      <c r="A13" s="7">
        <v>2</v>
      </c>
      <c r="B13" s="141" t="s">
        <v>179</v>
      </c>
      <c r="C13" s="5">
        <f t="shared" ref="C13:P13" si="2">C171</f>
        <v>2452058</v>
      </c>
      <c r="D13" s="5">
        <f t="shared" si="2"/>
        <v>3146280</v>
      </c>
      <c r="E13" s="9">
        <f t="shared" si="2"/>
        <v>77.935148810658944</v>
      </c>
      <c r="F13" s="5">
        <f t="shared" si="2"/>
        <v>814078</v>
      </c>
      <c r="G13" s="10">
        <f t="shared" si="2"/>
        <v>987515</v>
      </c>
      <c r="H13" s="11">
        <f t="shared" si="2"/>
        <v>82.437026273018645</v>
      </c>
      <c r="I13" s="10">
        <f t="shared" si="2"/>
        <v>2895683</v>
      </c>
      <c r="J13" s="10">
        <f t="shared" si="2"/>
        <v>3066062</v>
      </c>
      <c r="K13" s="11">
        <f t="shared" si="2"/>
        <v>94.443067361325376</v>
      </c>
      <c r="L13" s="5">
        <f t="shared" si="2"/>
        <v>1390728</v>
      </c>
      <c r="M13" s="5">
        <f t="shared" si="2"/>
        <v>755139</v>
      </c>
      <c r="N13" s="9">
        <f t="shared" si="2"/>
        <v>184.16847759154277</v>
      </c>
      <c r="O13" s="5">
        <f t="shared" si="2"/>
        <v>1368</v>
      </c>
      <c r="P13" s="9">
        <f t="shared" si="2"/>
        <v>70.325292397660817</v>
      </c>
      <c r="Q13" s="5">
        <f>Q171</f>
        <v>1380</v>
      </c>
      <c r="R13" s="12">
        <f t="shared" si="1"/>
        <v>96205</v>
      </c>
    </row>
    <row r="14" spans="1:18" ht="16.5" x14ac:dyDescent="0.25">
      <c r="A14" s="7">
        <v>3</v>
      </c>
      <c r="B14" s="141" t="s">
        <v>180</v>
      </c>
      <c r="C14" s="5">
        <f t="shared" ref="C14:P14" si="3">C185</f>
        <v>2820473.7446153001</v>
      </c>
      <c r="D14" s="5">
        <f t="shared" si="3"/>
        <v>4222884.7096069995</v>
      </c>
      <c r="E14" s="9">
        <f t="shared" si="3"/>
        <v>66.790214239066586</v>
      </c>
      <c r="F14" s="5">
        <f t="shared" si="3"/>
        <v>791039.96510000003</v>
      </c>
      <c r="G14" s="10">
        <f t="shared" si="3"/>
        <v>1524929.7179858</v>
      </c>
      <c r="H14" s="11">
        <f t="shared" si="3"/>
        <v>51.873863809595335</v>
      </c>
      <c r="I14" s="10">
        <f t="shared" si="3"/>
        <v>2467257.7446153001</v>
      </c>
      <c r="J14" s="10">
        <f t="shared" si="3"/>
        <v>3208213.709607</v>
      </c>
      <c r="K14" s="11">
        <f t="shared" si="3"/>
        <v>76.904407497140653</v>
      </c>
      <c r="L14" s="5">
        <f t="shared" si="3"/>
        <v>2442019.7446153001</v>
      </c>
      <c r="M14" s="5">
        <f t="shared" si="3"/>
        <v>3113045.709607</v>
      </c>
      <c r="N14" s="9">
        <f t="shared" si="3"/>
        <v>78.444712105547197</v>
      </c>
      <c r="O14" s="5">
        <f t="shared" si="3"/>
        <v>521</v>
      </c>
      <c r="P14" s="9">
        <f t="shared" si="3"/>
        <v>69.568138195777351</v>
      </c>
      <c r="Q14" s="5">
        <f>Q185</f>
        <v>455</v>
      </c>
      <c r="R14" s="12">
        <f t="shared" si="1"/>
        <v>36245</v>
      </c>
    </row>
    <row r="15" spans="1:18" ht="16.5" x14ac:dyDescent="0.25">
      <c r="A15" s="7">
        <v>4</v>
      </c>
      <c r="B15" s="141" t="s">
        <v>181</v>
      </c>
      <c r="C15" s="5">
        <f t="shared" ref="C15:Q15" si="4">C61</f>
        <v>1090921</v>
      </c>
      <c r="D15" s="10">
        <f t="shared" si="4"/>
        <v>686387</v>
      </c>
      <c r="E15" s="11">
        <f t="shared" si="4"/>
        <v>158.93672228640693</v>
      </c>
      <c r="F15" s="10">
        <f t="shared" si="4"/>
        <v>442388</v>
      </c>
      <c r="G15" s="10">
        <f t="shared" si="4"/>
        <v>208641</v>
      </c>
      <c r="H15" s="11">
        <f t="shared" si="4"/>
        <v>212.03310950388467</v>
      </c>
      <c r="I15" s="10">
        <f t="shared" si="4"/>
        <v>734599</v>
      </c>
      <c r="J15" s="10">
        <f t="shared" si="4"/>
        <v>694946</v>
      </c>
      <c r="K15" s="11">
        <f t="shared" si="4"/>
        <v>105.70591096286618</v>
      </c>
      <c r="L15" s="10">
        <f t="shared" si="4"/>
        <v>395273</v>
      </c>
      <c r="M15" s="10">
        <f t="shared" si="4"/>
        <v>347043</v>
      </c>
      <c r="N15" s="11">
        <f t="shared" si="4"/>
        <v>113.89741328884317</v>
      </c>
      <c r="O15" s="10">
        <f t="shared" si="4"/>
        <v>847</v>
      </c>
      <c r="P15" s="11">
        <f t="shared" si="4"/>
        <v>80.923258559622198</v>
      </c>
      <c r="Q15" s="10">
        <f t="shared" si="4"/>
        <v>833</v>
      </c>
      <c r="R15" s="12">
        <f t="shared" si="1"/>
        <v>68542</v>
      </c>
    </row>
    <row r="16" spans="1:18" ht="16.5" x14ac:dyDescent="0.25">
      <c r="A16" s="7">
        <v>5</v>
      </c>
      <c r="B16" s="141" t="s">
        <v>182</v>
      </c>
      <c r="C16" s="5">
        <f t="shared" ref="C16:Q16" si="5">C73</f>
        <v>511071</v>
      </c>
      <c r="D16" s="10">
        <f t="shared" si="5"/>
        <v>466061</v>
      </c>
      <c r="E16" s="11">
        <f t="shared" si="5"/>
        <v>109.65753409961356</v>
      </c>
      <c r="F16" s="10">
        <f t="shared" si="5"/>
        <v>138269</v>
      </c>
      <c r="G16" s="10">
        <f t="shared" si="5"/>
        <v>144011</v>
      </c>
      <c r="H16" s="11">
        <f t="shared" si="5"/>
        <v>96.012804577428113</v>
      </c>
      <c r="I16" s="10">
        <f t="shared" si="5"/>
        <v>537329</v>
      </c>
      <c r="J16" s="10">
        <f t="shared" si="5"/>
        <v>418220</v>
      </c>
      <c r="K16" s="11">
        <f t="shared" si="5"/>
        <v>128.47998660991823</v>
      </c>
      <c r="L16" s="10">
        <f t="shared" si="5"/>
        <v>466514</v>
      </c>
      <c r="M16" s="10">
        <f t="shared" si="5"/>
        <v>250425</v>
      </c>
      <c r="N16" s="11">
        <f t="shared" si="5"/>
        <v>186.28890885494661</v>
      </c>
      <c r="O16" s="10">
        <f t="shared" si="5"/>
        <v>604</v>
      </c>
      <c r="P16" s="11">
        <f t="shared" si="5"/>
        <v>70.259933774834437</v>
      </c>
      <c r="Q16" s="10">
        <f t="shared" si="5"/>
        <v>613</v>
      </c>
      <c r="R16" s="12">
        <f t="shared" si="1"/>
        <v>42437</v>
      </c>
    </row>
    <row r="17" spans="1:18" ht="16.5" x14ac:dyDescent="0.25">
      <c r="A17" s="7">
        <v>6</v>
      </c>
      <c r="B17" s="141" t="s">
        <v>183</v>
      </c>
      <c r="C17" s="5">
        <f t="shared" ref="C17:Q17" si="6">C84</f>
        <v>428817</v>
      </c>
      <c r="D17" s="10">
        <f t="shared" si="6"/>
        <v>261571</v>
      </c>
      <c r="E17" s="11">
        <f t="shared" si="6"/>
        <v>163.93904523054925</v>
      </c>
      <c r="F17" s="10">
        <f t="shared" si="6"/>
        <v>118245</v>
      </c>
      <c r="G17" s="10">
        <f t="shared" si="6"/>
        <v>66738</v>
      </c>
      <c r="H17" s="11">
        <f t="shared" si="6"/>
        <v>177.17791962600018</v>
      </c>
      <c r="I17" s="10">
        <f t="shared" si="6"/>
        <v>484702</v>
      </c>
      <c r="J17" s="10">
        <f t="shared" si="6"/>
        <v>221682</v>
      </c>
      <c r="K17" s="11">
        <f t="shared" si="6"/>
        <v>218.64743190696583</v>
      </c>
      <c r="L17" s="10">
        <f t="shared" si="6"/>
        <v>241110</v>
      </c>
      <c r="M17" s="10">
        <f t="shared" si="6"/>
        <v>61403</v>
      </c>
      <c r="N17" s="11">
        <f t="shared" si="6"/>
        <v>392.66811067863136</v>
      </c>
      <c r="O17" s="10">
        <f t="shared" si="6"/>
        <v>575</v>
      </c>
      <c r="P17" s="11">
        <f t="shared" si="6"/>
        <v>38.525217391304345</v>
      </c>
      <c r="Q17" s="10">
        <f t="shared" si="6"/>
        <v>572</v>
      </c>
      <c r="R17" s="12">
        <f t="shared" si="1"/>
        <v>22152</v>
      </c>
    </row>
    <row r="18" spans="1:18" ht="16.5" x14ac:dyDescent="0.25">
      <c r="A18" s="7">
        <v>7</v>
      </c>
      <c r="B18" s="141" t="s">
        <v>184</v>
      </c>
      <c r="C18" s="5">
        <f t="shared" ref="C18:Q18" si="7">C99</f>
        <v>1796648</v>
      </c>
      <c r="D18" s="10">
        <f t="shared" si="7"/>
        <v>1972124</v>
      </c>
      <c r="E18" s="11">
        <f t="shared" si="7"/>
        <v>91.102182215722749</v>
      </c>
      <c r="F18" s="10">
        <f t="shared" si="7"/>
        <v>610637</v>
      </c>
      <c r="G18" s="10">
        <f t="shared" si="7"/>
        <v>670255</v>
      </c>
      <c r="H18" s="11">
        <f t="shared" si="7"/>
        <v>91.10517638809111</v>
      </c>
      <c r="I18" s="10">
        <f t="shared" si="7"/>
        <v>2257871</v>
      </c>
      <c r="J18" s="10">
        <f t="shared" si="7"/>
        <v>2237441</v>
      </c>
      <c r="K18" s="11">
        <f t="shared" si="7"/>
        <v>100.91309670288513</v>
      </c>
      <c r="L18" s="10">
        <f t="shared" si="7"/>
        <v>657192</v>
      </c>
      <c r="M18" s="10">
        <f t="shared" si="7"/>
        <v>562258</v>
      </c>
      <c r="N18" s="11">
        <f t="shared" si="7"/>
        <v>116.88441960808026</v>
      </c>
      <c r="O18" s="10">
        <f t="shared" si="7"/>
        <v>4051</v>
      </c>
      <c r="P18" s="11">
        <f t="shared" si="7"/>
        <v>109.18958281905702</v>
      </c>
      <c r="Q18" s="10">
        <f t="shared" si="7"/>
        <v>4065</v>
      </c>
      <c r="R18" s="12">
        <f t="shared" si="1"/>
        <v>442327</v>
      </c>
    </row>
    <row r="19" spans="1:18" ht="33" x14ac:dyDescent="0.25">
      <c r="A19" s="7">
        <v>8</v>
      </c>
      <c r="B19" s="141" t="s">
        <v>177</v>
      </c>
      <c r="C19" s="5">
        <f t="shared" ref="C19:L19" si="8">C133</f>
        <v>1077276</v>
      </c>
      <c r="D19" s="10">
        <f t="shared" si="8"/>
        <v>741716</v>
      </c>
      <c r="E19" s="11">
        <f t="shared" si="8"/>
        <v>145.24103565245997</v>
      </c>
      <c r="F19" s="10">
        <f t="shared" si="8"/>
        <v>363939</v>
      </c>
      <c r="G19" s="10">
        <f t="shared" si="8"/>
        <v>185202</v>
      </c>
      <c r="H19" s="11">
        <f t="shared" si="8"/>
        <v>196.50921696309976</v>
      </c>
      <c r="I19" s="10">
        <f t="shared" si="8"/>
        <v>1136851</v>
      </c>
      <c r="J19" s="10">
        <f t="shared" si="8"/>
        <v>884016</v>
      </c>
      <c r="K19" s="11">
        <f t="shared" si="8"/>
        <v>128.60072668367991</v>
      </c>
      <c r="L19" s="10">
        <f t="shared" si="8"/>
        <v>106709</v>
      </c>
      <c r="M19" s="10">
        <f>M133</f>
        <v>0</v>
      </c>
      <c r="N19" s="11">
        <f>N133</f>
        <v>0</v>
      </c>
      <c r="O19" s="10">
        <f>O133</f>
        <v>519</v>
      </c>
      <c r="P19" s="11">
        <f>P133</f>
        <v>95.379576107899808</v>
      </c>
      <c r="Q19" s="10">
        <f>Q133</f>
        <v>521</v>
      </c>
      <c r="R19" s="12"/>
    </row>
    <row r="20" spans="1:18" ht="33" x14ac:dyDescent="0.25">
      <c r="A20" s="7">
        <v>9</v>
      </c>
      <c r="B20" s="141" t="s">
        <v>185</v>
      </c>
      <c r="C20" s="5">
        <f t="shared" ref="C20:Q20" si="9">C127</f>
        <v>1002736</v>
      </c>
      <c r="D20" s="10">
        <f t="shared" si="9"/>
        <v>915618</v>
      </c>
      <c r="E20" s="11">
        <f t="shared" si="9"/>
        <v>109.51466659676852</v>
      </c>
      <c r="F20" s="10">
        <f t="shared" si="9"/>
        <v>319768</v>
      </c>
      <c r="G20" s="10">
        <f t="shared" si="9"/>
        <v>357117</v>
      </c>
      <c r="H20" s="11">
        <f t="shared" si="9"/>
        <v>89.541522806251166</v>
      </c>
      <c r="I20" s="10">
        <f t="shared" si="9"/>
        <v>921069</v>
      </c>
      <c r="J20" s="10">
        <f t="shared" si="9"/>
        <v>882926</v>
      </c>
      <c r="K20" s="11">
        <f t="shared" si="9"/>
        <v>104.32006759343363</v>
      </c>
      <c r="L20" s="10">
        <f t="shared" si="9"/>
        <v>433837</v>
      </c>
      <c r="M20" s="10">
        <f t="shared" si="9"/>
        <v>412886</v>
      </c>
      <c r="N20" s="11">
        <f t="shared" si="9"/>
        <v>105.07428200520241</v>
      </c>
      <c r="O20" s="10">
        <f t="shared" si="9"/>
        <v>1826</v>
      </c>
      <c r="P20" s="11">
        <f t="shared" si="9"/>
        <v>60.217962760131435</v>
      </c>
      <c r="Q20" s="10">
        <f t="shared" si="9"/>
        <v>1889</v>
      </c>
      <c r="R20" s="12">
        <f t="shared" si="1"/>
        <v>109958</v>
      </c>
    </row>
    <row r="21" spans="1:18" ht="16.5" x14ac:dyDescent="0.25">
      <c r="A21" s="7">
        <v>10</v>
      </c>
      <c r="B21" s="141" t="s">
        <v>186</v>
      </c>
      <c r="C21" s="5">
        <f t="shared" ref="C21:Q21" si="10">C143</f>
        <v>104887</v>
      </c>
      <c r="D21" s="10">
        <f t="shared" si="10"/>
        <v>33116</v>
      </c>
      <c r="E21" s="11">
        <f t="shared" si="10"/>
        <v>316.72605387124054</v>
      </c>
      <c r="F21" s="10">
        <f t="shared" si="10"/>
        <v>22994</v>
      </c>
      <c r="G21" s="10">
        <f t="shared" si="10"/>
        <v>2519</v>
      </c>
      <c r="H21" s="11">
        <f t="shared" si="10"/>
        <v>912.82254863040885</v>
      </c>
      <c r="I21" s="10">
        <f t="shared" si="10"/>
        <v>137094</v>
      </c>
      <c r="J21" s="10">
        <f t="shared" si="10"/>
        <v>30756</v>
      </c>
      <c r="K21" s="11">
        <f t="shared" si="10"/>
        <v>445.74717128365194</v>
      </c>
      <c r="L21" s="10">
        <f>L143</f>
        <v>0</v>
      </c>
      <c r="M21" s="10">
        <f t="shared" si="10"/>
        <v>0</v>
      </c>
      <c r="N21" s="11">
        <f t="shared" si="10"/>
        <v>0</v>
      </c>
      <c r="O21" s="10">
        <f t="shared" si="10"/>
        <v>136</v>
      </c>
      <c r="P21" s="11">
        <f t="shared" si="10"/>
        <v>73.161764705882348</v>
      </c>
      <c r="Q21" s="10">
        <f t="shared" si="10"/>
        <v>135</v>
      </c>
      <c r="R21" s="12">
        <f t="shared" si="1"/>
        <v>9950</v>
      </c>
    </row>
    <row r="22" spans="1:18" ht="33" x14ac:dyDescent="0.25">
      <c r="A22" s="7">
        <v>11</v>
      </c>
      <c r="B22" s="141" t="s">
        <v>187</v>
      </c>
      <c r="C22" s="5">
        <f t="shared" ref="C22:P22" si="11">C199</f>
        <v>494916.7</v>
      </c>
      <c r="D22" s="10">
        <f t="shared" si="11"/>
        <v>664628.19999999995</v>
      </c>
      <c r="E22" s="11">
        <f t="shared" si="11"/>
        <v>74.465197233581122</v>
      </c>
      <c r="F22" s="10">
        <f t="shared" si="11"/>
        <v>92765.7</v>
      </c>
      <c r="G22" s="10">
        <f t="shared" si="11"/>
        <v>163299.9</v>
      </c>
      <c r="H22" s="11">
        <f t="shared" si="11"/>
        <v>56.806954566414312</v>
      </c>
      <c r="I22" s="10">
        <f t="shared" si="11"/>
        <v>311697.90000000002</v>
      </c>
      <c r="J22" s="10">
        <f t="shared" si="11"/>
        <v>515455.7</v>
      </c>
      <c r="K22" s="11">
        <f t="shared" si="11"/>
        <v>60.470356618425214</v>
      </c>
      <c r="L22" s="10">
        <f t="shared" si="11"/>
        <v>47506.5</v>
      </c>
      <c r="M22" s="10">
        <f t="shared" si="11"/>
        <v>248794</v>
      </c>
      <c r="N22" s="11">
        <f t="shared" si="11"/>
        <v>19.094712895005507</v>
      </c>
      <c r="O22" s="10">
        <f t="shared" si="11"/>
        <v>709</v>
      </c>
      <c r="P22" s="11">
        <f t="shared" si="11"/>
        <v>120.02157968970381</v>
      </c>
      <c r="Q22" s="10">
        <f>Q199</f>
        <v>699</v>
      </c>
      <c r="R22" s="12">
        <f t="shared" si="1"/>
        <v>85095.3</v>
      </c>
    </row>
    <row r="23" spans="1:18" ht="16.5" x14ac:dyDescent="0.25">
      <c r="A23" s="7">
        <v>12</v>
      </c>
      <c r="B23" s="141" t="s">
        <v>188</v>
      </c>
      <c r="C23" s="5">
        <f t="shared" ref="C23:P23" si="12">C204</f>
        <v>21763</v>
      </c>
      <c r="D23" s="10">
        <f t="shared" si="12"/>
        <v>77041</v>
      </c>
      <c r="E23" s="11">
        <f t="shared" si="12"/>
        <v>28.248594904012148</v>
      </c>
      <c r="F23" s="10">
        <f t="shared" si="12"/>
        <v>10189</v>
      </c>
      <c r="G23" s="10">
        <f t="shared" si="12"/>
        <v>51388</v>
      </c>
      <c r="H23" s="11">
        <f>H204</f>
        <v>19.827586206896552</v>
      </c>
      <c r="I23" s="10">
        <f t="shared" si="12"/>
        <v>21763</v>
      </c>
      <c r="J23" s="10">
        <f t="shared" si="12"/>
        <v>38743</v>
      </c>
      <c r="K23" s="11">
        <f t="shared" si="12"/>
        <v>56.172727976666749</v>
      </c>
      <c r="L23" s="10">
        <f t="shared" si="12"/>
        <v>21648</v>
      </c>
      <c r="M23" s="10">
        <f t="shared" si="12"/>
        <v>38436</v>
      </c>
      <c r="N23" s="11">
        <f t="shared" si="12"/>
        <v>56.322197939431781</v>
      </c>
      <c r="O23" s="10">
        <f>O204</f>
        <v>237</v>
      </c>
      <c r="P23" s="11">
        <f t="shared" si="12"/>
        <v>62.438818565400844</v>
      </c>
      <c r="Q23" s="10">
        <f>Q204</f>
        <v>241</v>
      </c>
      <c r="R23" s="12"/>
    </row>
    <row r="24" spans="1:18" s="16" customFormat="1" x14ac:dyDescent="0.25">
      <c r="A24" s="169"/>
      <c r="B24" s="169" t="s">
        <v>189</v>
      </c>
      <c r="C24" s="13">
        <f>SUM(C12:C23)</f>
        <v>115199913.4446153</v>
      </c>
      <c r="D24" s="13">
        <f>SUM(D12:D23)</f>
        <v>115023409.90960701</v>
      </c>
      <c r="E24" s="14">
        <f>C24/D24*100</f>
        <v>100.15345009780792</v>
      </c>
      <c r="F24" s="13">
        <f>SUM(F12:F23)</f>
        <v>31775102.665100001</v>
      </c>
      <c r="G24" s="13">
        <f>SUM(G12:G23)</f>
        <v>32076445.6179858</v>
      </c>
      <c r="H24" s="14">
        <f>F24/G24*100</f>
        <v>99.060547554194002</v>
      </c>
      <c r="I24" s="13">
        <f>SUM(I12:I23)</f>
        <v>107840482.64461531</v>
      </c>
      <c r="J24" s="13">
        <f>SUM(J12:J23)</f>
        <v>113589991.40960701</v>
      </c>
      <c r="K24" s="14">
        <f>I24/J24*100</f>
        <v>94.938366757807998</v>
      </c>
      <c r="L24" s="13">
        <f>SUM(L12:L23)</f>
        <v>80481398.244615301</v>
      </c>
      <c r="M24" s="13">
        <f>SUM(M12:M23)</f>
        <v>88275924.709607005</v>
      </c>
      <c r="N24" s="14">
        <f>L24/M24*100</f>
        <v>91.170269254462497</v>
      </c>
      <c r="O24" s="13">
        <f>SUM(O12:O23)</f>
        <v>20506</v>
      </c>
      <c r="P24" s="14">
        <f>R24/O24</f>
        <v>114.0422949380669</v>
      </c>
      <c r="Q24" s="13">
        <f>SUM(Q12:Q23)</f>
        <v>20507</v>
      </c>
      <c r="R24" s="15">
        <f>SUM(R12:R23)</f>
        <v>2338551.2999999998</v>
      </c>
    </row>
    <row r="25" spans="1:18" x14ac:dyDescent="0.2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7"/>
      <c r="Q25" s="17"/>
      <c r="R25" s="18"/>
    </row>
    <row r="26" spans="1:18" s="22" customFormat="1" x14ac:dyDescent="0.25">
      <c r="A26" s="19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20"/>
      <c r="Q26" s="20"/>
      <c r="R26" s="21"/>
    </row>
    <row r="27" spans="1:18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18" x14ac:dyDescent="0.25">
      <c r="A31" s="18"/>
      <c r="B31" s="18"/>
      <c r="C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spans="1:18" x14ac:dyDescent="0.25">
      <c r="A32" s="18"/>
      <c r="B32" s="18"/>
      <c r="C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</row>
    <row r="33" spans="1:18" x14ac:dyDescent="0.25">
      <c r="A33" s="18"/>
      <c r="B33" s="18"/>
      <c r="C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</row>
    <row r="34" spans="1:18" x14ac:dyDescent="0.25">
      <c r="A34" s="18"/>
      <c r="B34" s="18"/>
      <c r="C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</row>
    <row r="35" spans="1:18" x14ac:dyDescent="0.25">
      <c r="A35" s="18"/>
      <c r="B35" s="18"/>
      <c r="C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</row>
    <row r="36" spans="1:18" x14ac:dyDescent="0.25">
      <c r="A36" s="18"/>
      <c r="B36" s="18"/>
      <c r="C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</row>
    <row r="37" spans="1:18" s="24" customFormat="1" ht="14.25" x14ac:dyDescent="0.2">
      <c r="A37" s="325" t="s">
        <v>197</v>
      </c>
      <c r="B37" s="325"/>
      <c r="C37" s="325"/>
      <c r="D37" s="325"/>
      <c r="E37" s="325"/>
      <c r="F37" s="325"/>
      <c r="G37" s="325"/>
      <c r="H37" s="325"/>
      <c r="I37" s="325"/>
      <c r="J37" s="325"/>
      <c r="K37" s="325"/>
      <c r="L37" s="325"/>
      <c r="M37" s="325"/>
      <c r="N37" s="325"/>
      <c r="O37" s="325"/>
      <c r="P37" s="325"/>
      <c r="Q37" s="325"/>
      <c r="R37" s="23"/>
    </row>
    <row r="38" spans="1:18" s="24" customFormat="1" ht="14.25" x14ac:dyDescent="0.2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23"/>
    </row>
    <row r="39" spans="1:18" s="24" customFormat="1" x14ac:dyDescent="0.2">
      <c r="A39" s="326"/>
      <c r="B39" s="326"/>
      <c r="C39" s="326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6"/>
      <c r="Q39" s="326"/>
      <c r="R39" s="25"/>
    </row>
    <row r="40" spans="1:18" x14ac:dyDescent="0.25">
      <c r="A40" s="327" t="s">
        <v>0</v>
      </c>
      <c r="B40" s="329" t="s">
        <v>24</v>
      </c>
      <c r="C40" s="331" t="s">
        <v>172</v>
      </c>
      <c r="D40" s="331"/>
      <c r="E40" s="331"/>
      <c r="F40" s="331"/>
      <c r="G40" s="331"/>
      <c r="H40" s="331" t="s">
        <v>2</v>
      </c>
      <c r="I40" s="331"/>
      <c r="J40" s="331"/>
      <c r="K40" s="331"/>
      <c r="L40" s="174"/>
      <c r="M40" s="174" t="s">
        <v>3</v>
      </c>
      <c r="N40" s="27"/>
      <c r="O40" s="329" t="s">
        <v>25</v>
      </c>
      <c r="P40" s="332" t="s">
        <v>26</v>
      </c>
      <c r="Q40" s="329" t="s">
        <v>27</v>
      </c>
      <c r="R40" s="28"/>
    </row>
    <row r="41" spans="1:18" ht="60" x14ac:dyDescent="0.25">
      <c r="A41" s="328"/>
      <c r="B41" s="330"/>
      <c r="C41" s="173" t="s">
        <v>7</v>
      </c>
      <c r="D41" s="173" t="s">
        <v>28</v>
      </c>
      <c r="E41" s="30" t="s">
        <v>29</v>
      </c>
      <c r="F41" s="173" t="s">
        <v>10</v>
      </c>
      <c r="G41" s="173" t="s">
        <v>30</v>
      </c>
      <c r="H41" s="30" t="s">
        <v>29</v>
      </c>
      <c r="I41" s="173" t="s">
        <v>11</v>
      </c>
      <c r="J41" s="173" t="s">
        <v>28</v>
      </c>
      <c r="K41" s="30" t="s">
        <v>29</v>
      </c>
      <c r="L41" s="173" t="s">
        <v>11</v>
      </c>
      <c r="M41" s="173" t="s">
        <v>28</v>
      </c>
      <c r="N41" s="30" t="s">
        <v>29</v>
      </c>
      <c r="O41" s="330"/>
      <c r="P41" s="333"/>
      <c r="Q41" s="330"/>
      <c r="R41" s="31"/>
    </row>
    <row r="42" spans="1:18" x14ac:dyDescent="0.25">
      <c r="A42" s="32"/>
      <c r="B42" s="33" t="s">
        <v>31</v>
      </c>
      <c r="C42" s="32"/>
      <c r="D42" s="32"/>
      <c r="E42" s="32"/>
      <c r="F42" s="32"/>
      <c r="G42" s="32"/>
      <c r="H42" s="32"/>
      <c r="I42" s="32"/>
      <c r="J42" s="32"/>
      <c r="K42" s="34"/>
      <c r="L42" s="32"/>
      <c r="M42" s="32"/>
      <c r="N42" s="32"/>
      <c r="O42" s="32"/>
      <c r="P42" s="35"/>
      <c r="Q42" s="35"/>
      <c r="R42" s="36"/>
    </row>
    <row r="43" spans="1:18" x14ac:dyDescent="0.25">
      <c r="A43" s="319" t="s">
        <v>32</v>
      </c>
      <c r="B43" s="320"/>
      <c r="C43" s="37">
        <v>3</v>
      </c>
      <c r="D43" s="37">
        <v>4</v>
      </c>
      <c r="E43" s="172">
        <v>5</v>
      </c>
      <c r="F43" s="37">
        <v>6</v>
      </c>
      <c r="G43" s="37">
        <v>7</v>
      </c>
      <c r="H43" s="37">
        <v>8</v>
      </c>
      <c r="I43" s="37">
        <v>9</v>
      </c>
      <c r="J43" s="37">
        <v>10</v>
      </c>
      <c r="K43" s="37">
        <v>11</v>
      </c>
      <c r="L43" s="37">
        <v>12</v>
      </c>
      <c r="M43" s="37">
        <v>13</v>
      </c>
      <c r="N43" s="37">
        <v>14</v>
      </c>
      <c r="O43" s="37">
        <v>15</v>
      </c>
      <c r="P43" s="172">
        <v>16</v>
      </c>
      <c r="Q43" s="37">
        <v>17</v>
      </c>
      <c r="R43" s="39"/>
    </row>
    <row r="44" spans="1:18" x14ac:dyDescent="0.25">
      <c r="A44" s="40">
        <v>1</v>
      </c>
      <c r="B44" s="41" t="s">
        <v>33</v>
      </c>
      <c r="C44" s="42">
        <v>52589</v>
      </c>
      <c r="D44" s="42">
        <v>50078</v>
      </c>
      <c r="E44" s="43">
        <f t="shared" ref="E44:E61" si="13">C44/D44*100</f>
        <v>105.01417788250329</v>
      </c>
      <c r="F44" s="42">
        <v>20388</v>
      </c>
      <c r="G44" s="42">
        <v>15499</v>
      </c>
      <c r="H44" s="43">
        <f>F44/G44*100</f>
        <v>131.54397057874704</v>
      </c>
      <c r="I44" s="42">
        <v>45089</v>
      </c>
      <c r="J44" s="42">
        <v>41978</v>
      </c>
      <c r="K44" s="43">
        <f>I44/J44*100</f>
        <v>107.41102482252609</v>
      </c>
      <c r="L44" s="42">
        <v>3649</v>
      </c>
      <c r="M44" s="42">
        <v>0</v>
      </c>
      <c r="N44" s="43">
        <v>0</v>
      </c>
      <c r="O44" s="175">
        <v>91</v>
      </c>
      <c r="P44" s="44">
        <v>75</v>
      </c>
      <c r="Q44" s="175">
        <v>93</v>
      </c>
      <c r="R44" s="45">
        <f t="shared" ref="R44:R60" si="14">Q44*P44</f>
        <v>6975</v>
      </c>
    </row>
    <row r="45" spans="1:18" x14ac:dyDescent="0.25">
      <c r="A45" s="40">
        <v>2</v>
      </c>
      <c r="B45" s="41" t="s">
        <v>34</v>
      </c>
      <c r="C45" s="42">
        <v>0</v>
      </c>
      <c r="D45" s="42">
        <v>0</v>
      </c>
      <c r="E45" s="43">
        <v>0</v>
      </c>
      <c r="F45" s="42">
        <v>0</v>
      </c>
      <c r="G45" s="42">
        <v>0</v>
      </c>
      <c r="H45" s="43">
        <v>0</v>
      </c>
      <c r="I45" s="42">
        <v>0</v>
      </c>
      <c r="J45" s="42">
        <v>0</v>
      </c>
      <c r="K45" s="43">
        <v>0</v>
      </c>
      <c r="L45" s="42">
        <v>0</v>
      </c>
      <c r="M45" s="42">
        <v>0</v>
      </c>
      <c r="N45" s="47">
        <v>0</v>
      </c>
      <c r="O45" s="175">
        <v>0</v>
      </c>
      <c r="P45" s="44">
        <v>0</v>
      </c>
      <c r="Q45" s="175">
        <v>0</v>
      </c>
      <c r="R45" s="45">
        <f t="shared" si="14"/>
        <v>0</v>
      </c>
    </row>
    <row r="46" spans="1:18" x14ac:dyDescent="0.25">
      <c r="A46" s="40">
        <v>3</v>
      </c>
      <c r="B46" s="41" t="s">
        <v>35</v>
      </c>
      <c r="C46" s="42">
        <v>18811</v>
      </c>
      <c r="D46" s="42">
        <v>27361</v>
      </c>
      <c r="E46" s="43">
        <f t="shared" si="13"/>
        <v>68.751142136617815</v>
      </c>
      <c r="F46" s="42">
        <v>6178</v>
      </c>
      <c r="G46" s="42">
        <v>7000</v>
      </c>
      <c r="H46" s="43">
        <f t="shared" ref="H46:H49" si="15">F46/G46*100</f>
        <v>88.257142857142853</v>
      </c>
      <c r="I46" s="42">
        <v>35645</v>
      </c>
      <c r="J46" s="42">
        <v>23477</v>
      </c>
      <c r="K46" s="43">
        <f t="shared" ref="K46:K61" si="16">I46/J46*100</f>
        <v>151.82945010009797</v>
      </c>
      <c r="L46" s="42">
        <v>0</v>
      </c>
      <c r="M46" s="42">
        <v>3976</v>
      </c>
      <c r="N46" s="43">
        <v>0</v>
      </c>
      <c r="O46" s="175">
        <v>33</v>
      </c>
      <c r="P46" s="44">
        <v>80</v>
      </c>
      <c r="Q46" s="175">
        <v>21</v>
      </c>
      <c r="R46" s="45">
        <f t="shared" si="14"/>
        <v>1680</v>
      </c>
    </row>
    <row r="47" spans="1:18" x14ac:dyDescent="0.25">
      <c r="A47" s="40">
        <v>4</v>
      </c>
      <c r="B47" s="41" t="s">
        <v>36</v>
      </c>
      <c r="C47" s="42">
        <v>3580</v>
      </c>
      <c r="D47" s="42">
        <v>4080</v>
      </c>
      <c r="E47" s="43">
        <f t="shared" si="13"/>
        <v>87.745098039215691</v>
      </c>
      <c r="F47" s="42">
        <v>2400</v>
      </c>
      <c r="G47" s="42">
        <v>2640</v>
      </c>
      <c r="H47" s="43">
        <f t="shared" si="15"/>
        <v>90.909090909090907</v>
      </c>
      <c r="I47" s="42">
        <v>3180</v>
      </c>
      <c r="J47" s="42">
        <v>10691</v>
      </c>
      <c r="K47" s="43">
        <f t="shared" si="16"/>
        <v>29.744645028528673</v>
      </c>
      <c r="L47" s="42">
        <v>3180</v>
      </c>
      <c r="M47" s="42">
        <f>9682+1009</f>
        <v>10691</v>
      </c>
      <c r="N47" s="43">
        <v>0</v>
      </c>
      <c r="O47" s="175">
        <v>21</v>
      </c>
      <c r="P47" s="44">
        <v>60</v>
      </c>
      <c r="Q47" s="175">
        <v>21</v>
      </c>
      <c r="R47" s="45">
        <f t="shared" si="14"/>
        <v>1260</v>
      </c>
    </row>
    <row r="48" spans="1:18" x14ac:dyDescent="0.25">
      <c r="A48" s="40">
        <v>5</v>
      </c>
      <c r="B48" s="41" t="s">
        <v>37</v>
      </c>
      <c r="C48" s="48">
        <v>17494</v>
      </c>
      <c r="D48" s="48">
        <v>35636</v>
      </c>
      <c r="E48" s="43">
        <f t="shared" si="13"/>
        <v>49.09080704905152</v>
      </c>
      <c r="F48" s="48">
        <v>4752</v>
      </c>
      <c r="G48" s="48">
        <v>11607</v>
      </c>
      <c r="H48" s="43">
        <f t="shared" si="15"/>
        <v>40.940811579219435</v>
      </c>
      <c r="I48" s="48">
        <v>21815</v>
      </c>
      <c r="J48" s="48">
        <v>38351</v>
      </c>
      <c r="K48" s="43">
        <f t="shared" si="16"/>
        <v>56.882480248233428</v>
      </c>
      <c r="L48" s="48">
        <v>3293</v>
      </c>
      <c r="M48" s="48">
        <v>1815</v>
      </c>
      <c r="N48" s="43">
        <f t="shared" ref="N48" si="17">L48/M48*100</f>
        <v>181.43250688705234</v>
      </c>
      <c r="O48" s="175">
        <v>54</v>
      </c>
      <c r="P48" s="44">
        <v>53</v>
      </c>
      <c r="Q48" s="175">
        <v>53</v>
      </c>
      <c r="R48" s="45">
        <f t="shared" si="14"/>
        <v>2809</v>
      </c>
    </row>
    <row r="49" spans="1:18" x14ac:dyDescent="0.25">
      <c r="A49" s="40">
        <v>6</v>
      </c>
      <c r="B49" s="41" t="s">
        <v>38</v>
      </c>
      <c r="C49" s="49">
        <v>17918</v>
      </c>
      <c r="D49" s="42">
        <v>23669</v>
      </c>
      <c r="E49" s="43">
        <f t="shared" si="13"/>
        <v>75.702395538468039</v>
      </c>
      <c r="F49" s="42">
        <v>6042</v>
      </c>
      <c r="G49" s="42">
        <v>10142</v>
      </c>
      <c r="H49" s="43">
        <f t="shared" si="15"/>
        <v>59.574048511141783</v>
      </c>
      <c r="I49" s="42">
        <v>10160</v>
      </c>
      <c r="J49" s="42">
        <v>20387</v>
      </c>
      <c r="K49" s="43">
        <f t="shared" si="16"/>
        <v>49.835679599744935</v>
      </c>
      <c r="L49" s="42">
        <v>0</v>
      </c>
      <c r="M49" s="42">
        <v>0</v>
      </c>
      <c r="N49" s="43">
        <v>0</v>
      </c>
      <c r="O49" s="175">
        <v>62</v>
      </c>
      <c r="P49" s="44">
        <v>60</v>
      </c>
      <c r="Q49" s="175">
        <v>64</v>
      </c>
      <c r="R49" s="45">
        <f t="shared" si="14"/>
        <v>3840</v>
      </c>
    </row>
    <row r="50" spans="1:18" x14ac:dyDescent="0.25">
      <c r="A50" s="40">
        <v>7</v>
      </c>
      <c r="B50" s="41" t="s">
        <v>39</v>
      </c>
      <c r="C50" s="42">
        <v>0</v>
      </c>
      <c r="D50" s="42">
        <v>300</v>
      </c>
      <c r="E50" s="43">
        <v>0</v>
      </c>
      <c r="F50" s="42">
        <v>0</v>
      </c>
      <c r="G50" s="42">
        <v>0</v>
      </c>
      <c r="H50" s="43">
        <v>0</v>
      </c>
      <c r="I50" s="42">
        <v>0</v>
      </c>
      <c r="J50" s="42">
        <v>300</v>
      </c>
      <c r="K50" s="43">
        <v>0</v>
      </c>
      <c r="L50" s="42">
        <v>0</v>
      </c>
      <c r="M50" s="42">
        <v>0</v>
      </c>
      <c r="N50" s="43">
        <v>0</v>
      </c>
      <c r="O50" s="175">
        <v>22</v>
      </c>
      <c r="P50" s="44">
        <v>70</v>
      </c>
      <c r="Q50" s="175">
        <v>24</v>
      </c>
      <c r="R50" s="45">
        <f t="shared" si="14"/>
        <v>1680</v>
      </c>
    </row>
    <row r="51" spans="1:18" x14ac:dyDescent="0.25">
      <c r="A51" s="40">
        <v>8</v>
      </c>
      <c r="B51" s="41" t="s">
        <v>41</v>
      </c>
      <c r="C51" s="51">
        <v>25200</v>
      </c>
      <c r="D51" s="42">
        <v>33783</v>
      </c>
      <c r="E51" s="43">
        <f t="shared" si="13"/>
        <v>74.593730574549326</v>
      </c>
      <c r="F51" s="42">
        <v>6508</v>
      </c>
      <c r="G51" s="42">
        <v>9341</v>
      </c>
      <c r="H51" s="43">
        <f t="shared" ref="H51:H61" si="18">F51/G51*100</f>
        <v>69.671341398137244</v>
      </c>
      <c r="I51" s="42">
        <v>25633</v>
      </c>
      <c r="J51" s="42">
        <v>34046</v>
      </c>
      <c r="K51" s="43">
        <f t="shared" si="16"/>
        <v>75.289314456911242</v>
      </c>
      <c r="L51" s="42">
        <v>0</v>
      </c>
      <c r="M51" s="42">
        <v>0</v>
      </c>
      <c r="N51" s="43">
        <v>0</v>
      </c>
      <c r="O51" s="175">
        <v>47</v>
      </c>
      <c r="P51" s="44">
        <v>74</v>
      </c>
      <c r="Q51" s="175">
        <v>48</v>
      </c>
      <c r="R51" s="45">
        <f t="shared" si="14"/>
        <v>3552</v>
      </c>
    </row>
    <row r="52" spans="1:18" x14ac:dyDescent="0.25">
      <c r="A52" s="40">
        <v>9</v>
      </c>
      <c r="B52" s="41" t="s">
        <v>42</v>
      </c>
      <c r="C52" s="51">
        <v>78919</v>
      </c>
      <c r="D52" s="42">
        <v>64870</v>
      </c>
      <c r="E52" s="52">
        <f t="shared" si="13"/>
        <v>121.65716047479576</v>
      </c>
      <c r="F52" s="42">
        <v>23604</v>
      </c>
      <c r="G52" s="42">
        <v>26026</v>
      </c>
      <c r="H52" s="43">
        <f t="shared" si="18"/>
        <v>90.693921463152222</v>
      </c>
      <c r="I52" s="42">
        <v>66760</v>
      </c>
      <c r="J52" s="53">
        <v>59223</v>
      </c>
      <c r="K52" s="43">
        <f t="shared" si="16"/>
        <v>112.72647451159179</v>
      </c>
      <c r="L52" s="42">
        <v>0</v>
      </c>
      <c r="M52" s="42">
        <v>0</v>
      </c>
      <c r="N52" s="43">
        <v>0</v>
      </c>
      <c r="O52" s="175">
        <v>80</v>
      </c>
      <c r="P52" s="44">
        <v>95</v>
      </c>
      <c r="Q52" s="175">
        <v>77</v>
      </c>
      <c r="R52" s="45">
        <f t="shared" si="14"/>
        <v>7315</v>
      </c>
    </row>
    <row r="53" spans="1:18" x14ac:dyDescent="0.25">
      <c r="A53" s="40">
        <v>10</v>
      </c>
      <c r="B53" s="41" t="s">
        <v>43</v>
      </c>
      <c r="C53" s="51">
        <v>548554</v>
      </c>
      <c r="D53" s="42">
        <v>275843</v>
      </c>
      <c r="E53" s="43">
        <f t="shared" si="13"/>
        <v>198.86457151350587</v>
      </c>
      <c r="F53" s="51">
        <v>197607</v>
      </c>
      <c r="G53" s="42">
        <v>81978</v>
      </c>
      <c r="H53" s="43">
        <f t="shared" si="18"/>
        <v>241.04881797555441</v>
      </c>
      <c r="I53" s="42">
        <v>315247</v>
      </c>
      <c r="J53" s="42">
        <v>289451</v>
      </c>
      <c r="K53" s="43">
        <f t="shared" si="16"/>
        <v>108.91204383470779</v>
      </c>
      <c r="L53" s="42">
        <v>314934</v>
      </c>
      <c r="M53" s="42">
        <v>288214</v>
      </c>
      <c r="N53" s="43">
        <f t="shared" ref="N53:N55" si="19">L53/M53*100</f>
        <v>109.27088899220718</v>
      </c>
      <c r="O53" s="175">
        <v>230</v>
      </c>
      <c r="P53" s="44">
        <v>84</v>
      </c>
      <c r="Q53" s="175">
        <v>222</v>
      </c>
      <c r="R53" s="45">
        <f t="shared" si="14"/>
        <v>18648</v>
      </c>
    </row>
    <row r="54" spans="1:18" x14ac:dyDescent="0.25">
      <c r="A54" s="40">
        <v>11</v>
      </c>
      <c r="B54" s="41" t="s">
        <v>44</v>
      </c>
      <c r="C54" s="51">
        <v>1190</v>
      </c>
      <c r="D54" s="42">
        <v>6789</v>
      </c>
      <c r="E54" s="43">
        <f t="shared" si="13"/>
        <v>17.528354691412577</v>
      </c>
      <c r="F54" s="42">
        <v>0</v>
      </c>
      <c r="G54" s="42">
        <v>1372</v>
      </c>
      <c r="H54" s="43">
        <v>0</v>
      </c>
      <c r="I54" s="42">
        <v>2452</v>
      </c>
      <c r="J54" s="42">
        <v>14500</v>
      </c>
      <c r="K54" s="43">
        <f t="shared" si="16"/>
        <v>16.910344827586208</v>
      </c>
      <c r="L54" s="42">
        <v>2452</v>
      </c>
      <c r="M54" s="42">
        <v>14500</v>
      </c>
      <c r="N54" s="43">
        <f t="shared" si="19"/>
        <v>16.910344827586208</v>
      </c>
      <c r="O54" s="175">
        <v>24</v>
      </c>
      <c r="P54" s="44">
        <v>65</v>
      </c>
      <c r="Q54" s="175">
        <v>24</v>
      </c>
      <c r="R54" s="45">
        <f t="shared" si="14"/>
        <v>1560</v>
      </c>
    </row>
    <row r="55" spans="1:18" x14ac:dyDescent="0.25">
      <c r="A55" s="40">
        <v>12</v>
      </c>
      <c r="B55" s="41" t="s">
        <v>45</v>
      </c>
      <c r="C55" s="42">
        <v>32634</v>
      </c>
      <c r="D55" s="42">
        <v>31088</v>
      </c>
      <c r="E55" s="43">
        <f t="shared" si="13"/>
        <v>104.97297992794647</v>
      </c>
      <c r="F55" s="54">
        <v>9994</v>
      </c>
      <c r="G55" s="54">
        <v>6336</v>
      </c>
      <c r="H55" s="43">
        <f t="shared" si="18"/>
        <v>157.73358585858585</v>
      </c>
      <c r="I55" s="54">
        <v>29049</v>
      </c>
      <c r="J55" s="54">
        <v>28513</v>
      </c>
      <c r="K55" s="43">
        <f t="shared" si="16"/>
        <v>101.87984428155579</v>
      </c>
      <c r="L55" s="55">
        <v>29049</v>
      </c>
      <c r="M55" s="54">
        <v>27847</v>
      </c>
      <c r="N55" s="43">
        <f t="shared" si="19"/>
        <v>104.31644342298992</v>
      </c>
      <c r="O55" s="175">
        <v>27</v>
      </c>
      <c r="P55" s="44">
        <v>109</v>
      </c>
      <c r="Q55" s="175">
        <v>27</v>
      </c>
      <c r="R55" s="45">
        <f t="shared" si="14"/>
        <v>2943</v>
      </c>
    </row>
    <row r="56" spans="1:18" x14ac:dyDescent="0.25">
      <c r="A56" s="40">
        <v>13</v>
      </c>
      <c r="B56" s="41" t="s">
        <v>46</v>
      </c>
      <c r="C56" s="49">
        <v>132941</v>
      </c>
      <c r="D56" s="49">
        <v>121960</v>
      </c>
      <c r="E56" s="43">
        <f t="shared" si="13"/>
        <v>109.00377172843557</v>
      </c>
      <c r="F56" s="49">
        <v>30507</v>
      </c>
      <c r="G56" s="49">
        <v>32739</v>
      </c>
      <c r="H56" s="43">
        <f t="shared" si="18"/>
        <v>93.182442957940069</v>
      </c>
      <c r="I56" s="42">
        <v>111177</v>
      </c>
      <c r="J56" s="42">
        <v>123431</v>
      </c>
      <c r="K56" s="43">
        <f t="shared" si="16"/>
        <v>90.072186079672051</v>
      </c>
      <c r="L56" s="49">
        <v>0</v>
      </c>
      <c r="M56" s="49">
        <v>0</v>
      </c>
      <c r="N56" s="43">
        <v>0</v>
      </c>
      <c r="O56" s="175">
        <v>75</v>
      </c>
      <c r="P56" s="44">
        <v>112</v>
      </c>
      <c r="Q56" s="175">
        <v>80</v>
      </c>
      <c r="R56" s="45">
        <f t="shared" si="14"/>
        <v>8960</v>
      </c>
    </row>
    <row r="57" spans="1:18" x14ac:dyDescent="0.25">
      <c r="A57" s="40">
        <v>14</v>
      </c>
      <c r="B57" s="41" t="s">
        <v>47</v>
      </c>
      <c r="C57" s="175">
        <v>6666</v>
      </c>
      <c r="D57" s="175">
        <v>10320</v>
      </c>
      <c r="E57" s="47">
        <f t="shared" si="13"/>
        <v>64.593023255813947</v>
      </c>
      <c r="F57" s="175">
        <v>1748</v>
      </c>
      <c r="G57" s="175">
        <v>3511</v>
      </c>
      <c r="H57" s="47">
        <f t="shared" si="18"/>
        <v>49.786385645115352</v>
      </c>
      <c r="I57" s="175">
        <v>8301</v>
      </c>
      <c r="J57" s="175">
        <v>9973</v>
      </c>
      <c r="K57" s="47">
        <f t="shared" si="16"/>
        <v>83.234733781209272</v>
      </c>
      <c r="L57" s="175">
        <v>0</v>
      </c>
      <c r="M57" s="175">
        <v>0</v>
      </c>
      <c r="N57" s="43">
        <v>0</v>
      </c>
      <c r="O57" s="175">
        <v>13</v>
      </c>
      <c r="P57" s="44">
        <v>80</v>
      </c>
      <c r="Q57" s="175">
        <v>13</v>
      </c>
      <c r="R57" s="45">
        <f t="shared" si="14"/>
        <v>1040</v>
      </c>
    </row>
    <row r="58" spans="1:18" x14ac:dyDescent="0.25">
      <c r="A58" s="40">
        <v>15</v>
      </c>
      <c r="B58" s="41" t="s">
        <v>48</v>
      </c>
      <c r="C58" s="42">
        <v>20825</v>
      </c>
      <c r="D58" s="53">
        <v>610</v>
      </c>
      <c r="E58" s="47">
        <f t="shared" si="13"/>
        <v>3413.9344262295081</v>
      </c>
      <c r="F58" s="42">
        <v>20610</v>
      </c>
      <c r="G58" s="42">
        <v>450</v>
      </c>
      <c r="H58" s="47">
        <f t="shared" si="18"/>
        <v>4580</v>
      </c>
      <c r="I58" s="42">
        <v>38491</v>
      </c>
      <c r="J58" s="42">
        <v>625</v>
      </c>
      <c r="K58" s="47">
        <f t="shared" si="16"/>
        <v>6158.5599999999995</v>
      </c>
      <c r="L58" s="42">
        <v>38716</v>
      </c>
      <c r="M58" s="42">
        <v>0</v>
      </c>
      <c r="N58" s="43">
        <v>0</v>
      </c>
      <c r="O58" s="175">
        <v>52</v>
      </c>
      <c r="P58" s="44">
        <v>105</v>
      </c>
      <c r="Q58" s="175">
        <v>50</v>
      </c>
      <c r="R58" s="45">
        <f t="shared" si="14"/>
        <v>5250</v>
      </c>
    </row>
    <row r="59" spans="1:18" x14ac:dyDescent="0.25">
      <c r="A59" s="40">
        <v>16</v>
      </c>
      <c r="B59" s="41" t="s">
        <v>49</v>
      </c>
      <c r="C59" s="42">
        <v>800</v>
      </c>
      <c r="D59" s="53">
        <v>0</v>
      </c>
      <c r="E59" s="47">
        <v>0</v>
      </c>
      <c r="F59" s="42">
        <v>50</v>
      </c>
      <c r="G59" s="42">
        <v>0</v>
      </c>
      <c r="H59" s="47">
        <v>0</v>
      </c>
      <c r="I59" s="42">
        <v>800</v>
      </c>
      <c r="J59" s="42">
        <v>0</v>
      </c>
      <c r="K59" s="43">
        <v>0</v>
      </c>
      <c r="L59" s="42">
        <v>0</v>
      </c>
      <c r="M59" s="42">
        <v>0</v>
      </c>
      <c r="N59" s="43">
        <v>0</v>
      </c>
      <c r="O59" s="175">
        <v>3</v>
      </c>
      <c r="P59" s="44">
        <v>40</v>
      </c>
      <c r="Q59" s="175">
        <v>3</v>
      </c>
      <c r="R59" s="45">
        <f t="shared" si="14"/>
        <v>120</v>
      </c>
    </row>
    <row r="60" spans="1:18" x14ac:dyDescent="0.25">
      <c r="A60" s="40">
        <v>17</v>
      </c>
      <c r="B60" s="41" t="s">
        <v>169</v>
      </c>
      <c r="C60" s="175">
        <v>132800</v>
      </c>
      <c r="D60" s="175">
        <v>0</v>
      </c>
      <c r="E60" s="47">
        <v>0</v>
      </c>
      <c r="F60" s="175">
        <v>112000</v>
      </c>
      <c r="G60" s="175">
        <v>0</v>
      </c>
      <c r="H60" s="47">
        <v>0</v>
      </c>
      <c r="I60" s="175">
        <v>20800</v>
      </c>
      <c r="J60" s="175">
        <v>0</v>
      </c>
      <c r="K60" s="43">
        <v>0</v>
      </c>
      <c r="L60" s="175">
        <v>0</v>
      </c>
      <c r="M60" s="175">
        <v>0</v>
      </c>
      <c r="N60" s="47">
        <v>0</v>
      </c>
      <c r="O60" s="175">
        <v>13</v>
      </c>
      <c r="P60" s="44">
        <v>70</v>
      </c>
      <c r="Q60" s="175">
        <v>13</v>
      </c>
      <c r="R60" s="45">
        <f t="shared" si="14"/>
        <v>910</v>
      </c>
    </row>
    <row r="61" spans="1:18" s="60" customFormat="1" x14ac:dyDescent="0.25">
      <c r="A61" s="315" t="s">
        <v>50</v>
      </c>
      <c r="B61" s="315"/>
      <c r="C61" s="56">
        <f>SUM(C44:C60)</f>
        <v>1090921</v>
      </c>
      <c r="D61" s="56">
        <f>SUM(D44:D60)</f>
        <v>686387</v>
      </c>
      <c r="E61" s="57">
        <f t="shared" si="13"/>
        <v>158.93672228640693</v>
      </c>
      <c r="F61" s="56">
        <f>SUM(F44:F60)</f>
        <v>442388</v>
      </c>
      <c r="G61" s="56">
        <f>SUM(G44:G59)</f>
        <v>208641</v>
      </c>
      <c r="H61" s="57">
        <f t="shared" si="18"/>
        <v>212.03310950388467</v>
      </c>
      <c r="I61" s="56">
        <f>SUM(I44:I60)</f>
        <v>734599</v>
      </c>
      <c r="J61" s="56">
        <f>SUM(J44:J60)</f>
        <v>694946</v>
      </c>
      <c r="K61" s="57">
        <f t="shared" si="16"/>
        <v>105.70591096286618</v>
      </c>
      <c r="L61" s="56">
        <f>SUM(L44:L60)</f>
        <v>395273</v>
      </c>
      <c r="M61" s="56">
        <f>SUM(M44:M60)</f>
        <v>347043</v>
      </c>
      <c r="N61" s="57">
        <f>L61/M61*100</f>
        <v>113.89741328884317</v>
      </c>
      <c r="O61" s="56">
        <f>SUM(O44:O60)</f>
        <v>847</v>
      </c>
      <c r="P61" s="57">
        <f>R61/O61</f>
        <v>80.923258559622198</v>
      </c>
      <c r="Q61" s="56">
        <f>SUM(Q44:Q60)</f>
        <v>833</v>
      </c>
      <c r="R61" s="56">
        <f>SUM(R44:R60)</f>
        <v>68542</v>
      </c>
    </row>
    <row r="62" spans="1:18" x14ac:dyDescent="0.25">
      <c r="A62" s="175"/>
      <c r="B62" s="61"/>
      <c r="C62" s="175"/>
      <c r="D62" s="175"/>
      <c r="E62" s="175"/>
      <c r="F62" s="175"/>
      <c r="G62" s="175"/>
      <c r="H62" s="175"/>
      <c r="I62" s="175"/>
      <c r="J62" s="175"/>
      <c r="K62" s="34"/>
      <c r="L62" s="175"/>
      <c r="M62" s="175"/>
      <c r="N62" s="175"/>
      <c r="O62" s="175"/>
      <c r="P62" s="62"/>
      <c r="Q62" s="175"/>
      <c r="R62" s="39"/>
    </row>
    <row r="63" spans="1:18" x14ac:dyDescent="0.25">
      <c r="A63" s="319" t="s">
        <v>51</v>
      </c>
      <c r="B63" s="320"/>
      <c r="C63" s="37">
        <v>3</v>
      </c>
      <c r="D63" s="37">
        <v>4</v>
      </c>
      <c r="E63" s="172">
        <v>5</v>
      </c>
      <c r="F63" s="37">
        <v>6</v>
      </c>
      <c r="G63" s="37">
        <v>7</v>
      </c>
      <c r="H63" s="37">
        <v>8</v>
      </c>
      <c r="I63" s="37">
        <v>9</v>
      </c>
      <c r="J63" s="37">
        <v>10</v>
      </c>
      <c r="K63" s="37">
        <v>11</v>
      </c>
      <c r="L63" s="37">
        <v>12</v>
      </c>
      <c r="M63" s="37">
        <v>13</v>
      </c>
      <c r="N63" s="37">
        <v>14</v>
      </c>
      <c r="O63" s="37">
        <v>15</v>
      </c>
      <c r="P63" s="172">
        <v>16</v>
      </c>
      <c r="Q63" s="37">
        <v>17</v>
      </c>
      <c r="R63" s="39"/>
    </row>
    <row r="64" spans="1:18" s="66" customFormat="1" x14ac:dyDescent="0.25">
      <c r="A64" s="44">
        <v>1</v>
      </c>
      <c r="B64" s="63" t="s">
        <v>52</v>
      </c>
      <c r="C64" s="64">
        <v>194625</v>
      </c>
      <c r="D64" s="65">
        <v>122037</v>
      </c>
      <c r="E64" s="43">
        <f t="shared" ref="E64:E70" si="20">C64/D64*100</f>
        <v>159.48032154182746</v>
      </c>
      <c r="F64" s="65">
        <v>43266</v>
      </c>
      <c r="G64" s="68">
        <v>34831</v>
      </c>
      <c r="H64" s="43">
        <f>F64/G64*100</f>
        <v>124.21693319169704</v>
      </c>
      <c r="I64" s="65">
        <v>205183</v>
      </c>
      <c r="J64" s="65">
        <v>82145</v>
      </c>
      <c r="K64" s="43">
        <f t="shared" ref="K64:K70" si="21">I64/J64*100</f>
        <v>249.78148396128796</v>
      </c>
      <c r="L64" s="65">
        <f>188469+86981</f>
        <v>275450</v>
      </c>
      <c r="M64" s="65">
        <f>81513+6010</f>
        <v>87523</v>
      </c>
      <c r="N64" s="43">
        <f>L64/M64*100</f>
        <v>314.71727431646536</v>
      </c>
      <c r="O64" s="68">
        <v>156</v>
      </c>
      <c r="P64" s="65">
        <v>69</v>
      </c>
      <c r="Q64" s="68">
        <v>156</v>
      </c>
      <c r="R64" s="45">
        <f t="shared" ref="R64:R72" si="22">Q64*P64</f>
        <v>10764</v>
      </c>
    </row>
    <row r="65" spans="1:18" x14ac:dyDescent="0.25">
      <c r="A65" s="67">
        <v>2</v>
      </c>
      <c r="B65" s="63" t="s">
        <v>53</v>
      </c>
      <c r="C65" s="42">
        <v>32546</v>
      </c>
      <c r="D65" s="42">
        <v>33076</v>
      </c>
      <c r="E65" s="43">
        <f t="shared" si="20"/>
        <v>98.397629701293994</v>
      </c>
      <c r="F65" s="68">
        <v>4809</v>
      </c>
      <c r="G65" s="68">
        <v>8329</v>
      </c>
      <c r="H65" s="43">
        <f t="shared" ref="H65:H70" si="23">F65/G65*100</f>
        <v>57.738023772361622</v>
      </c>
      <c r="I65" s="68">
        <v>44123</v>
      </c>
      <c r="J65" s="68">
        <v>32680</v>
      </c>
      <c r="K65" s="43">
        <f t="shared" si="21"/>
        <v>135.01529987760097</v>
      </c>
      <c r="L65" s="68">
        <v>0</v>
      </c>
      <c r="M65" s="68">
        <v>3908</v>
      </c>
      <c r="N65" s="43">
        <v>0</v>
      </c>
      <c r="O65" s="68">
        <v>135</v>
      </c>
      <c r="P65" s="68">
        <v>105</v>
      </c>
      <c r="Q65" s="68">
        <v>135</v>
      </c>
      <c r="R65" s="45">
        <f t="shared" si="22"/>
        <v>14175</v>
      </c>
    </row>
    <row r="66" spans="1:18" x14ac:dyDescent="0.25">
      <c r="A66" s="67">
        <v>3</v>
      </c>
      <c r="B66" s="63" t="s">
        <v>54</v>
      </c>
      <c r="C66" s="68">
        <v>57924</v>
      </c>
      <c r="D66" s="68">
        <v>90959</v>
      </c>
      <c r="E66" s="43">
        <f t="shared" si="20"/>
        <v>63.681438890049357</v>
      </c>
      <c r="F66" s="68">
        <v>17684</v>
      </c>
      <c r="G66" s="68">
        <v>36406</v>
      </c>
      <c r="H66" s="43">
        <f t="shared" si="23"/>
        <v>48.574410811404711</v>
      </c>
      <c r="I66" s="68">
        <v>57924</v>
      </c>
      <c r="J66" s="68">
        <v>90959</v>
      </c>
      <c r="K66" s="43">
        <f t="shared" si="21"/>
        <v>63.681438890049357</v>
      </c>
      <c r="L66" s="68">
        <v>0</v>
      </c>
      <c r="M66" s="68">
        <v>0</v>
      </c>
      <c r="N66" s="43">
        <v>0</v>
      </c>
      <c r="O66" s="68">
        <v>117</v>
      </c>
      <c r="P66" s="68">
        <v>50</v>
      </c>
      <c r="Q66" s="68">
        <v>117</v>
      </c>
      <c r="R66" s="45">
        <f t="shared" si="22"/>
        <v>5850</v>
      </c>
    </row>
    <row r="67" spans="1:18" x14ac:dyDescent="0.25">
      <c r="A67" s="44">
        <v>4</v>
      </c>
      <c r="B67" s="63" t="s">
        <v>55</v>
      </c>
      <c r="C67" s="68">
        <v>121502</v>
      </c>
      <c r="D67" s="68">
        <v>113032</v>
      </c>
      <c r="E67" s="43">
        <f t="shared" si="20"/>
        <v>107.49345318139996</v>
      </c>
      <c r="F67" s="68">
        <v>25446</v>
      </c>
      <c r="G67" s="68">
        <v>30515</v>
      </c>
      <c r="H67" s="43">
        <f t="shared" si="23"/>
        <v>83.388497460265441</v>
      </c>
      <c r="I67" s="48">
        <v>135490</v>
      </c>
      <c r="J67" s="48">
        <v>113317</v>
      </c>
      <c r="K67" s="43">
        <f>I67/J67*100</f>
        <v>119.56723174810486</v>
      </c>
      <c r="L67" s="68">
        <v>96603</v>
      </c>
      <c r="M67" s="68">
        <f>57568+2313</f>
        <v>59881</v>
      </c>
      <c r="N67" s="43">
        <f t="shared" ref="N67:N69" si="24">L67/M67*100</f>
        <v>161.32496117299311</v>
      </c>
      <c r="O67" s="68">
        <v>63</v>
      </c>
      <c r="P67" s="68">
        <v>55</v>
      </c>
      <c r="Q67" s="68">
        <v>65</v>
      </c>
      <c r="R67" s="45">
        <f t="shared" si="22"/>
        <v>3575</v>
      </c>
    </row>
    <row r="68" spans="1:18" x14ac:dyDescent="0.25">
      <c r="A68" s="67">
        <v>5</v>
      </c>
      <c r="B68" s="63" t="s">
        <v>56</v>
      </c>
      <c r="C68" s="175">
        <v>68900</v>
      </c>
      <c r="D68" s="175">
        <v>54000</v>
      </c>
      <c r="E68" s="43">
        <f t="shared" si="20"/>
        <v>127.5925925925926</v>
      </c>
      <c r="F68" s="175">
        <v>32400</v>
      </c>
      <c r="G68" s="175">
        <v>20000</v>
      </c>
      <c r="H68" s="43">
        <f t="shared" si="23"/>
        <v>162</v>
      </c>
      <c r="I68" s="175">
        <v>47869</v>
      </c>
      <c r="J68" s="175">
        <v>41911</v>
      </c>
      <c r="K68" s="43">
        <f t="shared" ref="K68" si="25">I68/J68*100</f>
        <v>114.21583832406768</v>
      </c>
      <c r="L68" s="175">
        <v>47869</v>
      </c>
      <c r="M68" s="175">
        <v>41911</v>
      </c>
      <c r="N68" s="43">
        <f t="shared" si="24"/>
        <v>114.21583832406768</v>
      </c>
      <c r="O68" s="68">
        <v>35</v>
      </c>
      <c r="P68" s="44">
        <v>80</v>
      </c>
      <c r="Q68" s="68">
        <v>35</v>
      </c>
      <c r="R68" s="45">
        <f t="shared" si="22"/>
        <v>2800</v>
      </c>
    </row>
    <row r="69" spans="1:18" x14ac:dyDescent="0.25">
      <c r="A69" s="67">
        <v>6</v>
      </c>
      <c r="B69" s="63" t="s">
        <v>57</v>
      </c>
      <c r="C69" s="68">
        <v>16918</v>
      </c>
      <c r="D69" s="68">
        <v>22555</v>
      </c>
      <c r="E69" s="43">
        <f t="shared" si="20"/>
        <v>75.007758811793394</v>
      </c>
      <c r="F69" s="68">
        <v>5519</v>
      </c>
      <c r="G69" s="68">
        <v>7305</v>
      </c>
      <c r="H69" s="43">
        <f t="shared" si="23"/>
        <v>75.550992470910344</v>
      </c>
      <c r="I69" s="68">
        <v>18790</v>
      </c>
      <c r="J69" s="68">
        <v>25694</v>
      </c>
      <c r="K69" s="43">
        <f t="shared" si="21"/>
        <v>73.129913598505496</v>
      </c>
      <c r="L69" s="68">
        <v>18655</v>
      </c>
      <c r="M69" s="68">
        <v>25694</v>
      </c>
      <c r="N69" s="43">
        <f t="shared" si="24"/>
        <v>72.604499104849381</v>
      </c>
      <c r="O69" s="68">
        <v>46</v>
      </c>
      <c r="P69" s="68">
        <v>41</v>
      </c>
      <c r="Q69" s="68">
        <v>53</v>
      </c>
      <c r="R69" s="45">
        <f t="shared" si="22"/>
        <v>2173</v>
      </c>
    </row>
    <row r="70" spans="1:18" x14ac:dyDescent="0.25">
      <c r="A70" s="44">
        <v>7</v>
      </c>
      <c r="B70" s="63" t="s">
        <v>58</v>
      </c>
      <c r="C70" s="42">
        <v>18656</v>
      </c>
      <c r="D70" s="42">
        <v>30402</v>
      </c>
      <c r="E70" s="43">
        <f t="shared" si="20"/>
        <v>61.364383922110392</v>
      </c>
      <c r="F70" s="42">
        <v>9145</v>
      </c>
      <c r="G70" s="42">
        <v>6625</v>
      </c>
      <c r="H70" s="43">
        <f t="shared" si="23"/>
        <v>138.03773584905662</v>
      </c>
      <c r="I70" s="42">
        <v>27950</v>
      </c>
      <c r="J70" s="42">
        <v>31514</v>
      </c>
      <c r="K70" s="43">
        <f t="shared" si="21"/>
        <v>88.690740623215078</v>
      </c>
      <c r="L70" s="69">
        <v>27937</v>
      </c>
      <c r="M70" s="42">
        <v>31508</v>
      </c>
      <c r="N70" s="43">
        <f>L70/M70*100</f>
        <v>88.666370445601117</v>
      </c>
      <c r="O70" s="68">
        <v>40</v>
      </c>
      <c r="P70" s="68">
        <v>55</v>
      </c>
      <c r="Q70" s="68">
        <v>40</v>
      </c>
      <c r="R70" s="45">
        <f t="shared" si="22"/>
        <v>2200</v>
      </c>
    </row>
    <row r="71" spans="1:18" s="66" customFormat="1" x14ac:dyDescent="0.25">
      <c r="A71" s="67">
        <v>8</v>
      </c>
      <c r="B71" s="63" t="s">
        <v>59</v>
      </c>
      <c r="C71" s="42">
        <v>0</v>
      </c>
      <c r="D71" s="42">
        <v>0</v>
      </c>
      <c r="E71" s="43">
        <v>0</v>
      </c>
      <c r="F71" s="42">
        <v>0</v>
      </c>
      <c r="G71" s="42">
        <v>0</v>
      </c>
      <c r="H71" s="43">
        <v>0</v>
      </c>
      <c r="I71" s="42">
        <v>0</v>
      </c>
      <c r="J71" s="42">
        <v>0</v>
      </c>
      <c r="K71" s="43">
        <v>0</v>
      </c>
      <c r="L71" s="42">
        <v>0</v>
      </c>
      <c r="M71" s="42">
        <v>0</v>
      </c>
      <c r="N71" s="43">
        <v>0</v>
      </c>
      <c r="O71" s="68">
        <v>12</v>
      </c>
      <c r="P71" s="65">
        <v>75</v>
      </c>
      <c r="Q71" s="68">
        <v>12</v>
      </c>
      <c r="R71" s="45">
        <f t="shared" si="22"/>
        <v>900</v>
      </c>
    </row>
    <row r="72" spans="1:18" s="66" customFormat="1" x14ac:dyDescent="0.25">
      <c r="A72" s="67">
        <v>9</v>
      </c>
      <c r="B72" s="63" t="s">
        <v>60</v>
      </c>
      <c r="C72" s="175">
        <v>0</v>
      </c>
      <c r="D72" s="175">
        <v>0</v>
      </c>
      <c r="E72" s="175">
        <v>0</v>
      </c>
      <c r="F72" s="175">
        <v>0</v>
      </c>
      <c r="G72" s="175">
        <v>0</v>
      </c>
      <c r="H72" s="175">
        <v>0</v>
      </c>
      <c r="I72" s="175">
        <v>0</v>
      </c>
      <c r="J72" s="175">
        <v>0</v>
      </c>
      <c r="K72" s="175">
        <v>0</v>
      </c>
      <c r="L72" s="175">
        <v>0</v>
      </c>
      <c r="M72" s="175">
        <v>0</v>
      </c>
      <c r="N72" s="47">
        <v>0</v>
      </c>
      <c r="O72" s="68">
        <v>0</v>
      </c>
      <c r="P72" s="44">
        <v>0</v>
      </c>
      <c r="Q72" s="68">
        <v>0</v>
      </c>
      <c r="R72" s="45">
        <f t="shared" si="22"/>
        <v>0</v>
      </c>
    </row>
    <row r="73" spans="1:18" s="60" customFormat="1" x14ac:dyDescent="0.25">
      <c r="A73" s="334" t="s">
        <v>61</v>
      </c>
      <c r="B73" s="334"/>
      <c r="C73" s="70">
        <f>SUM(C64:C72)</f>
        <v>511071</v>
      </c>
      <c r="D73" s="70">
        <f>SUM(D64:D72)</f>
        <v>466061</v>
      </c>
      <c r="E73" s="71">
        <f>C73/D73*100</f>
        <v>109.65753409961356</v>
      </c>
      <c r="F73" s="70">
        <f>SUM(F64:F72)</f>
        <v>138269</v>
      </c>
      <c r="G73" s="70">
        <f>SUM(G64:G72)</f>
        <v>144011</v>
      </c>
      <c r="H73" s="71">
        <f>F73/G73*100</f>
        <v>96.012804577428113</v>
      </c>
      <c r="I73" s="72">
        <f>SUM(I64:I72)</f>
        <v>537329</v>
      </c>
      <c r="J73" s="70">
        <f>SUM(J64:J72)</f>
        <v>418220</v>
      </c>
      <c r="K73" s="71">
        <f>I73/J73*100</f>
        <v>128.47998660991823</v>
      </c>
      <c r="L73" s="70">
        <f>SUM(L64:L72)</f>
        <v>466514</v>
      </c>
      <c r="M73" s="70">
        <f>SUM(M64:M72)</f>
        <v>250425</v>
      </c>
      <c r="N73" s="71">
        <f>L73/M73*100</f>
        <v>186.28890885494661</v>
      </c>
      <c r="O73" s="72">
        <f>SUM(O64:O72)</f>
        <v>604</v>
      </c>
      <c r="P73" s="71">
        <f>R73/O73</f>
        <v>70.259933774834437</v>
      </c>
      <c r="Q73" s="70">
        <f>SUM(Q64:Q72)</f>
        <v>613</v>
      </c>
      <c r="R73" s="59">
        <f>SUM(R64:R72)</f>
        <v>42437</v>
      </c>
    </row>
    <row r="74" spans="1:18" x14ac:dyDescent="0.25">
      <c r="A74" s="39"/>
      <c r="B74" s="73"/>
      <c r="C74" s="39"/>
      <c r="D74" s="39"/>
      <c r="E74" s="39"/>
      <c r="F74" s="39"/>
      <c r="G74" s="39"/>
      <c r="H74" s="39"/>
      <c r="I74" s="39"/>
      <c r="J74" s="39"/>
      <c r="K74" s="74"/>
      <c r="L74" s="39"/>
      <c r="M74" s="39"/>
      <c r="N74" s="39"/>
      <c r="O74" s="39"/>
      <c r="P74" s="75"/>
      <c r="Q74" s="39"/>
      <c r="R74" s="39"/>
    </row>
    <row r="75" spans="1:18" x14ac:dyDescent="0.25">
      <c r="A75" s="319" t="s">
        <v>62</v>
      </c>
      <c r="B75" s="320"/>
      <c r="C75" s="37">
        <v>3</v>
      </c>
      <c r="D75" s="37">
        <v>4</v>
      </c>
      <c r="E75" s="172">
        <v>5</v>
      </c>
      <c r="F75" s="37">
        <v>6</v>
      </c>
      <c r="G75" s="37">
        <v>7</v>
      </c>
      <c r="H75" s="37">
        <v>8</v>
      </c>
      <c r="I75" s="37">
        <v>9</v>
      </c>
      <c r="J75" s="37">
        <v>10</v>
      </c>
      <c r="K75" s="37">
        <v>11</v>
      </c>
      <c r="L75" s="37">
        <v>12</v>
      </c>
      <c r="M75" s="37">
        <v>13</v>
      </c>
      <c r="N75" s="37">
        <v>14</v>
      </c>
      <c r="O75" s="37">
        <v>15</v>
      </c>
      <c r="P75" s="172">
        <v>16</v>
      </c>
      <c r="Q75" s="37">
        <v>17</v>
      </c>
      <c r="R75" s="39"/>
    </row>
    <row r="76" spans="1:18" x14ac:dyDescent="0.25">
      <c r="A76" s="40">
        <v>1</v>
      </c>
      <c r="B76" s="41" t="s">
        <v>63</v>
      </c>
      <c r="C76" s="175">
        <v>48715</v>
      </c>
      <c r="D76" s="175">
        <v>614</v>
      </c>
      <c r="E76" s="47">
        <f t="shared" ref="E76:E83" si="26">C76/D76*100</f>
        <v>7934.0390879478837</v>
      </c>
      <c r="F76" s="175">
        <v>6039</v>
      </c>
      <c r="G76" s="175">
        <v>12</v>
      </c>
      <c r="H76" s="47">
        <f t="shared" ref="H76:H83" si="27">F76/G76*100</f>
        <v>50325</v>
      </c>
      <c r="I76" s="175">
        <v>86652</v>
      </c>
      <c r="J76" s="175">
        <v>58524</v>
      </c>
      <c r="K76" s="47">
        <f>I76/J76*100</f>
        <v>148.06233340168134</v>
      </c>
      <c r="L76" s="175">
        <v>53172</v>
      </c>
      <c r="M76" s="175">
        <v>0</v>
      </c>
      <c r="N76" s="47">
        <v>0</v>
      </c>
      <c r="O76" s="175">
        <v>175</v>
      </c>
      <c r="P76" s="62">
        <v>55</v>
      </c>
      <c r="Q76" s="175">
        <v>170</v>
      </c>
      <c r="R76" s="45">
        <f t="shared" ref="R76:R83" si="28">Q76*P76</f>
        <v>9350</v>
      </c>
    </row>
    <row r="77" spans="1:18" x14ac:dyDescent="0.25">
      <c r="A77" s="40">
        <v>2</v>
      </c>
      <c r="B77" s="41" t="s">
        <v>40</v>
      </c>
      <c r="C77" s="51">
        <v>155484</v>
      </c>
      <c r="D77" s="51">
        <v>104076</v>
      </c>
      <c r="E77" s="47">
        <f t="shared" si="26"/>
        <v>149.39467312348668</v>
      </c>
      <c r="F77" s="51">
        <v>63540</v>
      </c>
      <c r="G77" s="51">
        <v>43994</v>
      </c>
      <c r="H77" s="47">
        <f t="shared" si="27"/>
        <v>144.42878574351047</v>
      </c>
      <c r="I77" s="51">
        <v>155558</v>
      </c>
      <c r="J77" s="51">
        <v>61358</v>
      </c>
      <c r="K77" s="47">
        <f t="shared" ref="K77:K83" si="29">I77/J77*100</f>
        <v>253.52521268620228</v>
      </c>
      <c r="L77" s="51">
        <v>155558</v>
      </c>
      <c r="M77" s="51">
        <v>61358</v>
      </c>
      <c r="N77" s="47">
        <f t="shared" ref="N77" si="30">L77/M77*100</f>
        <v>253.52521268620228</v>
      </c>
      <c r="O77" s="175">
        <v>23</v>
      </c>
      <c r="P77" s="44">
        <v>65</v>
      </c>
      <c r="Q77" s="175">
        <v>23</v>
      </c>
      <c r="R77" s="45">
        <f t="shared" si="28"/>
        <v>1495</v>
      </c>
    </row>
    <row r="78" spans="1:18" x14ac:dyDescent="0.25">
      <c r="A78" s="40">
        <v>3</v>
      </c>
      <c r="B78" s="41" t="s">
        <v>64</v>
      </c>
      <c r="C78" s="175">
        <v>22162</v>
      </c>
      <c r="D78" s="175">
        <v>2340</v>
      </c>
      <c r="E78" s="47">
        <f t="shared" si="26"/>
        <v>947.09401709401709</v>
      </c>
      <c r="F78" s="175">
        <v>4950</v>
      </c>
      <c r="G78" s="175">
        <v>1241</v>
      </c>
      <c r="H78" s="47">
        <f t="shared" si="27"/>
        <v>398.87187751813053</v>
      </c>
      <c r="I78" s="175">
        <v>20632</v>
      </c>
      <c r="J78" s="175">
        <v>2114</v>
      </c>
      <c r="K78" s="47">
        <f t="shared" si="29"/>
        <v>975.96972563859981</v>
      </c>
      <c r="L78" s="175">
        <v>3417</v>
      </c>
      <c r="M78" s="175">
        <v>0</v>
      </c>
      <c r="N78" s="47">
        <v>0</v>
      </c>
      <c r="O78" s="175">
        <v>58</v>
      </c>
      <c r="P78" s="62">
        <v>59</v>
      </c>
      <c r="Q78" s="175">
        <v>58</v>
      </c>
      <c r="R78" s="45">
        <f t="shared" si="28"/>
        <v>3422</v>
      </c>
    </row>
    <row r="79" spans="1:18" x14ac:dyDescent="0.25">
      <c r="A79" s="40">
        <v>4</v>
      </c>
      <c r="B79" s="41" t="s">
        <v>65</v>
      </c>
      <c r="C79" s="175">
        <v>7608</v>
      </c>
      <c r="D79" s="175">
        <v>7073</v>
      </c>
      <c r="E79" s="47">
        <f t="shared" si="26"/>
        <v>107.56397568217164</v>
      </c>
      <c r="F79" s="175">
        <v>3887</v>
      </c>
      <c r="G79" s="175">
        <v>2550</v>
      </c>
      <c r="H79" s="47">
        <f t="shared" si="27"/>
        <v>152.43137254901961</v>
      </c>
      <c r="I79" s="175">
        <v>8451</v>
      </c>
      <c r="J79" s="175">
        <v>4431</v>
      </c>
      <c r="K79" s="47">
        <f t="shared" si="29"/>
        <v>190.7244414353419</v>
      </c>
      <c r="L79" s="175">
        <v>0</v>
      </c>
      <c r="M79" s="175">
        <v>0</v>
      </c>
      <c r="N79" s="47">
        <v>0</v>
      </c>
      <c r="O79" s="175">
        <v>71</v>
      </c>
      <c r="P79" s="76">
        <v>50</v>
      </c>
      <c r="Q79" s="175">
        <v>73</v>
      </c>
      <c r="R79" s="45">
        <f t="shared" si="28"/>
        <v>3650</v>
      </c>
    </row>
    <row r="80" spans="1:18" x14ac:dyDescent="0.25">
      <c r="A80" s="40">
        <v>5</v>
      </c>
      <c r="B80" s="41" t="s">
        <v>66</v>
      </c>
      <c r="C80" s="175">
        <v>5849</v>
      </c>
      <c r="D80" s="175">
        <v>22378</v>
      </c>
      <c r="E80" s="47">
        <f t="shared" si="26"/>
        <v>26.137277683439091</v>
      </c>
      <c r="F80" s="175">
        <v>3650</v>
      </c>
      <c r="G80" s="175">
        <v>4950</v>
      </c>
      <c r="H80" s="47">
        <f t="shared" si="27"/>
        <v>73.73737373737373</v>
      </c>
      <c r="I80" s="175">
        <v>6304</v>
      </c>
      <c r="J80" s="175">
        <v>23464</v>
      </c>
      <c r="K80" s="47">
        <f t="shared" si="29"/>
        <v>26.866689396522332</v>
      </c>
      <c r="L80" s="175">
        <v>0</v>
      </c>
      <c r="M80" s="175">
        <v>0</v>
      </c>
      <c r="N80" s="47">
        <v>0</v>
      </c>
      <c r="O80" s="175">
        <v>65</v>
      </c>
      <c r="P80" s="62">
        <v>48</v>
      </c>
      <c r="Q80" s="175">
        <v>65</v>
      </c>
      <c r="R80" s="45">
        <f t="shared" si="28"/>
        <v>3120</v>
      </c>
    </row>
    <row r="81" spans="1:18" x14ac:dyDescent="0.25">
      <c r="A81" s="40">
        <v>6</v>
      </c>
      <c r="B81" s="41" t="s">
        <v>67</v>
      </c>
      <c r="C81" s="175">
        <v>573</v>
      </c>
      <c r="D81" s="175">
        <v>913</v>
      </c>
      <c r="E81" s="47">
        <f t="shared" si="26"/>
        <v>62.760131434830235</v>
      </c>
      <c r="F81" s="175">
        <v>62</v>
      </c>
      <c r="G81" s="175">
        <v>64</v>
      </c>
      <c r="H81" s="47">
        <f t="shared" si="27"/>
        <v>96.875</v>
      </c>
      <c r="I81" s="175">
        <v>755</v>
      </c>
      <c r="J81" s="175">
        <v>1481</v>
      </c>
      <c r="K81" s="47">
        <f t="shared" si="29"/>
        <v>50.979068197164082</v>
      </c>
      <c r="L81" s="175">
        <v>0</v>
      </c>
      <c r="M81" s="175">
        <v>45</v>
      </c>
      <c r="N81" s="47">
        <f t="shared" ref="N81" si="31">L81/M81*100</f>
        <v>0</v>
      </c>
      <c r="O81" s="175">
        <v>9</v>
      </c>
      <c r="P81" s="62">
        <v>35</v>
      </c>
      <c r="Q81" s="175">
        <v>9</v>
      </c>
      <c r="R81" s="45">
        <f t="shared" si="28"/>
        <v>315</v>
      </c>
    </row>
    <row r="82" spans="1:18" x14ac:dyDescent="0.25">
      <c r="A82" s="40">
        <v>7</v>
      </c>
      <c r="B82" s="41" t="s">
        <v>168</v>
      </c>
      <c r="C82" s="42">
        <v>187028</v>
      </c>
      <c r="D82" s="42">
        <v>120919</v>
      </c>
      <c r="E82" s="47">
        <f t="shared" si="26"/>
        <v>154.67213589262235</v>
      </c>
      <c r="F82" s="42">
        <v>35663</v>
      </c>
      <c r="G82" s="42">
        <v>13397</v>
      </c>
      <c r="H82" s="47">
        <f t="shared" si="27"/>
        <v>266.20138837053071</v>
      </c>
      <c r="I82" s="42">
        <v>204812</v>
      </c>
      <c r="J82" s="42">
        <v>66727</v>
      </c>
      <c r="K82" s="47">
        <f t="shared" si="29"/>
        <v>306.94021910171296</v>
      </c>
      <c r="L82" s="42">
        <v>28963</v>
      </c>
      <c r="M82" s="42">
        <v>0</v>
      </c>
      <c r="N82" s="43">
        <v>0</v>
      </c>
      <c r="O82" s="175">
        <v>154</v>
      </c>
      <c r="P82" s="44"/>
      <c r="Q82" s="175">
        <v>154</v>
      </c>
      <c r="R82" s="45">
        <f t="shared" si="28"/>
        <v>0</v>
      </c>
    </row>
    <row r="83" spans="1:18" x14ac:dyDescent="0.25">
      <c r="A83" s="40">
        <v>8</v>
      </c>
      <c r="B83" s="41" t="s">
        <v>68</v>
      </c>
      <c r="C83" s="175">
        <v>1398</v>
      </c>
      <c r="D83" s="175">
        <v>3258</v>
      </c>
      <c r="E83" s="47">
        <f t="shared" si="26"/>
        <v>42.909760589318601</v>
      </c>
      <c r="F83" s="175">
        <v>454</v>
      </c>
      <c r="G83" s="175">
        <v>530</v>
      </c>
      <c r="H83" s="47">
        <f t="shared" si="27"/>
        <v>85.660377358490564</v>
      </c>
      <c r="I83" s="175">
        <v>1538</v>
      </c>
      <c r="J83" s="175">
        <v>3583</v>
      </c>
      <c r="K83" s="47">
        <f t="shared" si="29"/>
        <v>42.924923248674297</v>
      </c>
      <c r="L83" s="175">
        <v>0</v>
      </c>
      <c r="M83" s="175">
        <v>0</v>
      </c>
      <c r="N83" s="47">
        <v>0</v>
      </c>
      <c r="O83" s="175">
        <v>20</v>
      </c>
      <c r="P83" s="62">
        <v>40</v>
      </c>
      <c r="Q83" s="175">
        <v>20</v>
      </c>
      <c r="R83" s="45">
        <f t="shared" si="28"/>
        <v>800</v>
      </c>
    </row>
    <row r="84" spans="1:18" s="60" customFormat="1" x14ac:dyDescent="0.25">
      <c r="A84" s="315" t="s">
        <v>69</v>
      </c>
      <c r="B84" s="315" t="s">
        <v>69</v>
      </c>
      <c r="C84" s="56">
        <f>SUM(C76:C83)</f>
        <v>428817</v>
      </c>
      <c r="D84" s="56">
        <f>SUM(D76:D83)</f>
        <v>261571</v>
      </c>
      <c r="E84" s="57">
        <f>C84/D84*100</f>
        <v>163.93904523054925</v>
      </c>
      <c r="F84" s="56">
        <f>SUM(F76:F83)</f>
        <v>118245</v>
      </c>
      <c r="G84" s="56">
        <f>SUM(G76:G83)</f>
        <v>66738</v>
      </c>
      <c r="H84" s="57">
        <f>F84/G84*100</f>
        <v>177.17791962600018</v>
      </c>
      <c r="I84" s="56">
        <f>SUM(I76:I83)</f>
        <v>484702</v>
      </c>
      <c r="J84" s="56">
        <f>SUM(J76:J83)</f>
        <v>221682</v>
      </c>
      <c r="K84" s="57">
        <f>I84/J84*100</f>
        <v>218.64743190696583</v>
      </c>
      <c r="L84" s="56">
        <f>SUM(L76:L83)</f>
        <v>241110</v>
      </c>
      <c r="M84" s="56">
        <f>SUM(M76:M83)</f>
        <v>61403</v>
      </c>
      <c r="N84" s="58">
        <f>L84/M84*100</f>
        <v>392.66811067863136</v>
      </c>
      <c r="O84" s="56">
        <f>SUM(O76:O83)</f>
        <v>575</v>
      </c>
      <c r="P84" s="57">
        <f>R84/O84</f>
        <v>38.525217391304345</v>
      </c>
      <c r="Q84" s="56">
        <f>SUM(Q76:Q83)</f>
        <v>572</v>
      </c>
      <c r="R84" s="59">
        <f>SUM(R76:R83)</f>
        <v>22152</v>
      </c>
    </row>
    <row r="85" spans="1:18" s="60" customFormat="1" x14ac:dyDescent="0.25">
      <c r="A85" s="315" t="s">
        <v>70</v>
      </c>
      <c r="B85" s="315" t="s">
        <v>70</v>
      </c>
      <c r="C85" s="56">
        <f>C61+C73+C84</f>
        <v>2030809</v>
      </c>
      <c r="D85" s="56">
        <f>D61+D73+D84</f>
        <v>1414019</v>
      </c>
      <c r="E85" s="57">
        <f>C85/D85*100</f>
        <v>143.61964018871035</v>
      </c>
      <c r="F85" s="56">
        <f>F61+F73+F84</f>
        <v>698902</v>
      </c>
      <c r="G85" s="56">
        <f>G61+G73+G84</f>
        <v>419390</v>
      </c>
      <c r="H85" s="57">
        <f>F85/G85*100</f>
        <v>166.64727342092087</v>
      </c>
      <c r="I85" s="56">
        <f>I61+I73+I84</f>
        <v>1756630</v>
      </c>
      <c r="J85" s="56">
        <f>J61+J73+J84</f>
        <v>1334848</v>
      </c>
      <c r="K85" s="57">
        <f>I85/J85*100</f>
        <v>131.59775495037638</v>
      </c>
      <c r="L85" s="56">
        <f>L61+L73+L84</f>
        <v>1102897</v>
      </c>
      <c r="M85" s="56">
        <f>M61+M73+M84</f>
        <v>658871</v>
      </c>
      <c r="N85" s="57">
        <f>L85/M85*100</f>
        <v>167.39194774090831</v>
      </c>
      <c r="O85" s="56">
        <f>O61+O73+O84</f>
        <v>2026</v>
      </c>
      <c r="P85" s="57">
        <f>R85/O85</f>
        <v>65.71125370187562</v>
      </c>
      <c r="Q85" s="58">
        <f>SUM(Q61:Q73:Q84)</f>
        <v>3237</v>
      </c>
      <c r="R85" s="59">
        <f>R61+R73+R84</f>
        <v>133131</v>
      </c>
    </row>
    <row r="86" spans="1:18" x14ac:dyDescent="0.25">
      <c r="A86" s="175"/>
      <c r="B86" s="61"/>
      <c r="C86" s="175"/>
      <c r="D86" s="175"/>
      <c r="E86" s="175"/>
      <c r="F86" s="175"/>
      <c r="G86" s="175"/>
      <c r="H86" s="175"/>
      <c r="I86" s="175"/>
      <c r="J86" s="175"/>
      <c r="K86" s="34"/>
      <c r="L86" s="175"/>
      <c r="M86" s="175"/>
      <c r="N86" s="175"/>
      <c r="O86" s="175"/>
      <c r="P86" s="62"/>
      <c r="Q86" s="175"/>
      <c r="R86" s="39"/>
    </row>
    <row r="87" spans="1:18" x14ac:dyDescent="0.25">
      <c r="A87" s="316" t="s">
        <v>18</v>
      </c>
      <c r="B87" s="317"/>
      <c r="C87" s="37">
        <v>3</v>
      </c>
      <c r="D87" s="37">
        <v>4</v>
      </c>
      <c r="E87" s="172">
        <v>5</v>
      </c>
      <c r="F87" s="37">
        <v>6</v>
      </c>
      <c r="G87" s="37">
        <v>7</v>
      </c>
      <c r="H87" s="37">
        <v>8</v>
      </c>
      <c r="I87" s="37">
        <v>9</v>
      </c>
      <c r="J87" s="37">
        <v>10</v>
      </c>
      <c r="K87" s="37">
        <v>11</v>
      </c>
      <c r="L87" s="37">
        <v>12</v>
      </c>
      <c r="M87" s="37">
        <v>13</v>
      </c>
      <c r="N87" s="37">
        <v>14</v>
      </c>
      <c r="O87" s="37">
        <v>15</v>
      </c>
      <c r="P87" s="172">
        <v>16</v>
      </c>
      <c r="Q87" s="37">
        <v>17</v>
      </c>
      <c r="R87" s="39"/>
    </row>
    <row r="88" spans="1:18" x14ac:dyDescent="0.25">
      <c r="A88" s="77">
        <v>1</v>
      </c>
      <c r="B88" s="78" t="s">
        <v>71</v>
      </c>
      <c r="C88" s="51">
        <v>10282</v>
      </c>
      <c r="D88" s="51">
        <v>2788</v>
      </c>
      <c r="E88" s="47">
        <f>C88/D88*100</f>
        <v>368.79483500717362</v>
      </c>
      <c r="F88" s="51">
        <v>412</v>
      </c>
      <c r="G88" s="51">
        <v>2219</v>
      </c>
      <c r="H88" s="47">
        <f>F88/G88*100</f>
        <v>18.566922036953581</v>
      </c>
      <c r="I88" s="51">
        <v>746</v>
      </c>
      <c r="J88" s="51">
        <v>2827</v>
      </c>
      <c r="K88" s="47">
        <f>I88/J88*100</f>
        <v>26.388397594623275</v>
      </c>
      <c r="L88" s="175">
        <v>0</v>
      </c>
      <c r="M88" s="51">
        <v>0</v>
      </c>
      <c r="N88" s="47">
        <v>0</v>
      </c>
      <c r="O88" s="175">
        <v>2832</v>
      </c>
      <c r="P88" s="51">
        <v>113</v>
      </c>
      <c r="Q88" s="175">
        <v>2822</v>
      </c>
      <c r="R88" s="45">
        <f t="shared" ref="R88:R98" si="32">Q88*P88</f>
        <v>318886</v>
      </c>
    </row>
    <row r="89" spans="1:18" s="80" customFormat="1" x14ac:dyDescent="0.25">
      <c r="A89" s="79">
        <v>2</v>
      </c>
      <c r="B89" s="78" t="s">
        <v>72</v>
      </c>
      <c r="C89" s="51">
        <v>169798</v>
      </c>
      <c r="D89" s="51">
        <v>227486</v>
      </c>
      <c r="E89" s="47">
        <f>C89/D89*100</f>
        <v>74.641076813518197</v>
      </c>
      <c r="F89" s="51">
        <v>71101</v>
      </c>
      <c r="G89" s="51">
        <v>52477</v>
      </c>
      <c r="H89" s="47">
        <f t="shared" ref="H89:H98" si="33">F89/G89*100</f>
        <v>135.4898336414048</v>
      </c>
      <c r="I89" s="51">
        <v>194466</v>
      </c>
      <c r="J89" s="51">
        <v>227486</v>
      </c>
      <c r="K89" s="47">
        <f>I89/J89*100</f>
        <v>85.484821043932371</v>
      </c>
      <c r="L89" s="51">
        <v>192493</v>
      </c>
      <c r="M89" s="51">
        <v>149358</v>
      </c>
      <c r="N89" s="47">
        <f t="shared" ref="N89:N98" si="34">L89/M89*100</f>
        <v>128.88027424041564</v>
      </c>
      <c r="O89" s="175">
        <v>562</v>
      </c>
      <c r="P89" s="51">
        <v>94</v>
      </c>
      <c r="Q89" s="175">
        <v>560</v>
      </c>
      <c r="R89" s="45">
        <f t="shared" si="32"/>
        <v>52640</v>
      </c>
    </row>
    <row r="90" spans="1:18" x14ac:dyDescent="0.25">
      <c r="A90" s="77">
        <v>3</v>
      </c>
      <c r="B90" s="78" t="s">
        <v>73</v>
      </c>
      <c r="C90" s="51">
        <v>137944</v>
      </c>
      <c r="D90" s="51">
        <v>209215</v>
      </c>
      <c r="E90" s="47">
        <f>C90/D90*100</f>
        <v>65.934086944052765</v>
      </c>
      <c r="F90" s="51">
        <v>30234</v>
      </c>
      <c r="G90" s="51">
        <v>94660</v>
      </c>
      <c r="H90" s="47">
        <f t="shared" si="33"/>
        <v>31.939573209380946</v>
      </c>
      <c r="I90" s="51">
        <v>324226</v>
      </c>
      <c r="J90" s="51">
        <v>292943</v>
      </c>
      <c r="K90" s="47">
        <f>I90/J90*100</f>
        <v>110.67886926808288</v>
      </c>
      <c r="L90" s="51">
        <v>0</v>
      </c>
      <c r="M90" s="51">
        <v>47072</v>
      </c>
      <c r="N90" s="47">
        <f t="shared" si="34"/>
        <v>0</v>
      </c>
      <c r="O90" s="175">
        <v>21</v>
      </c>
      <c r="P90" s="51">
        <v>176</v>
      </c>
      <c r="Q90" s="175">
        <v>21</v>
      </c>
      <c r="R90" s="45">
        <f t="shared" si="32"/>
        <v>3696</v>
      </c>
    </row>
    <row r="91" spans="1:18" x14ac:dyDescent="0.25">
      <c r="A91" s="79">
        <v>4</v>
      </c>
      <c r="B91" s="78" t="s">
        <v>74</v>
      </c>
      <c r="C91" s="51">
        <v>255610</v>
      </c>
      <c r="D91" s="51">
        <v>247372</v>
      </c>
      <c r="E91" s="47">
        <f t="shared" ref="E91:E98" si="35">C91/D91*100</f>
        <v>103.33020713742864</v>
      </c>
      <c r="F91" s="51">
        <v>37606</v>
      </c>
      <c r="G91" s="51">
        <v>85084</v>
      </c>
      <c r="H91" s="47">
        <f t="shared" si="33"/>
        <v>44.1986742513281</v>
      </c>
      <c r="I91" s="51">
        <v>255589</v>
      </c>
      <c r="J91" s="51">
        <v>217271</v>
      </c>
      <c r="K91" s="47">
        <f t="shared" ref="K91:K98" si="36">I91/J91*100</f>
        <v>117.6360397844167</v>
      </c>
      <c r="L91" s="175">
        <v>169584</v>
      </c>
      <c r="M91" s="51">
        <v>127468</v>
      </c>
      <c r="N91" s="47">
        <f t="shared" si="34"/>
        <v>133.04044936768443</v>
      </c>
      <c r="O91" s="175">
        <v>173</v>
      </c>
      <c r="P91" s="51">
        <v>35</v>
      </c>
      <c r="Q91" s="175">
        <v>173</v>
      </c>
      <c r="R91" s="45">
        <f t="shared" si="32"/>
        <v>6055</v>
      </c>
    </row>
    <row r="92" spans="1:18" x14ac:dyDescent="0.25">
      <c r="A92" s="77">
        <v>5</v>
      </c>
      <c r="B92" s="78" t="s">
        <v>75</v>
      </c>
      <c r="C92" s="62">
        <v>91061</v>
      </c>
      <c r="D92" s="62">
        <v>79935</v>
      </c>
      <c r="E92" s="47">
        <f t="shared" si="35"/>
        <v>113.91880903233877</v>
      </c>
      <c r="F92" s="62">
        <v>37867</v>
      </c>
      <c r="G92" s="62">
        <v>29557</v>
      </c>
      <c r="H92" s="47">
        <f t="shared" si="33"/>
        <v>128.11516730385358</v>
      </c>
      <c r="I92" s="62">
        <v>86672</v>
      </c>
      <c r="J92" s="62">
        <v>82356</v>
      </c>
      <c r="K92" s="47">
        <f t="shared" si="36"/>
        <v>105.24066248967895</v>
      </c>
      <c r="L92" s="175">
        <v>34721</v>
      </c>
      <c r="M92" s="62">
        <v>0</v>
      </c>
      <c r="N92" s="47">
        <v>0</v>
      </c>
      <c r="O92" s="175">
        <v>89</v>
      </c>
      <c r="P92" s="62">
        <v>44</v>
      </c>
      <c r="Q92" s="175">
        <v>92</v>
      </c>
      <c r="R92" s="45">
        <f t="shared" si="32"/>
        <v>4048</v>
      </c>
    </row>
    <row r="93" spans="1:18" x14ac:dyDescent="0.25">
      <c r="A93" s="79">
        <v>6</v>
      </c>
      <c r="B93" s="78" t="s">
        <v>76</v>
      </c>
      <c r="C93" s="175">
        <v>0</v>
      </c>
      <c r="D93" s="175">
        <v>0</v>
      </c>
      <c r="E93" s="175">
        <v>0</v>
      </c>
      <c r="F93" s="175">
        <v>0</v>
      </c>
      <c r="G93" s="175">
        <v>0</v>
      </c>
      <c r="H93" s="175">
        <v>0</v>
      </c>
      <c r="I93" s="175">
        <v>0</v>
      </c>
      <c r="J93" s="175">
        <v>0</v>
      </c>
      <c r="K93" s="175">
        <v>0</v>
      </c>
      <c r="L93" s="175">
        <v>0</v>
      </c>
      <c r="M93" s="175">
        <v>0</v>
      </c>
      <c r="N93" s="47">
        <v>0</v>
      </c>
      <c r="O93" s="175">
        <v>0</v>
      </c>
      <c r="P93" s="44">
        <v>0</v>
      </c>
      <c r="Q93" s="175">
        <v>0</v>
      </c>
      <c r="R93" s="45">
        <f t="shared" si="32"/>
        <v>0</v>
      </c>
    </row>
    <row r="94" spans="1:18" x14ac:dyDescent="0.25">
      <c r="A94" s="77">
        <v>7</v>
      </c>
      <c r="B94" s="78" t="s">
        <v>77</v>
      </c>
      <c r="C94" s="51">
        <v>305</v>
      </c>
      <c r="D94" s="62">
        <v>410</v>
      </c>
      <c r="E94" s="47">
        <f t="shared" si="35"/>
        <v>74.390243902439025</v>
      </c>
      <c r="F94" s="51">
        <v>0</v>
      </c>
      <c r="G94" s="62">
        <v>0</v>
      </c>
      <c r="H94" s="47">
        <v>0</v>
      </c>
      <c r="I94" s="51">
        <v>305</v>
      </c>
      <c r="J94" s="62">
        <v>410</v>
      </c>
      <c r="K94" s="47">
        <f t="shared" ref="K94" si="37">I94/J94*100</f>
        <v>74.390243902439025</v>
      </c>
      <c r="L94" s="175">
        <v>0</v>
      </c>
      <c r="M94" s="62">
        <v>0</v>
      </c>
      <c r="N94" s="47">
        <v>0</v>
      </c>
      <c r="O94" s="175">
        <v>12</v>
      </c>
      <c r="P94" s="51">
        <v>73</v>
      </c>
      <c r="Q94" s="175">
        <v>12</v>
      </c>
      <c r="R94" s="45">
        <f t="shared" si="32"/>
        <v>876</v>
      </c>
    </row>
    <row r="95" spans="1:18" x14ac:dyDescent="0.25">
      <c r="A95" s="79">
        <v>8</v>
      </c>
      <c r="B95" s="81" t="s">
        <v>78</v>
      </c>
      <c r="C95" s="51">
        <v>186173</v>
      </c>
      <c r="D95" s="51">
        <v>231469</v>
      </c>
      <c r="E95" s="47">
        <f t="shared" si="35"/>
        <v>80.431072843447708</v>
      </c>
      <c r="F95" s="51">
        <v>71572</v>
      </c>
      <c r="G95" s="51">
        <v>74276</v>
      </c>
      <c r="H95" s="47">
        <f t="shared" si="33"/>
        <v>96.359523937745706</v>
      </c>
      <c r="I95" s="51">
        <v>236261</v>
      </c>
      <c r="J95" s="51">
        <v>241202</v>
      </c>
      <c r="K95" s="47">
        <f t="shared" si="36"/>
        <v>97.951509523138284</v>
      </c>
      <c r="L95" s="175">
        <v>43825</v>
      </c>
      <c r="M95" s="51">
        <v>36669</v>
      </c>
      <c r="N95" s="47">
        <f t="shared" si="34"/>
        <v>119.51512176497859</v>
      </c>
      <c r="O95" s="175">
        <v>80</v>
      </c>
      <c r="P95" s="51">
        <v>85</v>
      </c>
      <c r="Q95" s="175">
        <v>80</v>
      </c>
      <c r="R95" s="45">
        <f t="shared" si="32"/>
        <v>6800</v>
      </c>
    </row>
    <row r="96" spans="1:18" x14ac:dyDescent="0.25">
      <c r="A96" s="77">
        <v>9</v>
      </c>
      <c r="B96" s="81" t="s">
        <v>79</v>
      </c>
      <c r="C96" s="51">
        <v>492302</v>
      </c>
      <c r="D96" s="51">
        <v>558277</v>
      </c>
      <c r="E96" s="47">
        <f t="shared" si="35"/>
        <v>88.182389745592232</v>
      </c>
      <c r="F96" s="51">
        <v>154456</v>
      </c>
      <c r="G96" s="51">
        <v>165291</v>
      </c>
      <c r="H96" s="47">
        <f t="shared" si="33"/>
        <v>93.444894156366658</v>
      </c>
      <c r="I96" s="51">
        <v>480649</v>
      </c>
      <c r="J96" s="51">
        <v>595500</v>
      </c>
      <c r="K96" s="47">
        <f t="shared" si="36"/>
        <v>80.713518052057097</v>
      </c>
      <c r="L96" s="175">
        <v>0</v>
      </c>
      <c r="M96" s="51">
        <v>0</v>
      </c>
      <c r="N96" s="47">
        <v>0</v>
      </c>
      <c r="O96" s="175">
        <v>128</v>
      </c>
      <c r="P96" s="51">
        <v>145</v>
      </c>
      <c r="Q96" s="175">
        <v>127</v>
      </c>
      <c r="R96" s="45">
        <f t="shared" si="32"/>
        <v>18415</v>
      </c>
    </row>
    <row r="97" spans="1:18" x14ac:dyDescent="0.25">
      <c r="A97" s="79">
        <v>10</v>
      </c>
      <c r="B97" s="78" t="s">
        <v>80</v>
      </c>
      <c r="C97" s="51">
        <v>434993</v>
      </c>
      <c r="D97" s="51">
        <v>392728</v>
      </c>
      <c r="E97" s="47">
        <f t="shared" si="35"/>
        <v>110.76190136684932</v>
      </c>
      <c r="F97" s="51">
        <v>124861</v>
      </c>
      <c r="G97" s="51">
        <v>104711</v>
      </c>
      <c r="H97" s="47">
        <f t="shared" si="33"/>
        <v>119.24344147224264</v>
      </c>
      <c r="I97" s="51">
        <v>392179</v>
      </c>
      <c r="J97" s="51">
        <v>301256</v>
      </c>
      <c r="K97" s="47">
        <f t="shared" si="36"/>
        <v>130.18130759221393</v>
      </c>
      <c r="L97" s="175">
        <f>125216+91353</f>
        <v>216569</v>
      </c>
      <c r="M97" s="51">
        <f>131228+58547</f>
        <v>189775</v>
      </c>
      <c r="N97" s="47">
        <f t="shared" si="34"/>
        <v>114.11882492425241</v>
      </c>
      <c r="O97" s="175">
        <v>101</v>
      </c>
      <c r="P97" s="51">
        <v>143</v>
      </c>
      <c r="Q97" s="175">
        <v>127</v>
      </c>
      <c r="R97" s="45">
        <f t="shared" si="32"/>
        <v>18161</v>
      </c>
    </row>
    <row r="98" spans="1:18" x14ac:dyDescent="0.25">
      <c r="A98" s="77">
        <v>11</v>
      </c>
      <c r="B98" s="78" t="s">
        <v>81</v>
      </c>
      <c r="C98" s="51">
        <v>18180</v>
      </c>
      <c r="D98" s="51">
        <v>22444</v>
      </c>
      <c r="E98" s="47">
        <f t="shared" si="35"/>
        <v>81.001603992158252</v>
      </c>
      <c r="F98" s="51">
        <v>82528</v>
      </c>
      <c r="G98" s="51">
        <v>61980</v>
      </c>
      <c r="H98" s="47">
        <f t="shared" si="33"/>
        <v>133.15262988060667</v>
      </c>
      <c r="I98" s="82">
        <v>286778</v>
      </c>
      <c r="J98" s="83">
        <v>276190</v>
      </c>
      <c r="K98" s="47">
        <f t="shared" si="36"/>
        <v>103.83359281653935</v>
      </c>
      <c r="L98" s="82">
        <v>0</v>
      </c>
      <c r="M98" s="83">
        <v>11916</v>
      </c>
      <c r="N98" s="47">
        <f t="shared" si="34"/>
        <v>0</v>
      </c>
      <c r="O98" s="175">
        <v>53</v>
      </c>
      <c r="P98" s="51">
        <v>250</v>
      </c>
      <c r="Q98" s="175">
        <v>51</v>
      </c>
      <c r="R98" s="45">
        <f t="shared" si="32"/>
        <v>12750</v>
      </c>
    </row>
    <row r="99" spans="1:18" s="60" customFormat="1" x14ac:dyDescent="0.25">
      <c r="A99" s="315" t="s">
        <v>82</v>
      </c>
      <c r="B99" s="315" t="s">
        <v>83</v>
      </c>
      <c r="C99" s="58">
        <f>SUM(C88:C98)</f>
        <v>1796648</v>
      </c>
      <c r="D99" s="58">
        <f>SUM(D88:D98)</f>
        <v>1972124</v>
      </c>
      <c r="E99" s="57">
        <f>C99/D99*100</f>
        <v>91.102182215722749</v>
      </c>
      <c r="F99" s="58">
        <f>SUM(F88:F98)</f>
        <v>610637</v>
      </c>
      <c r="G99" s="58">
        <f>SUM(G88:G98)</f>
        <v>670255</v>
      </c>
      <c r="H99" s="57">
        <f>F99/G99*100</f>
        <v>91.10517638809111</v>
      </c>
      <c r="I99" s="58">
        <f>SUM(I88:I98)</f>
        <v>2257871</v>
      </c>
      <c r="J99" s="58">
        <f>SUM(J88:J98)</f>
        <v>2237441</v>
      </c>
      <c r="K99" s="57">
        <f>I99/J99*100</f>
        <v>100.91309670288513</v>
      </c>
      <c r="L99" s="58">
        <f>SUM(L88:L98)</f>
        <v>657192</v>
      </c>
      <c r="M99" s="58">
        <f>SUM(M88:M98)</f>
        <v>562258</v>
      </c>
      <c r="N99" s="57">
        <f>L99/M99*100</f>
        <v>116.88441960808026</v>
      </c>
      <c r="O99" s="56">
        <f>SUM(O88:O98)</f>
        <v>4051</v>
      </c>
      <c r="P99" s="57">
        <f>R99/O99</f>
        <v>109.18958281905702</v>
      </c>
      <c r="Q99" s="58">
        <f>SUM(Q88:Q98)</f>
        <v>4065</v>
      </c>
      <c r="R99" s="59">
        <f>SUM(R88:R98)</f>
        <v>442327</v>
      </c>
    </row>
    <row r="100" spans="1:18" x14ac:dyDescent="0.25">
      <c r="A100" s="175"/>
      <c r="B100" s="175"/>
      <c r="C100" s="175"/>
      <c r="D100" s="175"/>
      <c r="E100" s="175"/>
      <c r="F100" s="175"/>
      <c r="G100" s="175"/>
      <c r="H100" s="175"/>
      <c r="I100" s="175"/>
      <c r="J100" s="175"/>
      <c r="K100" s="34"/>
      <c r="L100" s="175"/>
      <c r="M100" s="175"/>
      <c r="N100" s="175"/>
      <c r="O100" s="175"/>
      <c r="P100" s="62"/>
      <c r="Q100" s="175"/>
      <c r="R100" s="39"/>
    </row>
    <row r="101" spans="1:18" x14ac:dyDescent="0.25">
      <c r="A101" s="316" t="s">
        <v>19</v>
      </c>
      <c r="B101" s="317"/>
      <c r="C101" s="37">
        <v>3</v>
      </c>
      <c r="D101" s="37">
        <v>4</v>
      </c>
      <c r="E101" s="172">
        <v>5</v>
      </c>
      <c r="F101" s="37">
        <v>6</v>
      </c>
      <c r="G101" s="37">
        <v>7</v>
      </c>
      <c r="H101" s="37">
        <v>8</v>
      </c>
      <c r="I101" s="37">
        <v>9</v>
      </c>
      <c r="J101" s="37">
        <v>10</v>
      </c>
      <c r="K101" s="37">
        <v>11</v>
      </c>
      <c r="L101" s="37">
        <v>12</v>
      </c>
      <c r="M101" s="37">
        <v>13</v>
      </c>
      <c r="N101" s="37">
        <v>14</v>
      </c>
      <c r="O101" s="37">
        <v>15</v>
      </c>
      <c r="P101" s="172">
        <v>16</v>
      </c>
      <c r="Q101" s="37">
        <v>17</v>
      </c>
      <c r="R101" s="39"/>
    </row>
    <row r="102" spans="1:18" x14ac:dyDescent="0.25">
      <c r="A102" s="85">
        <v>1</v>
      </c>
      <c r="B102" s="81" t="s">
        <v>84</v>
      </c>
      <c r="C102" s="175">
        <v>63186</v>
      </c>
      <c r="D102" s="175">
        <v>78061</v>
      </c>
      <c r="E102" s="47">
        <f t="shared" ref="E102" si="38">C102/D102*100</f>
        <v>80.944389643996359</v>
      </c>
      <c r="F102" s="175">
        <v>33043</v>
      </c>
      <c r="G102" s="175">
        <v>38004</v>
      </c>
      <c r="H102" s="47">
        <f t="shared" ref="H102" si="39">F102/G102*100</f>
        <v>86.946110935690982</v>
      </c>
      <c r="I102" s="175">
        <v>46469</v>
      </c>
      <c r="J102" s="175">
        <v>76940</v>
      </c>
      <c r="K102" s="47">
        <f t="shared" ref="K102" si="40">I102/J102*100</f>
        <v>60.396412789186385</v>
      </c>
      <c r="L102" s="175">
        <v>46424</v>
      </c>
      <c r="M102" s="175">
        <v>73390</v>
      </c>
      <c r="N102" s="47">
        <f t="shared" ref="N102" si="41">L102/M102*100</f>
        <v>63.256574465185992</v>
      </c>
      <c r="O102" s="129">
        <v>305</v>
      </c>
      <c r="P102" s="62">
        <v>70</v>
      </c>
      <c r="Q102" s="129">
        <v>190</v>
      </c>
      <c r="R102" s="45">
        <f t="shared" ref="R102:R126" si="42">Q102*P102</f>
        <v>13300</v>
      </c>
    </row>
    <row r="103" spans="1:18" x14ac:dyDescent="0.25">
      <c r="A103" s="85">
        <v>2</v>
      </c>
      <c r="B103" s="81" t="s">
        <v>85</v>
      </c>
      <c r="C103" s="175">
        <v>0</v>
      </c>
      <c r="D103" s="175">
        <v>0</v>
      </c>
      <c r="E103" s="175">
        <v>0</v>
      </c>
      <c r="F103" s="175">
        <v>0</v>
      </c>
      <c r="G103" s="175">
        <v>0</v>
      </c>
      <c r="H103" s="175">
        <v>0</v>
      </c>
      <c r="I103" s="175">
        <v>0</v>
      </c>
      <c r="J103" s="175">
        <v>0</v>
      </c>
      <c r="K103" s="175">
        <v>0</v>
      </c>
      <c r="L103" s="175">
        <v>0</v>
      </c>
      <c r="M103" s="175">
        <v>0</v>
      </c>
      <c r="N103" s="86">
        <v>0</v>
      </c>
      <c r="O103" s="175">
        <v>0</v>
      </c>
      <c r="P103" s="44">
        <v>0</v>
      </c>
      <c r="Q103" s="175">
        <v>0</v>
      </c>
      <c r="R103" s="45">
        <f t="shared" si="42"/>
        <v>0</v>
      </c>
    </row>
    <row r="104" spans="1:18" x14ac:dyDescent="0.25">
      <c r="A104" s="85">
        <v>3</v>
      </c>
      <c r="B104" s="78" t="s">
        <v>86</v>
      </c>
      <c r="C104" s="175">
        <v>0</v>
      </c>
      <c r="D104" s="175">
        <v>0</v>
      </c>
      <c r="E104" s="175">
        <v>0</v>
      </c>
      <c r="F104" s="175">
        <v>0</v>
      </c>
      <c r="G104" s="175">
        <v>0</v>
      </c>
      <c r="H104" s="175">
        <v>0</v>
      </c>
      <c r="I104" s="175">
        <v>0</v>
      </c>
      <c r="J104" s="175">
        <v>0</v>
      </c>
      <c r="K104" s="175">
        <v>0</v>
      </c>
      <c r="L104" s="175">
        <v>0</v>
      </c>
      <c r="M104" s="175">
        <v>0</v>
      </c>
      <c r="N104" s="86">
        <v>0</v>
      </c>
      <c r="O104" s="175">
        <v>0</v>
      </c>
      <c r="P104" s="44">
        <v>0</v>
      </c>
      <c r="Q104" s="175">
        <v>0</v>
      </c>
      <c r="R104" s="45">
        <f t="shared" si="42"/>
        <v>0</v>
      </c>
    </row>
    <row r="105" spans="1:18" x14ac:dyDescent="0.25">
      <c r="A105" s="85">
        <v>4</v>
      </c>
      <c r="B105" s="81" t="s">
        <v>87</v>
      </c>
      <c r="C105" s="86">
        <v>0</v>
      </c>
      <c r="D105" s="87">
        <v>22124</v>
      </c>
      <c r="E105" s="47">
        <f t="shared" ref="E105:E126" si="43">C105/D105*100</f>
        <v>0</v>
      </c>
      <c r="F105" s="86">
        <v>0</v>
      </c>
      <c r="G105" s="87">
        <v>4540</v>
      </c>
      <c r="H105" s="47">
        <f t="shared" ref="H105:H126" si="44">F105/G105*100</f>
        <v>0</v>
      </c>
      <c r="I105" s="86">
        <v>9664</v>
      </c>
      <c r="J105" s="86">
        <v>10923</v>
      </c>
      <c r="K105" s="47">
        <f t="shared" ref="K105:K126" si="45">I105/J105*100</f>
        <v>88.473862491989379</v>
      </c>
      <c r="L105" s="87">
        <v>0</v>
      </c>
      <c r="M105" s="87">
        <v>0</v>
      </c>
      <c r="N105" s="47">
        <v>0</v>
      </c>
      <c r="O105" s="129">
        <v>7</v>
      </c>
      <c r="P105" s="87">
        <v>68</v>
      </c>
      <c r="Q105" s="129">
        <v>7</v>
      </c>
      <c r="R105" s="45">
        <f t="shared" si="42"/>
        <v>476</v>
      </c>
    </row>
    <row r="106" spans="1:18" x14ac:dyDescent="0.25">
      <c r="A106" s="85">
        <v>5</v>
      </c>
      <c r="B106" s="81" t="s">
        <v>88</v>
      </c>
      <c r="C106" s="87">
        <v>205004</v>
      </c>
      <c r="D106" s="87">
        <v>206929</v>
      </c>
      <c r="E106" s="47">
        <f t="shared" si="43"/>
        <v>99.06972923079897</v>
      </c>
      <c r="F106" s="87">
        <v>63038</v>
      </c>
      <c r="G106" s="87">
        <v>79456</v>
      </c>
      <c r="H106" s="47">
        <f t="shared" si="44"/>
        <v>79.336991542488917</v>
      </c>
      <c r="I106" s="87">
        <v>262298</v>
      </c>
      <c r="J106" s="87">
        <v>185217</v>
      </c>
      <c r="K106" s="47">
        <f t="shared" si="45"/>
        <v>141.61659026979166</v>
      </c>
      <c r="L106" s="87">
        <v>262298</v>
      </c>
      <c r="M106" s="87">
        <v>185217</v>
      </c>
      <c r="N106" s="47">
        <f t="shared" ref="N106:N114" si="46">L106/M106*100</f>
        <v>141.61659026979166</v>
      </c>
      <c r="O106" s="129">
        <v>474</v>
      </c>
      <c r="P106" s="87">
        <v>52</v>
      </c>
      <c r="Q106" s="129">
        <v>474</v>
      </c>
      <c r="R106" s="45">
        <f t="shared" si="42"/>
        <v>24648</v>
      </c>
    </row>
    <row r="107" spans="1:18" x14ac:dyDescent="0.25">
      <c r="A107" s="85">
        <v>6</v>
      </c>
      <c r="B107" s="81" t="s">
        <v>89</v>
      </c>
      <c r="C107" s="175">
        <v>0</v>
      </c>
      <c r="D107" s="175">
        <v>0</v>
      </c>
      <c r="E107" s="175">
        <v>0</v>
      </c>
      <c r="F107" s="175">
        <v>0</v>
      </c>
      <c r="G107" s="175">
        <v>0</v>
      </c>
      <c r="H107" s="175">
        <v>0</v>
      </c>
      <c r="I107" s="175">
        <v>0</v>
      </c>
      <c r="J107" s="175">
        <v>0</v>
      </c>
      <c r="K107" s="175">
        <v>0</v>
      </c>
      <c r="L107" s="175">
        <v>0</v>
      </c>
      <c r="M107" s="175">
        <v>0</v>
      </c>
      <c r="N107" s="86">
        <v>0</v>
      </c>
      <c r="O107" s="175">
        <v>0</v>
      </c>
      <c r="P107" s="44">
        <v>0</v>
      </c>
      <c r="Q107" s="175">
        <v>0</v>
      </c>
      <c r="R107" s="45">
        <f t="shared" si="42"/>
        <v>0</v>
      </c>
    </row>
    <row r="108" spans="1:18" x14ac:dyDescent="0.25">
      <c r="A108" s="85">
        <v>7</v>
      </c>
      <c r="B108" s="78" t="s">
        <v>90</v>
      </c>
      <c r="C108" s="175">
        <v>0</v>
      </c>
      <c r="D108" s="175">
        <v>0</v>
      </c>
      <c r="E108" s="175">
        <v>0</v>
      </c>
      <c r="F108" s="175">
        <v>0</v>
      </c>
      <c r="G108" s="175">
        <v>0</v>
      </c>
      <c r="H108" s="175">
        <v>0</v>
      </c>
      <c r="I108" s="175">
        <v>0</v>
      </c>
      <c r="J108" s="175">
        <v>0</v>
      </c>
      <c r="K108" s="175">
        <v>0</v>
      </c>
      <c r="L108" s="175">
        <v>0</v>
      </c>
      <c r="M108" s="175">
        <v>0</v>
      </c>
      <c r="N108" s="86">
        <v>0</v>
      </c>
      <c r="O108" s="175">
        <v>0</v>
      </c>
      <c r="P108" s="44">
        <v>0</v>
      </c>
      <c r="Q108" s="175">
        <v>0</v>
      </c>
      <c r="R108" s="45">
        <f t="shared" si="42"/>
        <v>0</v>
      </c>
    </row>
    <row r="109" spans="1:18" x14ac:dyDescent="0.25">
      <c r="A109" s="85">
        <v>8</v>
      </c>
      <c r="B109" s="81" t="s">
        <v>91</v>
      </c>
      <c r="C109" s="87">
        <v>78720</v>
      </c>
      <c r="D109" s="87">
        <v>100290</v>
      </c>
      <c r="E109" s="47">
        <f t="shared" si="43"/>
        <v>78.492372120849538</v>
      </c>
      <c r="F109" s="87">
        <v>18263</v>
      </c>
      <c r="G109" s="87">
        <v>31732</v>
      </c>
      <c r="H109" s="47">
        <f t="shared" si="44"/>
        <v>57.553888818857935</v>
      </c>
      <c r="I109" s="87">
        <v>49125</v>
      </c>
      <c r="J109" s="86">
        <v>70425</v>
      </c>
      <c r="K109" s="47">
        <f t="shared" si="45"/>
        <v>69.755058572949949</v>
      </c>
      <c r="L109" s="87">
        <v>0</v>
      </c>
      <c r="M109" s="87">
        <v>33480</v>
      </c>
      <c r="N109" s="47">
        <v>0</v>
      </c>
      <c r="O109" s="129">
        <v>139</v>
      </c>
      <c r="P109" s="87">
        <v>66</v>
      </c>
      <c r="Q109" s="129">
        <v>139</v>
      </c>
      <c r="R109" s="45">
        <f t="shared" si="42"/>
        <v>9174</v>
      </c>
    </row>
    <row r="110" spans="1:18" x14ac:dyDescent="0.25">
      <c r="A110" s="85">
        <v>9</v>
      </c>
      <c r="B110" s="81" t="s">
        <v>92</v>
      </c>
      <c r="C110" s="175">
        <v>0</v>
      </c>
      <c r="D110" s="175">
        <v>0</v>
      </c>
      <c r="E110" s="175">
        <v>0</v>
      </c>
      <c r="F110" s="175">
        <v>0</v>
      </c>
      <c r="G110" s="175">
        <v>0</v>
      </c>
      <c r="H110" s="175">
        <v>0</v>
      </c>
      <c r="I110" s="175">
        <v>0</v>
      </c>
      <c r="J110" s="175">
        <v>0</v>
      </c>
      <c r="K110" s="175">
        <v>0</v>
      </c>
      <c r="L110" s="175">
        <v>0</v>
      </c>
      <c r="M110" s="175">
        <v>0</v>
      </c>
      <c r="N110" s="86">
        <v>0</v>
      </c>
      <c r="O110" s="175">
        <v>0</v>
      </c>
      <c r="P110" s="44">
        <v>0</v>
      </c>
      <c r="Q110" s="175">
        <v>0</v>
      </c>
      <c r="R110" s="45">
        <f t="shared" si="42"/>
        <v>0</v>
      </c>
    </row>
    <row r="111" spans="1:18" x14ac:dyDescent="0.25">
      <c r="A111" s="85">
        <v>10</v>
      </c>
      <c r="B111" s="78" t="s">
        <v>93</v>
      </c>
      <c r="C111" s="87">
        <v>23009</v>
      </c>
      <c r="D111" s="87">
        <v>61916</v>
      </c>
      <c r="E111" s="47">
        <f t="shared" si="43"/>
        <v>37.161638348730534</v>
      </c>
      <c r="F111" s="87">
        <v>0</v>
      </c>
      <c r="G111" s="87">
        <v>15969</v>
      </c>
      <c r="H111" s="47">
        <f t="shared" ref="H111:H113" si="47">F111/G111*100</f>
        <v>0</v>
      </c>
      <c r="I111" s="87">
        <v>23009</v>
      </c>
      <c r="J111" s="87">
        <v>61916</v>
      </c>
      <c r="K111" s="47">
        <f t="shared" si="45"/>
        <v>37.161638348730534</v>
      </c>
      <c r="L111" s="87">
        <v>23009</v>
      </c>
      <c r="M111" s="87">
        <v>61916</v>
      </c>
      <c r="N111" s="47">
        <f t="shared" si="46"/>
        <v>37.161638348730534</v>
      </c>
      <c r="O111" s="129">
        <v>22</v>
      </c>
      <c r="P111" s="87">
        <v>37</v>
      </c>
      <c r="Q111" s="129">
        <v>22</v>
      </c>
      <c r="R111" s="45">
        <f t="shared" si="42"/>
        <v>814</v>
      </c>
    </row>
    <row r="112" spans="1:18" x14ac:dyDescent="0.25">
      <c r="A112" s="85">
        <v>11</v>
      </c>
      <c r="B112" s="81" t="s">
        <v>94</v>
      </c>
      <c r="C112" s="175">
        <v>0</v>
      </c>
      <c r="D112" s="175">
        <v>0</v>
      </c>
      <c r="E112" s="175">
        <v>0</v>
      </c>
      <c r="F112" s="175">
        <v>0</v>
      </c>
      <c r="G112" s="175">
        <v>0</v>
      </c>
      <c r="H112" s="175">
        <v>0</v>
      </c>
      <c r="I112" s="175">
        <v>0</v>
      </c>
      <c r="J112" s="175">
        <v>0</v>
      </c>
      <c r="K112" s="175">
        <v>0</v>
      </c>
      <c r="L112" s="175">
        <v>0</v>
      </c>
      <c r="M112" s="175">
        <v>0</v>
      </c>
      <c r="N112" s="86">
        <v>0</v>
      </c>
      <c r="O112" s="175">
        <v>0</v>
      </c>
      <c r="P112" s="44">
        <v>0</v>
      </c>
      <c r="Q112" s="175">
        <v>0</v>
      </c>
      <c r="R112" s="45">
        <f t="shared" si="42"/>
        <v>0</v>
      </c>
    </row>
    <row r="113" spans="1:91" x14ac:dyDescent="0.25">
      <c r="A113" s="85">
        <v>12</v>
      </c>
      <c r="B113" s="81" t="s">
        <v>95</v>
      </c>
      <c r="C113" s="86">
        <v>23920</v>
      </c>
      <c r="D113" s="87">
        <v>23916</v>
      </c>
      <c r="E113" s="47">
        <f t="shared" si="43"/>
        <v>100.01672520488376</v>
      </c>
      <c r="F113" s="86">
        <v>10250</v>
      </c>
      <c r="G113" s="87">
        <v>11958</v>
      </c>
      <c r="H113" s="47">
        <f t="shared" si="47"/>
        <v>85.716675029269112</v>
      </c>
      <c r="I113" s="86">
        <v>18600</v>
      </c>
      <c r="J113" s="86">
        <v>12650</v>
      </c>
      <c r="K113" s="47">
        <f t="shared" ref="K113" si="48">I113/J113*100</f>
        <v>147.03557312252963</v>
      </c>
      <c r="L113" s="87">
        <v>0</v>
      </c>
      <c r="M113" s="87">
        <v>0</v>
      </c>
      <c r="N113" s="47">
        <v>0</v>
      </c>
      <c r="O113" s="129">
        <v>22</v>
      </c>
      <c r="P113" s="87">
        <v>50</v>
      </c>
      <c r="Q113" s="129">
        <v>22</v>
      </c>
      <c r="R113" s="45">
        <f t="shared" si="42"/>
        <v>1100</v>
      </c>
    </row>
    <row r="114" spans="1:91" x14ac:dyDescent="0.25">
      <c r="A114" s="85">
        <v>13</v>
      </c>
      <c r="B114" s="81" t="s">
        <v>96</v>
      </c>
      <c r="C114" s="86">
        <v>25600</v>
      </c>
      <c r="D114" s="87">
        <v>31585</v>
      </c>
      <c r="E114" s="47">
        <f t="shared" si="43"/>
        <v>81.051131866392282</v>
      </c>
      <c r="F114" s="86">
        <v>1664</v>
      </c>
      <c r="G114" s="86">
        <v>10634</v>
      </c>
      <c r="H114" s="47">
        <f t="shared" si="44"/>
        <v>15.647921760391197</v>
      </c>
      <c r="I114" s="86">
        <v>66707</v>
      </c>
      <c r="J114" s="86">
        <v>30649</v>
      </c>
      <c r="K114" s="47">
        <f t="shared" si="45"/>
        <v>217.64821038206793</v>
      </c>
      <c r="L114" s="87">
        <f>28982+34919</f>
        <v>63901</v>
      </c>
      <c r="M114" s="87">
        <v>29126</v>
      </c>
      <c r="N114" s="47">
        <f t="shared" si="46"/>
        <v>219.39504223030971</v>
      </c>
      <c r="O114" s="129">
        <v>38</v>
      </c>
      <c r="P114" s="87">
        <v>45</v>
      </c>
      <c r="Q114" s="129">
        <v>192</v>
      </c>
      <c r="R114" s="45">
        <f t="shared" si="42"/>
        <v>8640</v>
      </c>
    </row>
    <row r="115" spans="1:91" x14ac:dyDescent="0.25">
      <c r="A115" s="85">
        <v>14</v>
      </c>
      <c r="B115" s="81" t="s">
        <v>97</v>
      </c>
      <c r="C115" s="175">
        <v>0</v>
      </c>
      <c r="D115" s="175">
        <v>0</v>
      </c>
      <c r="E115" s="175">
        <v>0</v>
      </c>
      <c r="F115" s="175">
        <v>0</v>
      </c>
      <c r="G115" s="175">
        <v>0</v>
      </c>
      <c r="H115" s="175">
        <v>0</v>
      </c>
      <c r="I115" s="175">
        <v>0</v>
      </c>
      <c r="J115" s="175">
        <v>0</v>
      </c>
      <c r="K115" s="175">
        <v>0</v>
      </c>
      <c r="L115" s="175">
        <v>0</v>
      </c>
      <c r="M115" s="175">
        <v>0</v>
      </c>
      <c r="N115" s="86">
        <v>0</v>
      </c>
      <c r="O115" s="175">
        <v>0</v>
      </c>
      <c r="P115" s="44">
        <v>0</v>
      </c>
      <c r="Q115" s="175">
        <v>0</v>
      </c>
      <c r="R115" s="45">
        <f t="shared" si="42"/>
        <v>0</v>
      </c>
    </row>
    <row r="116" spans="1:91" x14ac:dyDescent="0.25">
      <c r="A116" s="85">
        <v>15</v>
      </c>
      <c r="B116" s="81" t="s">
        <v>98</v>
      </c>
      <c r="C116" s="175">
        <v>0</v>
      </c>
      <c r="D116" s="175">
        <v>0</v>
      </c>
      <c r="E116" s="175">
        <v>0</v>
      </c>
      <c r="F116" s="175">
        <v>0</v>
      </c>
      <c r="G116" s="175">
        <v>0</v>
      </c>
      <c r="H116" s="175">
        <v>0</v>
      </c>
      <c r="I116" s="175">
        <v>0</v>
      </c>
      <c r="J116" s="175">
        <v>0</v>
      </c>
      <c r="K116" s="175">
        <v>0</v>
      </c>
      <c r="L116" s="175">
        <v>0</v>
      </c>
      <c r="M116" s="175">
        <v>0</v>
      </c>
      <c r="N116" s="86">
        <v>0</v>
      </c>
      <c r="O116" s="175">
        <v>0</v>
      </c>
      <c r="P116" s="44">
        <v>0</v>
      </c>
      <c r="Q116" s="175">
        <v>0</v>
      </c>
      <c r="R116" s="45">
        <f t="shared" si="42"/>
        <v>0</v>
      </c>
    </row>
    <row r="117" spans="1:91" x14ac:dyDescent="0.25">
      <c r="A117" s="85">
        <v>16</v>
      </c>
      <c r="B117" s="81" t="s">
        <v>99</v>
      </c>
      <c r="C117" s="51">
        <v>170477</v>
      </c>
      <c r="D117" s="51">
        <v>161879</v>
      </c>
      <c r="E117" s="47">
        <f t="shared" si="43"/>
        <v>105.31137454518498</v>
      </c>
      <c r="F117" s="51">
        <v>67177</v>
      </c>
      <c r="G117" s="51">
        <v>88528</v>
      </c>
      <c r="H117" s="47">
        <f t="shared" si="44"/>
        <v>75.882206759443335</v>
      </c>
      <c r="I117" s="51">
        <v>158350</v>
      </c>
      <c r="J117" s="51">
        <v>160282</v>
      </c>
      <c r="K117" s="47">
        <f t="shared" ref="K117" si="49">I117/J117*100</f>
        <v>98.794624474363928</v>
      </c>
      <c r="L117" s="51">
        <v>0</v>
      </c>
      <c r="M117" s="51">
        <v>0</v>
      </c>
      <c r="N117" s="47">
        <v>0</v>
      </c>
      <c r="O117" s="129">
        <v>82</v>
      </c>
      <c r="P117" s="44">
        <v>65</v>
      </c>
      <c r="Q117" s="129">
        <v>83</v>
      </c>
      <c r="R117" s="45">
        <f t="shared" si="42"/>
        <v>5395</v>
      </c>
    </row>
    <row r="118" spans="1:91" x14ac:dyDescent="0.25">
      <c r="A118" s="85">
        <v>17</v>
      </c>
      <c r="B118" s="81" t="s">
        <v>100</v>
      </c>
      <c r="C118" s="86">
        <v>224790</v>
      </c>
      <c r="D118" s="87">
        <v>136955</v>
      </c>
      <c r="E118" s="47">
        <f t="shared" si="43"/>
        <v>164.13420466576613</v>
      </c>
      <c r="F118" s="86">
        <v>76659</v>
      </c>
      <c r="G118" s="86">
        <v>56526</v>
      </c>
      <c r="H118" s="47">
        <f t="shared" si="44"/>
        <v>135.61723808512897</v>
      </c>
      <c r="I118" s="86">
        <v>152511</v>
      </c>
      <c r="J118" s="86">
        <v>120840</v>
      </c>
      <c r="K118" s="47">
        <f t="shared" si="45"/>
        <v>126.20903674280039</v>
      </c>
      <c r="L118" s="87">
        <v>0</v>
      </c>
      <c r="M118" s="87">
        <v>0</v>
      </c>
      <c r="N118" s="47">
        <v>0</v>
      </c>
      <c r="O118" s="129">
        <v>188</v>
      </c>
      <c r="P118" s="87">
        <v>60</v>
      </c>
      <c r="Q118" s="129">
        <v>169</v>
      </c>
      <c r="R118" s="45">
        <f t="shared" si="42"/>
        <v>10140</v>
      </c>
    </row>
    <row r="119" spans="1:91" x14ac:dyDescent="0.25">
      <c r="A119" s="85">
        <v>18</v>
      </c>
      <c r="B119" s="78" t="s">
        <v>101</v>
      </c>
      <c r="C119" s="51">
        <v>123387</v>
      </c>
      <c r="D119" s="51">
        <v>0</v>
      </c>
      <c r="E119" s="47">
        <v>0</v>
      </c>
      <c r="F119" s="51">
        <v>29170</v>
      </c>
      <c r="G119" s="51">
        <v>0</v>
      </c>
      <c r="H119" s="47">
        <v>0</v>
      </c>
      <c r="I119" s="51">
        <v>29170</v>
      </c>
      <c r="J119" s="51">
        <v>0</v>
      </c>
      <c r="K119" s="47">
        <v>0</v>
      </c>
      <c r="L119" s="51">
        <v>29170</v>
      </c>
      <c r="M119" s="51">
        <v>0</v>
      </c>
      <c r="N119" s="47">
        <v>0</v>
      </c>
      <c r="O119" s="129">
        <v>410</v>
      </c>
      <c r="P119" s="87">
        <v>65</v>
      </c>
      <c r="Q119" s="129">
        <v>456</v>
      </c>
      <c r="R119" s="45">
        <f t="shared" si="42"/>
        <v>29640</v>
      </c>
    </row>
    <row r="120" spans="1:91" x14ac:dyDescent="0.25">
      <c r="A120" s="85">
        <v>19</v>
      </c>
      <c r="B120" s="81" t="s">
        <v>102</v>
      </c>
      <c r="C120" s="175">
        <v>0</v>
      </c>
      <c r="D120" s="175">
        <v>0</v>
      </c>
      <c r="E120" s="175">
        <v>0</v>
      </c>
      <c r="F120" s="175">
        <v>0</v>
      </c>
      <c r="G120" s="175">
        <v>0</v>
      </c>
      <c r="H120" s="175">
        <v>0</v>
      </c>
      <c r="I120" s="175">
        <v>0</v>
      </c>
      <c r="J120" s="175">
        <v>0</v>
      </c>
      <c r="K120" s="175">
        <v>0</v>
      </c>
      <c r="L120" s="175">
        <v>0</v>
      </c>
      <c r="M120" s="175">
        <v>0</v>
      </c>
      <c r="N120" s="86">
        <v>0</v>
      </c>
      <c r="O120" s="175">
        <v>0</v>
      </c>
      <c r="P120" s="44">
        <v>0</v>
      </c>
      <c r="Q120" s="175">
        <v>0</v>
      </c>
      <c r="R120" s="45">
        <f t="shared" si="42"/>
        <v>0</v>
      </c>
    </row>
    <row r="121" spans="1:91" x14ac:dyDescent="0.25">
      <c r="A121" s="85">
        <v>20</v>
      </c>
      <c r="B121" s="81" t="s">
        <v>103</v>
      </c>
      <c r="C121" s="175">
        <v>0</v>
      </c>
      <c r="D121" s="175">
        <v>0</v>
      </c>
      <c r="E121" s="175">
        <v>0</v>
      </c>
      <c r="F121" s="175">
        <v>0</v>
      </c>
      <c r="G121" s="175">
        <v>0</v>
      </c>
      <c r="H121" s="175">
        <v>0</v>
      </c>
      <c r="I121" s="175">
        <v>0</v>
      </c>
      <c r="J121" s="175">
        <v>0</v>
      </c>
      <c r="K121" s="175">
        <v>0</v>
      </c>
      <c r="L121" s="175">
        <v>0</v>
      </c>
      <c r="M121" s="175">
        <v>0</v>
      </c>
      <c r="N121" s="86">
        <v>0</v>
      </c>
      <c r="O121" s="175">
        <v>0</v>
      </c>
      <c r="P121" s="44">
        <v>0</v>
      </c>
      <c r="Q121" s="175">
        <v>0</v>
      </c>
      <c r="R121" s="45">
        <f t="shared" si="42"/>
        <v>0</v>
      </c>
    </row>
    <row r="122" spans="1:91" x14ac:dyDescent="0.25">
      <c r="A122" s="85">
        <v>21</v>
      </c>
      <c r="B122" s="81" t="s">
        <v>104</v>
      </c>
      <c r="C122" s="87">
        <v>9035</v>
      </c>
      <c r="D122" s="87">
        <v>28329</v>
      </c>
      <c r="E122" s="47">
        <f t="shared" si="43"/>
        <v>31.89311306435102</v>
      </c>
      <c r="F122" s="87">
        <v>3345</v>
      </c>
      <c r="G122" s="87">
        <v>2176</v>
      </c>
      <c r="H122" s="47">
        <f t="shared" ref="H122:H123" si="50">F122/G122*100</f>
        <v>153.72242647058823</v>
      </c>
      <c r="I122" s="87">
        <v>9035</v>
      </c>
      <c r="J122" s="87">
        <v>28329</v>
      </c>
      <c r="K122" s="47">
        <f t="shared" ref="K122" si="51">I122/J122*100</f>
        <v>31.89311306435102</v>
      </c>
      <c r="L122" s="87">
        <v>9035</v>
      </c>
      <c r="M122" s="87">
        <v>28329</v>
      </c>
      <c r="N122" s="47">
        <f t="shared" ref="N122" si="52">L122/M122*100</f>
        <v>31.89311306435102</v>
      </c>
      <c r="O122" s="129">
        <v>14</v>
      </c>
      <c r="P122" s="87">
        <v>45</v>
      </c>
      <c r="Q122" s="129">
        <v>14</v>
      </c>
      <c r="R122" s="45">
        <f t="shared" si="42"/>
        <v>630</v>
      </c>
    </row>
    <row r="123" spans="1:91" x14ac:dyDescent="0.25">
      <c r="A123" s="85">
        <v>22</v>
      </c>
      <c r="B123" s="78" t="s">
        <v>105</v>
      </c>
      <c r="C123" s="86">
        <v>5530</v>
      </c>
      <c r="D123" s="86">
        <v>6680</v>
      </c>
      <c r="E123" s="47">
        <f t="shared" si="43"/>
        <v>82.784431137724539</v>
      </c>
      <c r="F123" s="86">
        <v>1890</v>
      </c>
      <c r="G123" s="86">
        <v>2220</v>
      </c>
      <c r="H123" s="47">
        <f t="shared" si="50"/>
        <v>85.13513513513513</v>
      </c>
      <c r="I123" s="86">
        <v>11819</v>
      </c>
      <c r="J123" s="86">
        <v>13697</v>
      </c>
      <c r="K123" s="47">
        <f t="shared" si="45"/>
        <v>86.288968387238086</v>
      </c>
      <c r="L123" s="87">
        <v>0</v>
      </c>
      <c r="M123" s="86">
        <v>0</v>
      </c>
      <c r="N123" s="47">
        <v>0</v>
      </c>
      <c r="O123" s="129">
        <v>13</v>
      </c>
      <c r="P123" s="87">
        <v>63</v>
      </c>
      <c r="Q123" s="129">
        <v>14</v>
      </c>
      <c r="R123" s="45">
        <f t="shared" si="42"/>
        <v>882</v>
      </c>
    </row>
    <row r="124" spans="1:91" x14ac:dyDescent="0.25">
      <c r="A124" s="85">
        <v>23</v>
      </c>
      <c r="B124" s="78" t="s">
        <v>106</v>
      </c>
      <c r="C124" s="86">
        <v>27412</v>
      </c>
      <c r="D124" s="87">
        <v>40594</v>
      </c>
      <c r="E124" s="47">
        <f t="shared" si="43"/>
        <v>67.527220771542602</v>
      </c>
      <c r="F124" s="86">
        <v>9096</v>
      </c>
      <c r="G124" s="86">
        <v>13651</v>
      </c>
      <c r="H124" s="47">
        <f t="shared" si="44"/>
        <v>66.632481136913043</v>
      </c>
      <c r="I124" s="86">
        <v>28071</v>
      </c>
      <c r="J124" s="86">
        <v>41338</v>
      </c>
      <c r="K124" s="47">
        <f t="shared" si="45"/>
        <v>67.906042866128018</v>
      </c>
      <c r="L124" s="87">
        <v>0</v>
      </c>
      <c r="M124" s="87">
        <v>0</v>
      </c>
      <c r="N124" s="47">
        <v>0</v>
      </c>
      <c r="O124" s="129">
        <v>41</v>
      </c>
      <c r="P124" s="87">
        <v>45</v>
      </c>
      <c r="Q124" s="129">
        <v>37</v>
      </c>
      <c r="R124" s="45">
        <f t="shared" si="42"/>
        <v>1665</v>
      </c>
    </row>
    <row r="125" spans="1:91" x14ac:dyDescent="0.25">
      <c r="A125" s="85">
        <v>24</v>
      </c>
      <c r="B125" s="81" t="s">
        <v>107</v>
      </c>
      <c r="C125" s="87">
        <v>10535</v>
      </c>
      <c r="D125" s="87">
        <v>3345</v>
      </c>
      <c r="E125" s="47">
        <f t="shared" si="43"/>
        <v>314.94768310911809</v>
      </c>
      <c r="F125" s="87">
        <v>2061</v>
      </c>
      <c r="G125" s="86">
        <v>0</v>
      </c>
      <c r="H125" s="47" t="e">
        <f t="shared" si="44"/>
        <v>#DIV/0!</v>
      </c>
      <c r="I125" s="87">
        <v>45040</v>
      </c>
      <c r="J125" s="87">
        <v>56402</v>
      </c>
      <c r="K125" s="47">
        <f t="shared" si="45"/>
        <v>79.855324279280879</v>
      </c>
      <c r="L125" s="88">
        <v>0</v>
      </c>
      <c r="M125" s="87">
        <v>1428</v>
      </c>
      <c r="N125" s="47">
        <v>0</v>
      </c>
      <c r="O125" s="129">
        <v>52</v>
      </c>
      <c r="P125" s="87">
        <v>55</v>
      </c>
      <c r="Q125" s="129">
        <v>52</v>
      </c>
      <c r="R125" s="45">
        <f t="shared" si="42"/>
        <v>2860</v>
      </c>
    </row>
    <row r="126" spans="1:91" x14ac:dyDescent="0.25">
      <c r="A126" s="85">
        <v>25</v>
      </c>
      <c r="B126" s="81" t="s">
        <v>108</v>
      </c>
      <c r="C126" s="87">
        <v>12131</v>
      </c>
      <c r="D126" s="87">
        <v>13015</v>
      </c>
      <c r="E126" s="47">
        <f t="shared" si="43"/>
        <v>93.207837111025739</v>
      </c>
      <c r="F126" s="87">
        <v>4112</v>
      </c>
      <c r="G126" s="87">
        <v>1723</v>
      </c>
      <c r="H126" s="47">
        <f t="shared" si="44"/>
        <v>238.65351131746954</v>
      </c>
      <c r="I126" s="87">
        <v>11201</v>
      </c>
      <c r="J126" s="87">
        <v>13318</v>
      </c>
      <c r="K126" s="47">
        <f t="shared" si="45"/>
        <v>84.104219852830752</v>
      </c>
      <c r="L126" s="87">
        <v>0</v>
      </c>
      <c r="M126" s="87">
        <v>0</v>
      </c>
      <c r="N126" s="47">
        <v>0</v>
      </c>
      <c r="O126" s="129">
        <v>19</v>
      </c>
      <c r="P126" s="87">
        <v>33</v>
      </c>
      <c r="Q126" s="129">
        <v>18</v>
      </c>
      <c r="R126" s="45">
        <f t="shared" si="42"/>
        <v>594</v>
      </c>
    </row>
    <row r="127" spans="1:91" s="60" customFormat="1" x14ac:dyDescent="0.25">
      <c r="A127" s="315" t="s">
        <v>109</v>
      </c>
      <c r="B127" s="315" t="s">
        <v>109</v>
      </c>
      <c r="C127" s="56">
        <f>SUM(C102:C126)</f>
        <v>1002736</v>
      </c>
      <c r="D127" s="56">
        <f>SUM(D102:D126)</f>
        <v>915618</v>
      </c>
      <c r="E127" s="57">
        <f>C127/D127*100</f>
        <v>109.51466659676852</v>
      </c>
      <c r="F127" s="56">
        <f>SUM(F102:F126)</f>
        <v>319768</v>
      </c>
      <c r="G127" s="56">
        <f>SUM(G102:G126)</f>
        <v>357117</v>
      </c>
      <c r="H127" s="57">
        <f>F127/G127*100</f>
        <v>89.541522806251166</v>
      </c>
      <c r="I127" s="56">
        <f>SUM(I102:I126)</f>
        <v>921069</v>
      </c>
      <c r="J127" s="56">
        <f>SUM(J102:J126)</f>
        <v>882926</v>
      </c>
      <c r="K127" s="57">
        <f>I127/J127*100</f>
        <v>104.32006759343363</v>
      </c>
      <c r="L127" s="56">
        <f>SUM(L102:L126)</f>
        <v>433837</v>
      </c>
      <c r="M127" s="56">
        <f>SUM(M102:M126)</f>
        <v>412886</v>
      </c>
      <c r="N127" s="57">
        <f>L127/M127*100</f>
        <v>105.07428200520241</v>
      </c>
      <c r="O127" s="56">
        <f>SUM(O102:O126)</f>
        <v>1826</v>
      </c>
      <c r="P127" s="57">
        <f>R127/O127</f>
        <v>60.217962760131435</v>
      </c>
      <c r="Q127" s="58">
        <f>SUM(Q102:Q126)</f>
        <v>1889</v>
      </c>
      <c r="R127" s="59">
        <f>SUM(R102:R126)</f>
        <v>109958</v>
      </c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x14ac:dyDescent="0.25">
      <c r="A128" s="85"/>
      <c r="B128" s="81"/>
      <c r="C128" s="175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86"/>
      <c r="O128" s="175"/>
      <c r="P128" s="44"/>
      <c r="Q128" s="175"/>
      <c r="R128" s="45"/>
    </row>
    <row r="129" spans="1:91" x14ac:dyDescent="0.25">
      <c r="A129" s="350" t="s">
        <v>177</v>
      </c>
      <c r="B129" s="350"/>
      <c r="C129" s="37">
        <v>3</v>
      </c>
      <c r="D129" s="37">
        <v>4</v>
      </c>
      <c r="E129" s="172">
        <v>5</v>
      </c>
      <c r="F129" s="37">
        <v>6</v>
      </c>
      <c r="G129" s="37">
        <v>7</v>
      </c>
      <c r="H129" s="37">
        <v>8</v>
      </c>
      <c r="I129" s="37">
        <v>9</v>
      </c>
      <c r="J129" s="37">
        <v>10</v>
      </c>
      <c r="K129" s="37">
        <v>11</v>
      </c>
      <c r="L129" s="37">
        <v>12</v>
      </c>
      <c r="M129" s="37">
        <v>13</v>
      </c>
      <c r="N129" s="37">
        <v>14</v>
      </c>
      <c r="O129" s="37">
        <v>15</v>
      </c>
      <c r="P129" s="172">
        <v>16</v>
      </c>
      <c r="Q129" s="37">
        <v>17</v>
      </c>
      <c r="R129" s="45"/>
    </row>
    <row r="130" spans="1:91" x14ac:dyDescent="0.25">
      <c r="A130" s="175">
        <v>1</v>
      </c>
      <c r="B130" s="146" t="s">
        <v>191</v>
      </c>
      <c r="C130" s="175">
        <v>272330</v>
      </c>
      <c r="D130" s="175">
        <v>175576</v>
      </c>
      <c r="E130" s="47">
        <f>C130/D130*100</f>
        <v>155.10662049482843</v>
      </c>
      <c r="F130" s="175">
        <v>133647</v>
      </c>
      <c r="G130" s="175">
        <v>84168</v>
      </c>
      <c r="H130" s="47">
        <f>F130/G130*100</f>
        <v>158.78599942971201</v>
      </c>
      <c r="I130" s="175">
        <v>277803</v>
      </c>
      <c r="J130" s="175">
        <v>93921</v>
      </c>
      <c r="K130" s="47">
        <f>I130/J130*100</f>
        <v>295.78369054843961</v>
      </c>
      <c r="L130" s="175">
        <f>73354+23432</f>
        <v>96786</v>
      </c>
      <c r="M130" s="175">
        <v>0</v>
      </c>
      <c r="N130" s="47">
        <v>0</v>
      </c>
      <c r="O130" s="175">
        <v>72</v>
      </c>
      <c r="P130" s="175">
        <v>71</v>
      </c>
      <c r="Q130" s="175">
        <v>72</v>
      </c>
      <c r="R130" s="45">
        <f t="shared" ref="R130:R132" si="53">Q130*P130</f>
        <v>5112</v>
      </c>
    </row>
    <row r="131" spans="1:91" x14ac:dyDescent="0.25">
      <c r="A131" s="175">
        <v>2</v>
      </c>
      <c r="B131" s="146" t="s">
        <v>192</v>
      </c>
      <c r="C131" s="175">
        <v>180429</v>
      </c>
      <c r="D131" s="175">
        <v>0</v>
      </c>
      <c r="E131" s="47">
        <v>0</v>
      </c>
      <c r="F131" s="175">
        <v>80766</v>
      </c>
      <c r="G131" s="175">
        <v>0</v>
      </c>
      <c r="H131" s="47">
        <v>0</v>
      </c>
      <c r="I131" s="175">
        <v>274663</v>
      </c>
      <c r="J131" s="175">
        <v>0</v>
      </c>
      <c r="K131" s="47">
        <v>0</v>
      </c>
      <c r="L131" s="175">
        <v>9923</v>
      </c>
      <c r="M131" s="175">
        <v>0</v>
      </c>
      <c r="N131" s="47">
        <v>0</v>
      </c>
      <c r="O131" s="175">
        <v>32</v>
      </c>
      <c r="P131" s="175">
        <v>85</v>
      </c>
      <c r="Q131" s="175">
        <v>34</v>
      </c>
      <c r="R131" s="45">
        <f t="shared" si="53"/>
        <v>2890</v>
      </c>
    </row>
    <row r="132" spans="1:91" x14ac:dyDescent="0.25">
      <c r="A132" s="175">
        <v>3</v>
      </c>
      <c r="B132" s="146" t="s">
        <v>193</v>
      </c>
      <c r="C132" s="175">
        <v>624517</v>
      </c>
      <c r="D132" s="175">
        <v>566140</v>
      </c>
      <c r="E132" s="47">
        <f>C132/D132*100</f>
        <v>110.31140707245557</v>
      </c>
      <c r="F132" s="175">
        <v>149526</v>
      </c>
      <c r="G132" s="175">
        <v>101034</v>
      </c>
      <c r="H132" s="47">
        <f>F132/G132*100</f>
        <v>147.99572421165152</v>
      </c>
      <c r="I132" s="175">
        <v>584385</v>
      </c>
      <c r="J132" s="175">
        <v>790095</v>
      </c>
      <c r="K132" s="47">
        <f>I132/J132*100</f>
        <v>73.963890418240837</v>
      </c>
      <c r="L132" s="175">
        <v>0</v>
      </c>
      <c r="M132" s="175">
        <v>0</v>
      </c>
      <c r="N132" s="47">
        <v>0</v>
      </c>
      <c r="O132" s="175">
        <v>415</v>
      </c>
      <c r="P132" s="175">
        <v>100</v>
      </c>
      <c r="Q132" s="175">
        <v>415</v>
      </c>
      <c r="R132" s="45">
        <f t="shared" si="53"/>
        <v>41500</v>
      </c>
    </row>
    <row r="133" spans="1:91" x14ac:dyDescent="0.25">
      <c r="A133" s="315" t="s">
        <v>190</v>
      </c>
      <c r="B133" s="315" t="s">
        <v>109</v>
      </c>
      <c r="C133" s="56">
        <f>SUM(C130:C132)</f>
        <v>1077276</v>
      </c>
      <c r="D133" s="56">
        <f>SUM(D130:D132)</f>
        <v>741716</v>
      </c>
      <c r="E133" s="57">
        <f>C133/D133*100</f>
        <v>145.24103565245997</v>
      </c>
      <c r="F133" s="56">
        <f>SUM(F130:F132)</f>
        <v>363939</v>
      </c>
      <c r="G133" s="56">
        <f>SUM(G130:G132)</f>
        <v>185202</v>
      </c>
      <c r="H133" s="57">
        <f>F133/G133*100</f>
        <v>196.50921696309976</v>
      </c>
      <c r="I133" s="56">
        <f>SUM(I130:I132)</f>
        <v>1136851</v>
      </c>
      <c r="J133" s="56">
        <f>SUM(J130:J132)</f>
        <v>884016</v>
      </c>
      <c r="K133" s="57">
        <f>I133/J133*100</f>
        <v>128.60072668367991</v>
      </c>
      <c r="L133" s="56">
        <f>SUM(L130:L132)</f>
        <v>106709</v>
      </c>
      <c r="M133" s="56">
        <f>SUM(M130:M132)</f>
        <v>0</v>
      </c>
      <c r="N133" s="57">
        <v>0</v>
      </c>
      <c r="O133" s="56">
        <f>SUM(O130:O132)</f>
        <v>519</v>
      </c>
      <c r="P133" s="57">
        <f>R133/O133</f>
        <v>95.379576107899808</v>
      </c>
      <c r="Q133" s="58">
        <f>SUM(Q130:Q132)</f>
        <v>521</v>
      </c>
      <c r="R133" s="45">
        <f>SUM(R130:R132)</f>
        <v>49502</v>
      </c>
    </row>
    <row r="134" spans="1:91" s="145" customFormat="1" x14ac:dyDescent="0.25">
      <c r="A134" s="117"/>
      <c r="B134" s="117"/>
      <c r="C134" s="103"/>
      <c r="D134" s="103"/>
      <c r="E134" s="142"/>
      <c r="F134" s="103"/>
      <c r="G134" s="103"/>
      <c r="H134" s="142"/>
      <c r="I134" s="103"/>
      <c r="J134" s="103"/>
      <c r="K134" s="142"/>
      <c r="L134" s="103"/>
      <c r="M134" s="103"/>
      <c r="N134" s="142"/>
      <c r="O134" s="103"/>
      <c r="P134" s="142"/>
      <c r="Q134" s="143"/>
      <c r="R134" s="14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x14ac:dyDescent="0.25">
      <c r="A135" s="37"/>
      <c r="B135" s="37" t="s">
        <v>20</v>
      </c>
      <c r="C135" s="37">
        <v>3</v>
      </c>
      <c r="D135" s="37">
        <v>4</v>
      </c>
      <c r="E135" s="172">
        <v>5</v>
      </c>
      <c r="F135" s="37">
        <v>6</v>
      </c>
      <c r="G135" s="37">
        <v>7</v>
      </c>
      <c r="H135" s="37">
        <v>8</v>
      </c>
      <c r="I135" s="37">
        <v>9</v>
      </c>
      <c r="J135" s="37">
        <v>10</v>
      </c>
      <c r="K135" s="37">
        <v>11</v>
      </c>
      <c r="L135" s="37">
        <v>12</v>
      </c>
      <c r="M135" s="37">
        <v>13</v>
      </c>
      <c r="N135" s="37">
        <v>14</v>
      </c>
      <c r="O135" s="37">
        <v>15</v>
      </c>
      <c r="P135" s="172">
        <v>16</v>
      </c>
      <c r="Q135" s="37">
        <v>17</v>
      </c>
      <c r="R135" s="39"/>
    </row>
    <row r="136" spans="1:91" x14ac:dyDescent="0.25">
      <c r="A136" s="50">
        <v>1</v>
      </c>
      <c r="B136" s="89" t="s">
        <v>110</v>
      </c>
      <c r="C136" s="90">
        <v>3313</v>
      </c>
      <c r="D136" s="91">
        <v>63</v>
      </c>
      <c r="E136" s="47">
        <f t="shared" ref="E136:E137" si="54">C136/D136*100</f>
        <v>5258.730158730159</v>
      </c>
      <c r="F136" s="90">
        <v>0</v>
      </c>
      <c r="G136" s="51">
        <v>0</v>
      </c>
      <c r="H136" s="47">
        <v>0</v>
      </c>
      <c r="I136" s="51">
        <v>3313</v>
      </c>
      <c r="J136" s="91">
        <v>63</v>
      </c>
      <c r="K136" s="47">
        <f t="shared" ref="K136:K142" si="55">I136/J136*100</f>
        <v>5258.730158730159</v>
      </c>
      <c r="L136" s="90">
        <v>0</v>
      </c>
      <c r="M136" s="91">
        <v>0</v>
      </c>
      <c r="N136" s="47">
        <v>0</v>
      </c>
      <c r="O136" s="175">
        <v>27</v>
      </c>
      <c r="P136" s="92">
        <v>75</v>
      </c>
      <c r="Q136" s="175">
        <v>27</v>
      </c>
      <c r="R136" s="45">
        <f t="shared" ref="R136:R142" si="56">Q136*P136</f>
        <v>2025</v>
      </c>
    </row>
    <row r="137" spans="1:91" x14ac:dyDescent="0.25">
      <c r="A137" s="50">
        <v>2</v>
      </c>
      <c r="B137" s="89" t="s">
        <v>167</v>
      </c>
      <c r="C137" s="175">
        <v>94177</v>
      </c>
      <c r="D137" s="175">
        <v>27283</v>
      </c>
      <c r="E137" s="47">
        <f t="shared" si="54"/>
        <v>345.18564673972804</v>
      </c>
      <c r="F137" s="175">
        <v>21847</v>
      </c>
      <c r="G137" s="175">
        <v>177</v>
      </c>
      <c r="H137" s="47">
        <f t="shared" ref="H137" si="57">F137/G137*100</f>
        <v>12342.937853107343</v>
      </c>
      <c r="I137" s="175">
        <v>124422</v>
      </c>
      <c r="J137" s="175">
        <v>22767</v>
      </c>
      <c r="K137" s="47">
        <f t="shared" si="55"/>
        <v>546.50151535116618</v>
      </c>
      <c r="L137" s="175">
        <v>0</v>
      </c>
      <c r="M137" s="175">
        <v>0</v>
      </c>
      <c r="N137" s="47">
        <v>0</v>
      </c>
      <c r="O137" s="175">
        <v>85</v>
      </c>
      <c r="P137" s="44">
        <v>80</v>
      </c>
      <c r="Q137" s="175">
        <v>84</v>
      </c>
      <c r="R137" s="45">
        <f t="shared" si="56"/>
        <v>6720</v>
      </c>
    </row>
    <row r="138" spans="1:91" x14ac:dyDescent="0.25">
      <c r="A138" s="50">
        <v>3</v>
      </c>
      <c r="B138" s="89" t="s">
        <v>166</v>
      </c>
      <c r="C138" s="175">
        <v>0</v>
      </c>
      <c r="D138" s="175">
        <v>0</v>
      </c>
      <c r="E138" s="175">
        <v>0</v>
      </c>
      <c r="F138" s="175">
        <v>0</v>
      </c>
      <c r="G138" s="175">
        <v>0</v>
      </c>
      <c r="H138" s="175">
        <v>0</v>
      </c>
      <c r="I138" s="175">
        <v>0</v>
      </c>
      <c r="J138" s="175">
        <v>0</v>
      </c>
      <c r="K138" s="175">
        <v>0</v>
      </c>
      <c r="L138" s="175">
        <v>0</v>
      </c>
      <c r="M138" s="175">
        <v>0</v>
      </c>
      <c r="N138" s="86">
        <v>0</v>
      </c>
      <c r="O138" s="175">
        <v>0</v>
      </c>
      <c r="P138" s="44">
        <v>0</v>
      </c>
      <c r="Q138" s="175">
        <v>0</v>
      </c>
      <c r="R138" s="45">
        <f t="shared" si="56"/>
        <v>0</v>
      </c>
    </row>
    <row r="139" spans="1:91" x14ac:dyDescent="0.25">
      <c r="A139" s="50">
        <v>4</v>
      </c>
      <c r="B139" s="89" t="s">
        <v>111</v>
      </c>
      <c r="C139" s="175">
        <v>0</v>
      </c>
      <c r="D139" s="175">
        <v>0</v>
      </c>
      <c r="E139" s="175">
        <v>0</v>
      </c>
      <c r="F139" s="175">
        <v>0</v>
      </c>
      <c r="G139" s="175">
        <v>0</v>
      </c>
      <c r="H139" s="175">
        <v>0</v>
      </c>
      <c r="I139" s="175">
        <v>0</v>
      </c>
      <c r="J139" s="175">
        <v>0</v>
      </c>
      <c r="K139" s="175">
        <v>0</v>
      </c>
      <c r="L139" s="175">
        <v>0</v>
      </c>
      <c r="M139" s="175">
        <v>0</v>
      </c>
      <c r="N139" s="86">
        <v>0</v>
      </c>
      <c r="O139" s="175">
        <v>0</v>
      </c>
      <c r="P139" s="44">
        <v>0</v>
      </c>
      <c r="Q139" s="175">
        <v>0</v>
      </c>
      <c r="R139" s="45">
        <f t="shared" si="56"/>
        <v>0</v>
      </c>
    </row>
    <row r="140" spans="1:91" x14ac:dyDescent="0.25">
      <c r="A140" s="50">
        <v>5</v>
      </c>
      <c r="B140" s="93" t="s">
        <v>112</v>
      </c>
      <c r="C140" s="86">
        <v>0</v>
      </c>
      <c r="D140" s="86">
        <v>181</v>
      </c>
      <c r="E140" s="47">
        <f t="shared" ref="E140" si="58">C140/D140*100</f>
        <v>0</v>
      </c>
      <c r="F140" s="86">
        <v>0</v>
      </c>
      <c r="G140" s="86">
        <v>0</v>
      </c>
      <c r="H140" s="47">
        <v>0</v>
      </c>
      <c r="I140" s="86">
        <v>1962</v>
      </c>
      <c r="J140" s="86">
        <v>2337</v>
      </c>
      <c r="K140" s="94">
        <f t="shared" si="55"/>
        <v>83.953786906290119</v>
      </c>
      <c r="L140" s="86">
        <v>0</v>
      </c>
      <c r="M140" s="86">
        <v>0</v>
      </c>
      <c r="N140" s="86">
        <v>0</v>
      </c>
      <c r="O140" s="175">
        <v>7</v>
      </c>
      <c r="P140" s="92">
        <v>45</v>
      </c>
      <c r="Q140" s="175">
        <v>7</v>
      </c>
      <c r="R140" s="45">
        <f t="shared" si="56"/>
        <v>315</v>
      </c>
    </row>
    <row r="141" spans="1:91" s="66" customFormat="1" x14ac:dyDescent="0.25">
      <c r="A141" s="50">
        <v>6</v>
      </c>
      <c r="B141" s="93" t="s">
        <v>113</v>
      </c>
      <c r="C141" s="86">
        <v>0</v>
      </c>
      <c r="D141" s="86">
        <v>0</v>
      </c>
      <c r="E141" s="94">
        <v>0</v>
      </c>
      <c r="F141" s="86">
        <v>0</v>
      </c>
      <c r="G141" s="86">
        <v>0</v>
      </c>
      <c r="H141" s="47">
        <v>0</v>
      </c>
      <c r="I141" s="95">
        <v>0</v>
      </c>
      <c r="J141" s="86">
        <v>0</v>
      </c>
      <c r="K141" s="94">
        <v>0</v>
      </c>
      <c r="L141" s="86">
        <v>0</v>
      </c>
      <c r="M141" s="86">
        <v>0</v>
      </c>
      <c r="N141" s="86">
        <v>0</v>
      </c>
      <c r="O141" s="175">
        <v>4</v>
      </c>
      <c r="P141" s="88">
        <v>60</v>
      </c>
      <c r="Q141" s="175">
        <v>4</v>
      </c>
      <c r="R141" s="45">
        <f t="shared" si="56"/>
        <v>240</v>
      </c>
    </row>
    <row r="142" spans="1:91" x14ac:dyDescent="0.25">
      <c r="A142" s="50">
        <v>7</v>
      </c>
      <c r="B142" s="89" t="s">
        <v>114</v>
      </c>
      <c r="C142" s="51">
        <v>7397</v>
      </c>
      <c r="D142" s="51">
        <v>5589</v>
      </c>
      <c r="E142" s="47">
        <f t="shared" ref="E142" si="59">C142/D142*100</f>
        <v>132.34925747003041</v>
      </c>
      <c r="F142" s="51">
        <v>1147</v>
      </c>
      <c r="G142" s="51">
        <v>2342</v>
      </c>
      <c r="H142" s="47">
        <f t="shared" ref="H142" si="60">F142/G142*100</f>
        <v>48.975234842015368</v>
      </c>
      <c r="I142" s="51">
        <v>7397</v>
      </c>
      <c r="J142" s="51">
        <v>5589</v>
      </c>
      <c r="K142" s="94">
        <f t="shared" si="55"/>
        <v>132.34925747003041</v>
      </c>
      <c r="L142" s="51">
        <v>0</v>
      </c>
      <c r="M142" s="51">
        <v>0</v>
      </c>
      <c r="N142" s="47">
        <v>0</v>
      </c>
      <c r="O142" s="175">
        <v>13</v>
      </c>
      <c r="P142" s="87">
        <v>50</v>
      </c>
      <c r="Q142" s="175">
        <v>13</v>
      </c>
      <c r="R142" s="45">
        <f t="shared" si="56"/>
        <v>650</v>
      </c>
    </row>
    <row r="143" spans="1:91" s="60" customFormat="1" x14ac:dyDescent="0.25">
      <c r="A143" s="315" t="s">
        <v>115</v>
      </c>
      <c r="B143" s="315" t="s">
        <v>115</v>
      </c>
      <c r="C143" s="56">
        <f>SUM(C136:C142)</f>
        <v>104887</v>
      </c>
      <c r="D143" s="56">
        <f>SUM(D136:D142)</f>
        <v>33116</v>
      </c>
      <c r="E143" s="57">
        <f>C143/D143*100</f>
        <v>316.72605387124054</v>
      </c>
      <c r="F143" s="56">
        <f>SUM(F136:F142)</f>
        <v>22994</v>
      </c>
      <c r="G143" s="56">
        <f>SUM(G136:G142)</f>
        <v>2519</v>
      </c>
      <c r="H143" s="57">
        <f>F143/G143*100</f>
        <v>912.82254863040885</v>
      </c>
      <c r="I143" s="56">
        <f>SUM(I136:I142)</f>
        <v>137094</v>
      </c>
      <c r="J143" s="56">
        <f>SUM(J136:J142)</f>
        <v>30756</v>
      </c>
      <c r="K143" s="57">
        <f>I143/J143*100</f>
        <v>445.74717128365194</v>
      </c>
      <c r="L143" s="56">
        <f>SUM(L136:L142)</f>
        <v>0</v>
      </c>
      <c r="M143" s="56">
        <f>SUM(M136:M142)</f>
        <v>0</v>
      </c>
      <c r="N143" s="58">
        <v>0</v>
      </c>
      <c r="O143" s="56">
        <f>SUM(O136:O142)</f>
        <v>136</v>
      </c>
      <c r="P143" s="57">
        <f>R143/O143</f>
        <v>73.161764705882348</v>
      </c>
      <c r="Q143" s="58">
        <f>SUM(Q136:Q142)</f>
        <v>135</v>
      </c>
      <c r="R143" s="59">
        <f>SUM(R136:R142)</f>
        <v>9950</v>
      </c>
    </row>
    <row r="144" spans="1:91" x14ac:dyDescent="0.25">
      <c r="A144" s="175"/>
      <c r="B144" s="175"/>
      <c r="C144" s="175"/>
      <c r="D144" s="175"/>
      <c r="E144" s="175"/>
      <c r="F144" s="175"/>
      <c r="G144" s="175"/>
      <c r="H144" s="175"/>
      <c r="I144" s="175"/>
      <c r="J144" s="175"/>
      <c r="K144" s="34"/>
      <c r="L144" s="175"/>
      <c r="M144" s="175"/>
      <c r="N144" s="175"/>
      <c r="O144" s="175"/>
      <c r="P144" s="62"/>
      <c r="Q144" s="175"/>
      <c r="R144" s="39"/>
    </row>
    <row r="145" spans="1:18" x14ac:dyDescent="0.25">
      <c r="A145" s="167"/>
      <c r="B145" s="168"/>
      <c r="C145" s="175"/>
      <c r="D145" s="175"/>
      <c r="E145" s="175"/>
      <c r="F145" s="175"/>
      <c r="G145" s="175"/>
      <c r="H145" s="175"/>
      <c r="I145" s="175"/>
      <c r="J145" s="175"/>
      <c r="K145" s="34"/>
      <c r="L145" s="175"/>
      <c r="M145" s="175"/>
      <c r="N145" s="175"/>
      <c r="O145" s="175"/>
      <c r="P145" s="62"/>
      <c r="Q145" s="175"/>
      <c r="R145" s="39"/>
    </row>
    <row r="146" spans="1:18" x14ac:dyDescent="0.25">
      <c r="A146" s="167"/>
      <c r="B146" s="168"/>
      <c r="C146" s="175"/>
      <c r="D146" s="175"/>
      <c r="E146" s="175"/>
      <c r="F146" s="175"/>
      <c r="G146" s="175"/>
      <c r="H146" s="175"/>
      <c r="I146" s="175"/>
      <c r="J146" s="175"/>
      <c r="K146" s="34"/>
      <c r="L146" s="175"/>
      <c r="M146" s="175"/>
      <c r="N146" s="175"/>
      <c r="O146" s="175"/>
      <c r="P146" s="62"/>
      <c r="Q146" s="175"/>
      <c r="R146" s="39"/>
    </row>
    <row r="147" spans="1:18" x14ac:dyDescent="0.25">
      <c r="A147" s="316" t="s">
        <v>116</v>
      </c>
      <c r="B147" s="317"/>
      <c r="C147" s="37">
        <v>3</v>
      </c>
      <c r="D147" s="37">
        <v>4</v>
      </c>
      <c r="E147" s="172">
        <v>5</v>
      </c>
      <c r="F147" s="37">
        <v>6</v>
      </c>
      <c r="G147" s="37">
        <v>7</v>
      </c>
      <c r="H147" s="37">
        <v>8</v>
      </c>
      <c r="I147" s="37">
        <v>9</v>
      </c>
      <c r="J147" s="37">
        <v>10</v>
      </c>
      <c r="K147" s="37">
        <v>11</v>
      </c>
      <c r="L147" s="37">
        <v>12</v>
      </c>
      <c r="M147" s="37">
        <v>13</v>
      </c>
      <c r="N147" s="37">
        <v>14</v>
      </c>
      <c r="O147" s="37">
        <v>15</v>
      </c>
      <c r="P147" s="172">
        <v>16</v>
      </c>
      <c r="Q147" s="37">
        <v>17</v>
      </c>
      <c r="R147" s="31"/>
    </row>
    <row r="148" spans="1:18" x14ac:dyDescent="0.25">
      <c r="A148" s="96">
        <v>1</v>
      </c>
      <c r="B148" s="78" t="s">
        <v>117</v>
      </c>
      <c r="C148" s="62">
        <v>35848013</v>
      </c>
      <c r="D148" s="62">
        <v>33326932</v>
      </c>
      <c r="E148" s="47">
        <f>C148/D148*100</f>
        <v>107.56469572416687</v>
      </c>
      <c r="F148" s="175">
        <v>10509101</v>
      </c>
      <c r="G148" s="175">
        <v>9337985</v>
      </c>
      <c r="H148" s="47">
        <f>F148/G148*100</f>
        <v>112.54142087398942</v>
      </c>
      <c r="I148" s="96">
        <v>35091108</v>
      </c>
      <c r="J148" s="96">
        <v>34050000</v>
      </c>
      <c r="K148" s="47">
        <f>I148/J148*100</f>
        <v>103.05758590308369</v>
      </c>
      <c r="L148" s="96">
        <v>15034380</v>
      </c>
      <c r="M148" s="96">
        <v>16087998</v>
      </c>
      <c r="N148" s="47">
        <f>L148/M148*100</f>
        <v>93.450906694543349</v>
      </c>
      <c r="O148" s="175">
        <v>2913</v>
      </c>
      <c r="P148" s="62">
        <v>145</v>
      </c>
      <c r="Q148" s="175">
        <v>2913</v>
      </c>
      <c r="R148" s="45">
        <f t="shared" ref="R148:R162" si="61">Q148*P148</f>
        <v>422385</v>
      </c>
    </row>
    <row r="149" spans="1:18" x14ac:dyDescent="0.25">
      <c r="A149" s="96">
        <v>2</v>
      </c>
      <c r="B149" s="78" t="s">
        <v>118</v>
      </c>
      <c r="C149" s="62">
        <v>8380728</v>
      </c>
      <c r="D149" s="62">
        <v>7734944</v>
      </c>
      <c r="E149" s="47">
        <f t="shared" ref="E149:E162" si="62">C149/D149*100</f>
        <v>108.34891629467518</v>
      </c>
      <c r="F149" s="175">
        <v>2054539</v>
      </c>
      <c r="G149" s="175">
        <v>2270715</v>
      </c>
      <c r="H149" s="47">
        <f t="shared" ref="H149:H162" si="63">F149/G149*100</f>
        <v>90.479826838682982</v>
      </c>
      <c r="I149" s="96">
        <v>6789413</v>
      </c>
      <c r="J149" s="96">
        <v>8573466</v>
      </c>
      <c r="K149" s="47">
        <f t="shared" ref="K149:K162" si="64">I149/J149*100</f>
        <v>79.190994633908858</v>
      </c>
      <c r="L149" s="175">
        <v>6789413</v>
      </c>
      <c r="M149" s="175">
        <v>8579466</v>
      </c>
      <c r="N149" s="47">
        <f t="shared" ref="N149:N162" si="65">L149/M149*100</f>
        <v>79.13561286914593</v>
      </c>
      <c r="O149" s="175">
        <v>934</v>
      </c>
      <c r="P149" s="62">
        <v>120</v>
      </c>
      <c r="Q149" s="175">
        <v>926</v>
      </c>
      <c r="R149" s="45">
        <f t="shared" si="61"/>
        <v>111120</v>
      </c>
    </row>
    <row r="150" spans="1:18" s="66" customFormat="1" x14ac:dyDescent="0.25">
      <c r="A150" s="96">
        <v>3</v>
      </c>
      <c r="B150" s="78" t="s">
        <v>119</v>
      </c>
      <c r="C150" s="62">
        <v>8641064</v>
      </c>
      <c r="D150" s="76">
        <v>8709691</v>
      </c>
      <c r="E150" s="47">
        <f t="shared" si="62"/>
        <v>99.212061598970607</v>
      </c>
      <c r="F150" s="96">
        <v>2123581</v>
      </c>
      <c r="G150" s="96">
        <v>2347126</v>
      </c>
      <c r="H150" s="47">
        <f t="shared" si="63"/>
        <v>90.475798913224097</v>
      </c>
      <c r="I150" s="96">
        <v>5483752</v>
      </c>
      <c r="J150" s="96">
        <v>7023804</v>
      </c>
      <c r="K150" s="47">
        <f t="shared" si="64"/>
        <v>78.073818688562497</v>
      </c>
      <c r="L150" s="96">
        <v>5483752</v>
      </c>
      <c r="M150" s="96">
        <v>7023804</v>
      </c>
      <c r="N150" s="47">
        <f t="shared" si="65"/>
        <v>78.073818688562497</v>
      </c>
      <c r="O150" s="175">
        <v>1205</v>
      </c>
      <c r="P150" s="76">
        <v>306</v>
      </c>
      <c r="Q150" s="175">
        <v>1205</v>
      </c>
      <c r="R150" s="45">
        <f t="shared" si="61"/>
        <v>368730</v>
      </c>
    </row>
    <row r="151" spans="1:18" x14ac:dyDescent="0.25">
      <c r="A151" s="96">
        <v>4</v>
      </c>
      <c r="B151" s="78" t="s">
        <v>120</v>
      </c>
      <c r="C151" s="62">
        <v>1556850</v>
      </c>
      <c r="D151" s="62">
        <v>2263374</v>
      </c>
      <c r="E151" s="47">
        <f t="shared" si="62"/>
        <v>68.784478393760821</v>
      </c>
      <c r="F151" s="175">
        <v>333116</v>
      </c>
      <c r="G151" s="175">
        <v>740034</v>
      </c>
      <c r="H151" s="47">
        <f t="shared" si="63"/>
        <v>45.013607482899438</v>
      </c>
      <c r="I151" s="175">
        <v>1336130</v>
      </c>
      <c r="J151" s="175">
        <v>2112272</v>
      </c>
      <c r="K151" s="47">
        <f t="shared" si="64"/>
        <v>63.255584508055783</v>
      </c>
      <c r="L151" s="175">
        <v>1336130</v>
      </c>
      <c r="M151" s="175">
        <v>2112272</v>
      </c>
      <c r="N151" s="47">
        <f t="shared" si="65"/>
        <v>63.255584508055783</v>
      </c>
      <c r="O151" s="175">
        <v>554</v>
      </c>
      <c r="P151" s="62">
        <v>150</v>
      </c>
      <c r="Q151" s="175">
        <v>550</v>
      </c>
      <c r="R151" s="45">
        <f t="shared" si="61"/>
        <v>82500</v>
      </c>
    </row>
    <row r="152" spans="1:18" x14ac:dyDescent="0.25">
      <c r="A152" s="96">
        <v>5</v>
      </c>
      <c r="B152" s="78" t="s">
        <v>121</v>
      </c>
      <c r="C152" s="62">
        <v>0</v>
      </c>
      <c r="D152" s="175">
        <v>0</v>
      </c>
      <c r="E152" s="175">
        <v>0</v>
      </c>
      <c r="F152" s="175">
        <v>0</v>
      </c>
      <c r="G152" s="175">
        <v>0</v>
      </c>
      <c r="H152" s="175">
        <v>0</v>
      </c>
      <c r="I152" s="175">
        <v>0</v>
      </c>
      <c r="J152" s="175">
        <v>0</v>
      </c>
      <c r="K152" s="175">
        <v>0</v>
      </c>
      <c r="L152" s="175">
        <v>0</v>
      </c>
      <c r="M152" s="175">
        <v>0</v>
      </c>
      <c r="N152" s="47">
        <v>0</v>
      </c>
      <c r="O152" s="175">
        <v>0</v>
      </c>
      <c r="P152" s="44">
        <v>0</v>
      </c>
      <c r="Q152" s="175">
        <v>0</v>
      </c>
      <c r="R152" s="45">
        <f t="shared" si="61"/>
        <v>0</v>
      </c>
    </row>
    <row r="153" spans="1:18" x14ac:dyDescent="0.25">
      <c r="A153" s="96">
        <v>6</v>
      </c>
      <c r="B153" s="78" t="s">
        <v>122</v>
      </c>
      <c r="C153" s="76">
        <v>6261202</v>
      </c>
      <c r="D153" s="76">
        <v>7056818</v>
      </c>
      <c r="E153" s="47">
        <f t="shared" si="62"/>
        <v>88.72557007988587</v>
      </c>
      <c r="F153" s="96">
        <v>1571734</v>
      </c>
      <c r="G153" s="96">
        <v>1743421</v>
      </c>
      <c r="H153" s="47">
        <f t="shared" si="63"/>
        <v>90.152292532899395</v>
      </c>
      <c r="I153" s="96">
        <v>6401753</v>
      </c>
      <c r="J153" s="96">
        <v>7273698</v>
      </c>
      <c r="K153" s="47">
        <f t="shared" si="64"/>
        <v>88.012356300742752</v>
      </c>
      <c r="L153" s="96">
        <v>6101753</v>
      </c>
      <c r="M153" s="96">
        <v>7273698</v>
      </c>
      <c r="N153" s="47">
        <f t="shared" si="65"/>
        <v>83.887906811638317</v>
      </c>
      <c r="O153" s="175">
        <v>464</v>
      </c>
      <c r="P153" s="76">
        <v>150</v>
      </c>
      <c r="Q153" s="175">
        <v>464</v>
      </c>
      <c r="R153" s="45">
        <f t="shared" si="61"/>
        <v>69600</v>
      </c>
    </row>
    <row r="154" spans="1:18" x14ac:dyDescent="0.25">
      <c r="A154" s="96">
        <v>7</v>
      </c>
      <c r="B154" s="78" t="s">
        <v>123</v>
      </c>
      <c r="C154" s="175">
        <v>0</v>
      </c>
      <c r="D154" s="175">
        <v>0</v>
      </c>
      <c r="E154" s="175">
        <v>0</v>
      </c>
      <c r="F154" s="175">
        <v>0</v>
      </c>
      <c r="G154" s="175">
        <v>0</v>
      </c>
      <c r="H154" s="175">
        <v>0</v>
      </c>
      <c r="I154" s="175">
        <v>0</v>
      </c>
      <c r="J154" s="175">
        <v>0</v>
      </c>
      <c r="K154" s="175">
        <v>0</v>
      </c>
      <c r="L154" s="175">
        <v>0</v>
      </c>
      <c r="M154" s="175">
        <v>0</v>
      </c>
      <c r="N154" s="47">
        <v>0</v>
      </c>
      <c r="O154" s="175">
        <v>0</v>
      </c>
      <c r="P154" s="44">
        <v>0</v>
      </c>
      <c r="Q154" s="175">
        <v>0</v>
      </c>
      <c r="R154" s="45">
        <f t="shared" si="61"/>
        <v>0</v>
      </c>
    </row>
    <row r="155" spans="1:18" x14ac:dyDescent="0.25">
      <c r="A155" s="96">
        <v>8</v>
      </c>
      <c r="B155" s="78" t="s">
        <v>124</v>
      </c>
      <c r="C155" s="175">
        <v>0</v>
      </c>
      <c r="D155" s="175">
        <v>0</v>
      </c>
      <c r="E155" s="175">
        <v>0</v>
      </c>
      <c r="F155" s="175">
        <v>0</v>
      </c>
      <c r="G155" s="175">
        <v>0</v>
      </c>
      <c r="H155" s="175">
        <v>0</v>
      </c>
      <c r="I155" s="175">
        <v>0</v>
      </c>
      <c r="J155" s="175">
        <v>0</v>
      </c>
      <c r="K155" s="175">
        <v>0</v>
      </c>
      <c r="L155" s="175">
        <v>0</v>
      </c>
      <c r="M155" s="175">
        <v>0</v>
      </c>
      <c r="N155" s="47">
        <v>0</v>
      </c>
      <c r="O155" s="175">
        <v>0</v>
      </c>
      <c r="P155" s="44">
        <v>0</v>
      </c>
      <c r="Q155" s="175">
        <v>0</v>
      </c>
      <c r="R155" s="45">
        <f t="shared" si="61"/>
        <v>0</v>
      </c>
    </row>
    <row r="156" spans="1:18" s="66" customFormat="1" x14ac:dyDescent="0.25">
      <c r="A156" s="96">
        <v>9</v>
      </c>
      <c r="B156" s="78" t="s">
        <v>125</v>
      </c>
      <c r="C156" s="76">
        <v>7611395</v>
      </c>
      <c r="D156" s="76">
        <v>5107075</v>
      </c>
      <c r="E156" s="47">
        <f t="shared" si="62"/>
        <v>149.03628789473427</v>
      </c>
      <c r="F156" s="175">
        <v>2183056</v>
      </c>
      <c r="G156" s="175">
        <v>1335885</v>
      </c>
      <c r="H156" s="47">
        <f t="shared" si="63"/>
        <v>163.41646174633294</v>
      </c>
      <c r="I156" s="175">
        <v>7956678</v>
      </c>
      <c r="J156" s="175">
        <v>5005709</v>
      </c>
      <c r="K156" s="47">
        <f t="shared" si="64"/>
        <v>158.95206852815454</v>
      </c>
      <c r="L156" s="175">
        <v>7956678</v>
      </c>
      <c r="M156" s="175">
        <v>5005709</v>
      </c>
      <c r="N156" s="47">
        <f t="shared" si="65"/>
        <v>158.95206852815454</v>
      </c>
      <c r="O156" s="175">
        <v>870</v>
      </c>
      <c r="P156" s="62">
        <v>100</v>
      </c>
      <c r="Q156" s="175">
        <v>867</v>
      </c>
      <c r="R156" s="45">
        <f t="shared" si="61"/>
        <v>86700</v>
      </c>
    </row>
    <row r="157" spans="1:18" x14ac:dyDescent="0.25">
      <c r="A157" s="96">
        <v>10</v>
      </c>
      <c r="B157" s="78" t="s">
        <v>126</v>
      </c>
      <c r="C157" s="76">
        <v>14140323</v>
      </c>
      <c r="D157" s="76">
        <v>14607289</v>
      </c>
      <c r="E157" s="47">
        <f t="shared" si="62"/>
        <v>96.803198731811221</v>
      </c>
      <c r="F157" s="76">
        <v>3661587</v>
      </c>
      <c r="G157" s="76">
        <v>4242237</v>
      </c>
      <c r="H157" s="47">
        <f t="shared" si="63"/>
        <v>86.312645898850064</v>
      </c>
      <c r="I157" s="175">
        <v>12334359</v>
      </c>
      <c r="J157" s="175">
        <v>15143899</v>
      </c>
      <c r="K157" s="47">
        <f t="shared" si="64"/>
        <v>81.447710394793305</v>
      </c>
      <c r="L157" s="175">
        <v>12329943</v>
      </c>
      <c r="M157" s="175">
        <v>15130148</v>
      </c>
      <c r="N157" s="47">
        <f t="shared" si="65"/>
        <v>81.492547197819874</v>
      </c>
      <c r="O157" s="175">
        <v>659</v>
      </c>
      <c r="P157" s="62">
        <v>134</v>
      </c>
      <c r="Q157" s="175">
        <v>659</v>
      </c>
      <c r="R157" s="45">
        <f t="shared" si="61"/>
        <v>88306</v>
      </c>
    </row>
    <row r="158" spans="1:18" x14ac:dyDescent="0.25">
      <c r="A158" s="96">
        <v>11</v>
      </c>
      <c r="B158" s="78" t="s">
        <v>127</v>
      </c>
      <c r="C158" s="62">
        <v>9322584</v>
      </c>
      <c r="D158" s="62">
        <v>10678530</v>
      </c>
      <c r="E158" s="47">
        <f t="shared" si="62"/>
        <v>87.302128663776756</v>
      </c>
      <c r="F158" s="175">
        <v>2392104</v>
      </c>
      <c r="G158" s="175">
        <v>2505392</v>
      </c>
      <c r="H158" s="47">
        <f t="shared" si="63"/>
        <v>95.478232548040381</v>
      </c>
      <c r="I158" s="175">
        <v>9826084</v>
      </c>
      <c r="J158" s="175">
        <v>10661849</v>
      </c>
      <c r="K158" s="47">
        <f t="shared" si="64"/>
        <v>92.161162665124976</v>
      </c>
      <c r="L158" s="175">
        <v>9826084</v>
      </c>
      <c r="M158" s="175">
        <v>10661849</v>
      </c>
      <c r="N158" s="47">
        <f t="shared" si="65"/>
        <v>92.161162665124976</v>
      </c>
      <c r="O158" s="175">
        <v>558</v>
      </c>
      <c r="P158" s="62">
        <v>168</v>
      </c>
      <c r="Q158" s="175">
        <v>560</v>
      </c>
      <c r="R158" s="45">
        <f t="shared" si="61"/>
        <v>94080</v>
      </c>
    </row>
    <row r="159" spans="1:18" x14ac:dyDescent="0.25">
      <c r="A159" s="96">
        <v>12</v>
      </c>
      <c r="B159" s="78" t="s">
        <v>128</v>
      </c>
      <c r="C159" s="51">
        <v>1170</v>
      </c>
      <c r="D159" s="51">
        <v>0</v>
      </c>
      <c r="E159" s="47">
        <v>0</v>
      </c>
      <c r="F159" s="51">
        <v>110</v>
      </c>
      <c r="G159" s="51">
        <v>0</v>
      </c>
      <c r="H159" s="47">
        <v>0</v>
      </c>
      <c r="I159" s="51">
        <v>1016</v>
      </c>
      <c r="J159" s="51">
        <v>0</v>
      </c>
      <c r="K159" s="47">
        <v>0</v>
      </c>
      <c r="L159" s="51">
        <v>0</v>
      </c>
      <c r="M159" s="51">
        <v>0</v>
      </c>
      <c r="N159" s="47">
        <v>0</v>
      </c>
      <c r="O159" s="175">
        <v>9</v>
      </c>
      <c r="P159" s="62">
        <v>45</v>
      </c>
      <c r="Q159" s="175">
        <v>9</v>
      </c>
      <c r="R159" s="45">
        <f t="shared" si="61"/>
        <v>405</v>
      </c>
    </row>
    <row r="160" spans="1:18" x14ac:dyDescent="0.25">
      <c r="A160" s="96">
        <v>13</v>
      </c>
      <c r="B160" s="78" t="s">
        <v>129</v>
      </c>
      <c r="C160" s="175">
        <v>0</v>
      </c>
      <c r="D160" s="175">
        <v>0</v>
      </c>
      <c r="E160" s="175">
        <v>0</v>
      </c>
      <c r="F160" s="175">
        <v>0</v>
      </c>
      <c r="G160" s="175">
        <v>0</v>
      </c>
      <c r="H160" s="175">
        <v>0</v>
      </c>
      <c r="I160" s="175">
        <v>0</v>
      </c>
      <c r="J160" s="175">
        <v>0</v>
      </c>
      <c r="K160" s="175">
        <v>0</v>
      </c>
      <c r="L160" s="175">
        <v>0</v>
      </c>
      <c r="M160" s="175">
        <v>0</v>
      </c>
      <c r="N160" s="47">
        <v>0</v>
      </c>
      <c r="O160" s="175">
        <v>0</v>
      </c>
      <c r="P160" s="44">
        <v>0</v>
      </c>
      <c r="Q160" s="175">
        <v>0</v>
      </c>
      <c r="R160" s="45">
        <f t="shared" si="61"/>
        <v>0</v>
      </c>
    </row>
    <row r="161" spans="1:18" x14ac:dyDescent="0.25">
      <c r="A161" s="96">
        <v>14</v>
      </c>
      <c r="B161" s="78" t="s">
        <v>130</v>
      </c>
      <c r="C161" s="76">
        <v>1321398</v>
      </c>
      <c r="D161" s="76">
        <v>893963</v>
      </c>
      <c r="E161" s="47">
        <f t="shared" si="62"/>
        <v>147.81350011130215</v>
      </c>
      <c r="F161" s="96">
        <v>383367</v>
      </c>
      <c r="G161" s="96">
        <v>220727</v>
      </c>
      <c r="H161" s="47">
        <f t="shared" si="63"/>
        <v>173.68378132262933</v>
      </c>
      <c r="I161" s="96">
        <v>1257688</v>
      </c>
      <c r="J161" s="96">
        <v>894974</v>
      </c>
      <c r="K161" s="47">
        <f t="shared" si="64"/>
        <v>140.52788125688568</v>
      </c>
      <c r="L161" s="96">
        <v>0</v>
      </c>
      <c r="M161" s="96">
        <v>0</v>
      </c>
      <c r="N161" s="47">
        <v>0</v>
      </c>
      <c r="O161" s="175">
        <v>299</v>
      </c>
      <c r="P161" s="76">
        <v>58</v>
      </c>
      <c r="Q161" s="175">
        <v>303</v>
      </c>
      <c r="R161" s="45">
        <f t="shared" si="61"/>
        <v>17574</v>
      </c>
    </row>
    <row r="162" spans="1:18" x14ac:dyDescent="0.25">
      <c r="A162" s="96">
        <v>15</v>
      </c>
      <c r="B162" s="78" t="s">
        <v>131</v>
      </c>
      <c r="C162" s="62">
        <v>10313619</v>
      </c>
      <c r="D162" s="62">
        <v>11457367</v>
      </c>
      <c r="E162" s="47">
        <f t="shared" si="62"/>
        <v>90.017357391100418</v>
      </c>
      <c r="F162" s="175">
        <v>2838495</v>
      </c>
      <c r="G162" s="175">
        <v>2971308</v>
      </c>
      <c r="H162" s="47">
        <f t="shared" si="63"/>
        <v>95.530150358024144</v>
      </c>
      <c r="I162" s="175">
        <v>9456585</v>
      </c>
      <c r="J162" s="175">
        <v>10651859</v>
      </c>
      <c r="K162" s="47">
        <f t="shared" si="64"/>
        <v>88.778728670741884</v>
      </c>
      <c r="L162" s="175">
        <v>9420728</v>
      </c>
      <c r="M162" s="175">
        <v>10611551</v>
      </c>
      <c r="N162" s="47">
        <f t="shared" si="65"/>
        <v>88.77804950473309</v>
      </c>
      <c r="O162" s="175">
        <v>648</v>
      </c>
      <c r="P162" s="62">
        <v>130</v>
      </c>
      <c r="Q162" s="175">
        <v>648</v>
      </c>
      <c r="R162" s="45">
        <f t="shared" si="61"/>
        <v>84240</v>
      </c>
    </row>
    <row r="163" spans="1:18" s="60" customFormat="1" x14ac:dyDescent="0.25">
      <c r="A163" s="315" t="s">
        <v>132</v>
      </c>
      <c r="B163" s="315" t="s">
        <v>133</v>
      </c>
      <c r="C163" s="56">
        <f>SUM(C148:C162)</f>
        <v>103398346</v>
      </c>
      <c r="D163" s="56">
        <f>SUM(D148:D162)</f>
        <v>101835983</v>
      </c>
      <c r="E163" s="57">
        <f>C163/D163*100</f>
        <v>101.53419543266942</v>
      </c>
      <c r="F163" s="56">
        <f>SUM(F148:F162)</f>
        <v>28050790</v>
      </c>
      <c r="G163" s="56">
        <f>SUM(G148:G162)</f>
        <v>27714830</v>
      </c>
      <c r="H163" s="57">
        <f>F163/G163*100</f>
        <v>101.21220299745659</v>
      </c>
      <c r="I163" s="56">
        <f>SUM(I148:I162)</f>
        <v>95934566</v>
      </c>
      <c r="J163" s="56">
        <f>SUM(J148:J162)</f>
        <v>101391530</v>
      </c>
      <c r="K163" s="57">
        <f>I163/J163*100</f>
        <v>94.61792913076664</v>
      </c>
      <c r="L163" s="56">
        <f>SUM(L148:L162)</f>
        <v>74278861</v>
      </c>
      <c r="M163" s="56">
        <f>SUM(M148:M162)</f>
        <v>82486495</v>
      </c>
      <c r="N163" s="57">
        <f>L163/M163*100</f>
        <v>90.049723897227054</v>
      </c>
      <c r="O163" s="56">
        <f>SUM(O148:O162)</f>
        <v>9113</v>
      </c>
      <c r="P163" s="57">
        <f>R163/O163</f>
        <v>156.44025019203335</v>
      </c>
      <c r="Q163" s="58">
        <f>SUM(Q148:Q162)</f>
        <v>9104</v>
      </c>
      <c r="R163" s="59">
        <f>SUM(R148:R162)</f>
        <v>1425640</v>
      </c>
    </row>
    <row r="164" spans="1:18" x14ac:dyDescent="0.25">
      <c r="A164" s="37"/>
      <c r="B164" s="37"/>
      <c r="C164" s="96"/>
      <c r="D164" s="96"/>
      <c r="E164" s="97"/>
      <c r="F164" s="96"/>
      <c r="G164" s="96"/>
      <c r="H164" s="97"/>
      <c r="I164" s="96"/>
      <c r="J164" s="96"/>
      <c r="K164" s="34"/>
      <c r="L164" s="96"/>
      <c r="M164" s="96"/>
      <c r="N164" s="97"/>
      <c r="O164" s="98"/>
      <c r="P164" s="76"/>
      <c r="Q164" s="98"/>
      <c r="R164" s="31"/>
    </row>
    <row r="165" spans="1:18" x14ac:dyDescent="0.25">
      <c r="A165" s="99"/>
      <c r="B165" s="99" t="s">
        <v>13</v>
      </c>
      <c r="C165" s="37">
        <v>3</v>
      </c>
      <c r="D165" s="37">
        <v>4</v>
      </c>
      <c r="E165" s="172">
        <v>5</v>
      </c>
      <c r="F165" s="37">
        <v>6</v>
      </c>
      <c r="G165" s="37">
        <v>7</v>
      </c>
      <c r="H165" s="37">
        <v>8</v>
      </c>
      <c r="I165" s="37">
        <v>9</v>
      </c>
      <c r="J165" s="37">
        <v>10</v>
      </c>
      <c r="K165" s="37">
        <v>11</v>
      </c>
      <c r="L165" s="37">
        <v>12</v>
      </c>
      <c r="M165" s="37">
        <v>13</v>
      </c>
      <c r="N165" s="37">
        <v>14</v>
      </c>
      <c r="O165" s="37">
        <v>15</v>
      </c>
      <c r="P165" s="172">
        <v>16</v>
      </c>
      <c r="Q165" s="37">
        <v>17</v>
      </c>
      <c r="R165" s="100"/>
    </row>
    <row r="166" spans="1:18" x14ac:dyDescent="0.25">
      <c r="A166" s="96">
        <v>1</v>
      </c>
      <c r="B166" s="84" t="s">
        <v>134</v>
      </c>
      <c r="C166" s="96">
        <v>13213</v>
      </c>
      <c r="D166" s="96">
        <v>39498</v>
      </c>
      <c r="E166" s="47">
        <f>C166/D166*100</f>
        <v>33.452326700086083</v>
      </c>
      <c r="F166" s="34">
        <v>5061</v>
      </c>
      <c r="G166" s="96">
        <v>6641</v>
      </c>
      <c r="H166" s="47">
        <f>F166/G166*100</f>
        <v>76.208402349043808</v>
      </c>
      <c r="I166" s="96">
        <v>13213</v>
      </c>
      <c r="J166" s="96">
        <v>39498</v>
      </c>
      <c r="K166" s="47">
        <f t="shared" ref="K166:K170" si="66">I166/J166*100</f>
        <v>33.452326700086083</v>
      </c>
      <c r="L166" s="96">
        <v>0</v>
      </c>
      <c r="M166" s="96">
        <v>0</v>
      </c>
      <c r="N166" s="47">
        <v>0</v>
      </c>
      <c r="O166" s="96">
        <v>45</v>
      </c>
      <c r="P166" s="76">
        <v>78</v>
      </c>
      <c r="Q166" s="96">
        <v>49</v>
      </c>
      <c r="R166" s="45">
        <f>Q166*P166</f>
        <v>3822</v>
      </c>
    </row>
    <row r="167" spans="1:18" s="66" customFormat="1" x14ac:dyDescent="0.25">
      <c r="A167" s="96">
        <v>2</v>
      </c>
      <c r="B167" s="84" t="s">
        <v>135</v>
      </c>
      <c r="C167" s="51">
        <v>1670495</v>
      </c>
      <c r="D167" s="51">
        <v>1810111</v>
      </c>
      <c r="E167" s="47">
        <f t="shared" ref="E167:E170" si="67">C167/D167*100</f>
        <v>92.286881854206726</v>
      </c>
      <c r="F167" s="51">
        <v>305909</v>
      </c>
      <c r="G167" s="51">
        <v>595580</v>
      </c>
      <c r="H167" s="47">
        <f t="shared" ref="H167:H170" si="68">F167/G167*100</f>
        <v>51.363208972766039</v>
      </c>
      <c r="I167" s="51">
        <v>1833954</v>
      </c>
      <c r="J167" s="51">
        <v>1702990</v>
      </c>
      <c r="K167" s="47">
        <f t="shared" si="66"/>
        <v>107.69023893270071</v>
      </c>
      <c r="L167" s="51">
        <v>798486</v>
      </c>
      <c r="M167" s="51">
        <v>715776</v>
      </c>
      <c r="N167" s="47">
        <f t="shared" ref="N167:N169" si="69">L167/M167*100</f>
        <v>111.55529104077253</v>
      </c>
      <c r="O167" s="96">
        <v>504</v>
      </c>
      <c r="P167" s="76">
        <v>110</v>
      </c>
      <c r="Q167" s="96">
        <v>509</v>
      </c>
      <c r="R167" s="45">
        <f>Q167*P167</f>
        <v>55990</v>
      </c>
    </row>
    <row r="168" spans="1:18" x14ac:dyDescent="0.25">
      <c r="A168" s="96">
        <v>3</v>
      </c>
      <c r="B168" s="84" t="s">
        <v>136</v>
      </c>
      <c r="C168" s="175">
        <v>0</v>
      </c>
      <c r="D168" s="175">
        <v>0</v>
      </c>
      <c r="E168" s="175">
        <v>0</v>
      </c>
      <c r="F168" s="175">
        <v>0</v>
      </c>
      <c r="G168" s="175">
        <v>0</v>
      </c>
      <c r="H168" s="175">
        <v>0</v>
      </c>
      <c r="I168" s="175">
        <v>0</v>
      </c>
      <c r="J168" s="175">
        <v>0</v>
      </c>
      <c r="K168" s="175">
        <v>0</v>
      </c>
      <c r="L168" s="175">
        <v>0</v>
      </c>
      <c r="M168" s="175">
        <v>0</v>
      </c>
      <c r="N168" s="47">
        <v>0</v>
      </c>
      <c r="O168" s="96">
        <v>0</v>
      </c>
      <c r="P168" s="76">
        <v>0</v>
      </c>
      <c r="Q168" s="96">
        <v>0</v>
      </c>
      <c r="R168" s="45">
        <f>Q168*P168</f>
        <v>0</v>
      </c>
    </row>
    <row r="169" spans="1:18" x14ac:dyDescent="0.25">
      <c r="A169" s="96">
        <v>4</v>
      </c>
      <c r="B169" s="84" t="s">
        <v>137</v>
      </c>
      <c r="C169" s="96">
        <v>644139</v>
      </c>
      <c r="D169" s="96">
        <v>771401</v>
      </c>
      <c r="E169" s="47">
        <f t="shared" si="67"/>
        <v>83.502484440647606</v>
      </c>
      <c r="F169" s="96">
        <v>378897</v>
      </c>
      <c r="G169" s="101">
        <v>143027</v>
      </c>
      <c r="H169" s="47">
        <f t="shared" si="68"/>
        <v>264.91291853985615</v>
      </c>
      <c r="I169" s="101">
        <v>726837</v>
      </c>
      <c r="J169" s="101">
        <v>283825</v>
      </c>
      <c r="K169" s="47">
        <f t="shared" si="66"/>
        <v>256.08632079626534</v>
      </c>
      <c r="L169" s="101">
        <v>592242</v>
      </c>
      <c r="M169" s="101">
        <v>39363</v>
      </c>
      <c r="N169" s="47">
        <f t="shared" si="69"/>
        <v>1504.5652008231079</v>
      </c>
      <c r="O169" s="96">
        <v>288</v>
      </c>
      <c r="P169" s="76">
        <v>32</v>
      </c>
      <c r="Q169" s="96">
        <v>291</v>
      </c>
      <c r="R169" s="45">
        <f>Q169*P169</f>
        <v>9312</v>
      </c>
    </row>
    <row r="170" spans="1:18" x14ac:dyDescent="0.25">
      <c r="A170" s="96">
        <v>5</v>
      </c>
      <c r="B170" s="84" t="s">
        <v>138</v>
      </c>
      <c r="C170" s="96">
        <v>124211</v>
      </c>
      <c r="D170" s="96">
        <v>525270</v>
      </c>
      <c r="E170" s="47">
        <f t="shared" si="67"/>
        <v>23.647076741485332</v>
      </c>
      <c r="F170" s="96">
        <v>124211</v>
      </c>
      <c r="G170" s="96">
        <v>242267</v>
      </c>
      <c r="H170" s="47">
        <f t="shared" si="68"/>
        <v>51.270292693598385</v>
      </c>
      <c r="I170" s="96">
        <v>321679</v>
      </c>
      <c r="J170" s="96">
        <v>1039749</v>
      </c>
      <c r="K170" s="47">
        <f t="shared" si="66"/>
        <v>30.938139877989784</v>
      </c>
      <c r="L170" s="96">
        <v>0</v>
      </c>
      <c r="M170" s="96">
        <v>0</v>
      </c>
      <c r="N170" s="47">
        <v>0</v>
      </c>
      <c r="O170" s="96">
        <v>531</v>
      </c>
      <c r="P170" s="76">
        <v>51</v>
      </c>
      <c r="Q170" s="96">
        <v>531</v>
      </c>
      <c r="R170" s="45">
        <f>Q170*P170</f>
        <v>27081</v>
      </c>
    </row>
    <row r="171" spans="1:18" s="60" customFormat="1" x14ac:dyDescent="0.25">
      <c r="A171" s="315" t="s">
        <v>174</v>
      </c>
      <c r="B171" s="315" t="s">
        <v>139</v>
      </c>
      <c r="C171" s="56">
        <f>SUM(C166:C170)</f>
        <v>2452058</v>
      </c>
      <c r="D171" s="56">
        <f>SUM(D166:D170)</f>
        <v>3146280</v>
      </c>
      <c r="E171" s="57">
        <f>C171/D171*100</f>
        <v>77.935148810658944</v>
      </c>
      <c r="F171" s="56">
        <f>SUM(F166:F170)</f>
        <v>814078</v>
      </c>
      <c r="G171" s="56">
        <f>SUM(G166:G170)</f>
        <v>987515</v>
      </c>
      <c r="H171" s="57">
        <f>F171/G171*100</f>
        <v>82.437026273018645</v>
      </c>
      <c r="I171" s="56">
        <f>SUM(I166:I170)</f>
        <v>2895683</v>
      </c>
      <c r="J171" s="56">
        <f>SUM(J166:J170)</f>
        <v>3066062</v>
      </c>
      <c r="K171" s="57">
        <f>I171/J171*100</f>
        <v>94.443067361325376</v>
      </c>
      <c r="L171" s="56">
        <f>SUM(L166:L170)</f>
        <v>1390728</v>
      </c>
      <c r="M171" s="56">
        <f>SUM(M166:M170)</f>
        <v>755139</v>
      </c>
      <c r="N171" s="57">
        <f>L171/M171*100</f>
        <v>184.16847759154277</v>
      </c>
      <c r="O171" s="56">
        <f>SUM(O166:O170)</f>
        <v>1368</v>
      </c>
      <c r="P171" s="57">
        <f>R171/O171</f>
        <v>70.325292397660817</v>
      </c>
      <c r="Q171" s="58">
        <f>SUM(Q166:Q170)</f>
        <v>1380</v>
      </c>
      <c r="R171" s="59">
        <f>SUM(R166:R170)</f>
        <v>96205</v>
      </c>
    </row>
    <row r="172" spans="1:18" x14ac:dyDescent="0.25">
      <c r="A172" s="102"/>
      <c r="B172" s="103"/>
      <c r="C172" s="104"/>
      <c r="D172" s="104"/>
      <c r="E172" s="105"/>
      <c r="F172" s="104"/>
      <c r="G172" s="104"/>
      <c r="H172" s="105"/>
      <c r="I172" s="104"/>
      <c r="J172" s="104"/>
      <c r="K172" s="105"/>
      <c r="L172" s="104"/>
      <c r="M172" s="104"/>
      <c r="N172" s="105"/>
      <c r="O172" s="104"/>
      <c r="P172" s="104"/>
      <c r="Q172" s="104"/>
      <c r="R172" s="106"/>
    </row>
    <row r="173" spans="1:18" x14ac:dyDescent="0.25">
      <c r="A173" s="96"/>
      <c r="B173" s="37"/>
      <c r="C173" s="172"/>
      <c r="D173" s="318"/>
      <c r="E173" s="318"/>
      <c r="F173" s="318"/>
      <c r="G173" s="108"/>
      <c r="H173" s="108"/>
      <c r="I173" s="108"/>
      <c r="J173" s="335"/>
      <c r="K173" s="335"/>
      <c r="L173" s="335"/>
      <c r="M173" s="335"/>
      <c r="N173" s="335"/>
      <c r="O173" s="335"/>
      <c r="P173" s="109"/>
      <c r="Q173" s="110"/>
      <c r="R173" s="111"/>
    </row>
    <row r="174" spans="1:18" x14ac:dyDescent="0.25">
      <c r="A174" s="319" t="s">
        <v>140</v>
      </c>
      <c r="B174" s="320"/>
      <c r="C174" s="37">
        <v>3</v>
      </c>
      <c r="D174" s="37">
        <v>4</v>
      </c>
      <c r="E174" s="172">
        <v>5</v>
      </c>
      <c r="F174" s="37">
        <v>6</v>
      </c>
      <c r="G174" s="37">
        <v>7</v>
      </c>
      <c r="H174" s="37">
        <v>8</v>
      </c>
      <c r="I174" s="37">
        <v>9</v>
      </c>
      <c r="J174" s="37">
        <v>10</v>
      </c>
      <c r="K174" s="37">
        <v>11</v>
      </c>
      <c r="L174" s="37">
        <v>12</v>
      </c>
      <c r="M174" s="37">
        <v>13</v>
      </c>
      <c r="N174" s="37">
        <v>14</v>
      </c>
      <c r="O174" s="37">
        <v>15</v>
      </c>
      <c r="P174" s="172">
        <v>16</v>
      </c>
      <c r="Q174" s="37">
        <v>17</v>
      </c>
      <c r="R174" s="23"/>
    </row>
    <row r="175" spans="1:18" x14ac:dyDescent="0.25">
      <c r="A175" s="102">
        <v>1</v>
      </c>
      <c r="B175" s="113" t="s">
        <v>141</v>
      </c>
      <c r="C175" s="96">
        <v>0</v>
      </c>
      <c r="D175" s="96">
        <v>3653</v>
      </c>
      <c r="E175" s="97">
        <f t="shared" ref="E175:E184" si="70">C175/D175*100</f>
        <v>0</v>
      </c>
      <c r="F175" s="96">
        <v>0</v>
      </c>
      <c r="G175" s="96">
        <v>383</v>
      </c>
      <c r="H175" s="96">
        <f t="shared" ref="H175:H184" si="71">F175/G175*100</f>
        <v>0</v>
      </c>
      <c r="I175" s="96">
        <v>14140</v>
      </c>
      <c r="J175" s="96">
        <v>11721</v>
      </c>
      <c r="K175" s="97">
        <f t="shared" ref="K175:K184" si="72">I175/J175*100</f>
        <v>120.63817080453887</v>
      </c>
      <c r="L175" s="96">
        <v>0</v>
      </c>
      <c r="M175" s="96">
        <v>0</v>
      </c>
      <c r="N175" s="96">
        <v>0</v>
      </c>
      <c r="O175" s="96">
        <v>69</v>
      </c>
      <c r="P175" s="96">
        <v>95</v>
      </c>
      <c r="Q175" s="96">
        <v>71</v>
      </c>
      <c r="R175" s="45">
        <f t="shared" ref="R175:R184" si="73">Q175*P175</f>
        <v>6745</v>
      </c>
    </row>
    <row r="176" spans="1:18" x14ac:dyDescent="0.25">
      <c r="A176" s="112">
        <v>2</v>
      </c>
      <c r="B176" s="113" t="s">
        <v>142</v>
      </c>
      <c r="C176" s="96">
        <v>331612</v>
      </c>
      <c r="D176" s="96">
        <v>267893</v>
      </c>
      <c r="E176" s="96">
        <f t="shared" si="70"/>
        <v>123.78524261552187</v>
      </c>
      <c r="F176" s="96">
        <v>22861</v>
      </c>
      <c r="G176" s="96">
        <v>7115</v>
      </c>
      <c r="H176" s="96">
        <f t="shared" si="71"/>
        <v>321.30709768095574</v>
      </c>
      <c r="I176" s="96">
        <v>331612</v>
      </c>
      <c r="J176" s="96">
        <v>267893</v>
      </c>
      <c r="K176" s="96">
        <f t="shared" si="72"/>
        <v>123.78524261552187</v>
      </c>
      <c r="L176" s="96">
        <v>331612</v>
      </c>
      <c r="M176" s="96">
        <v>267893</v>
      </c>
      <c r="N176" s="96">
        <f t="shared" ref="N176:N184" si="74">L176/M176*100</f>
        <v>123.78524261552187</v>
      </c>
      <c r="O176" s="96">
        <v>133</v>
      </c>
      <c r="P176" s="96">
        <v>101</v>
      </c>
      <c r="Q176" s="96">
        <v>63</v>
      </c>
      <c r="R176" s="45">
        <f t="shared" si="73"/>
        <v>6363</v>
      </c>
    </row>
    <row r="177" spans="1:18" s="80" customFormat="1" x14ac:dyDescent="0.25">
      <c r="A177" s="102">
        <v>3</v>
      </c>
      <c r="B177" s="113" t="s">
        <v>143</v>
      </c>
      <c r="C177" s="96">
        <v>0</v>
      </c>
      <c r="D177" s="96">
        <v>80779</v>
      </c>
      <c r="E177" s="96">
        <f t="shared" si="70"/>
        <v>0</v>
      </c>
      <c r="F177" s="96">
        <v>0</v>
      </c>
      <c r="G177" s="96">
        <v>16000</v>
      </c>
      <c r="H177" s="96">
        <f t="shared" si="71"/>
        <v>0</v>
      </c>
      <c r="I177" s="96">
        <v>0</v>
      </c>
      <c r="J177" s="96">
        <v>74999</v>
      </c>
      <c r="K177" s="96">
        <f t="shared" si="72"/>
        <v>0</v>
      </c>
      <c r="L177" s="96">
        <v>0</v>
      </c>
      <c r="M177" s="96">
        <v>71580</v>
      </c>
      <c r="N177" s="96">
        <f t="shared" si="74"/>
        <v>0</v>
      </c>
      <c r="O177" s="96">
        <v>60</v>
      </c>
      <c r="P177" s="96">
        <v>32</v>
      </c>
      <c r="Q177" s="96">
        <v>63</v>
      </c>
      <c r="R177" s="45">
        <f t="shared" si="73"/>
        <v>2016</v>
      </c>
    </row>
    <row r="178" spans="1:18" x14ac:dyDescent="0.25">
      <c r="A178" s="112">
        <v>4</v>
      </c>
      <c r="B178" s="113" t="s">
        <v>144</v>
      </c>
      <c r="C178" s="76">
        <v>900401</v>
      </c>
      <c r="D178" s="76">
        <v>1341843</v>
      </c>
      <c r="E178" s="114">
        <f t="shared" si="70"/>
        <v>67.101814444759938</v>
      </c>
      <c r="F178" s="76">
        <v>263262</v>
      </c>
      <c r="G178" s="76">
        <v>415045</v>
      </c>
      <c r="H178" s="114">
        <f t="shared" si="71"/>
        <v>63.429748581479117</v>
      </c>
      <c r="I178" s="76">
        <v>900401</v>
      </c>
      <c r="J178" s="76">
        <v>1341843</v>
      </c>
      <c r="K178" s="114">
        <f t="shared" si="72"/>
        <v>67.101814444759938</v>
      </c>
      <c r="L178" s="76">
        <v>900401</v>
      </c>
      <c r="M178" s="76">
        <v>1341843</v>
      </c>
      <c r="N178" s="47">
        <f t="shared" si="74"/>
        <v>67.101814444759938</v>
      </c>
      <c r="O178" s="96">
        <v>97</v>
      </c>
      <c r="P178" s="115">
        <v>105</v>
      </c>
      <c r="Q178" s="96">
        <v>99</v>
      </c>
      <c r="R178" s="45">
        <f t="shared" si="73"/>
        <v>10395</v>
      </c>
    </row>
    <row r="179" spans="1:18" x14ac:dyDescent="0.25">
      <c r="A179" s="102">
        <v>5</v>
      </c>
      <c r="B179" s="113" t="s">
        <v>145</v>
      </c>
      <c r="C179" s="96">
        <v>256303</v>
      </c>
      <c r="D179" s="96">
        <v>753553</v>
      </c>
      <c r="E179" s="114">
        <f t="shared" si="70"/>
        <v>34.012604289280254</v>
      </c>
      <c r="F179" s="96">
        <v>93318</v>
      </c>
      <c r="G179" s="96">
        <v>515951</v>
      </c>
      <c r="H179" s="114">
        <f t="shared" si="71"/>
        <v>18.08660124701764</v>
      </c>
      <c r="I179" s="96">
        <v>497709</v>
      </c>
      <c r="J179" s="96">
        <v>754404</v>
      </c>
      <c r="K179" s="114">
        <f t="shared" si="72"/>
        <v>65.973801835621231</v>
      </c>
      <c r="L179" s="76">
        <v>497709</v>
      </c>
      <c r="M179" s="76">
        <v>753553</v>
      </c>
      <c r="N179" s="47">
        <f t="shared" si="74"/>
        <v>66.048307152914262</v>
      </c>
      <c r="O179" s="96">
        <v>17</v>
      </c>
      <c r="P179" s="96">
        <v>45</v>
      </c>
      <c r="Q179" s="96">
        <v>16</v>
      </c>
      <c r="R179" s="45">
        <f t="shared" si="73"/>
        <v>720</v>
      </c>
    </row>
    <row r="180" spans="1:18" x14ac:dyDescent="0.25">
      <c r="A180" s="112">
        <v>6</v>
      </c>
      <c r="B180" s="113" t="s">
        <v>146</v>
      </c>
      <c r="C180" s="76">
        <v>0</v>
      </c>
      <c r="D180" s="76">
        <v>0</v>
      </c>
      <c r="E180" s="175">
        <v>0</v>
      </c>
      <c r="F180" s="175">
        <v>0</v>
      </c>
      <c r="G180" s="175">
        <v>0</v>
      </c>
      <c r="H180" s="175">
        <v>0</v>
      </c>
      <c r="I180" s="76">
        <v>0</v>
      </c>
      <c r="J180" s="76">
        <v>0</v>
      </c>
      <c r="K180" s="175">
        <v>0</v>
      </c>
      <c r="L180" s="76">
        <v>0</v>
      </c>
      <c r="M180" s="76">
        <v>0</v>
      </c>
      <c r="N180" s="47">
        <v>0</v>
      </c>
      <c r="O180" s="96">
        <v>0</v>
      </c>
      <c r="P180" s="44">
        <v>0</v>
      </c>
      <c r="Q180" s="96">
        <v>0</v>
      </c>
      <c r="R180" s="45">
        <f t="shared" si="73"/>
        <v>0</v>
      </c>
    </row>
    <row r="181" spans="1:18" x14ac:dyDescent="0.25">
      <c r="A181" s="102">
        <v>7</v>
      </c>
      <c r="B181" s="113" t="s">
        <v>147</v>
      </c>
      <c r="C181" s="76">
        <v>942368</v>
      </c>
      <c r="D181" s="76">
        <v>1444996</v>
      </c>
      <c r="E181" s="114">
        <f t="shared" si="70"/>
        <v>65.215959075319248</v>
      </c>
      <c r="F181" s="76">
        <v>313466</v>
      </c>
      <c r="G181" s="76">
        <v>432325</v>
      </c>
      <c r="H181" s="47">
        <f t="shared" si="71"/>
        <v>72.507025964262994</v>
      </c>
      <c r="I181" s="76">
        <v>333606</v>
      </c>
      <c r="J181" s="76">
        <v>427186</v>
      </c>
      <c r="K181" s="47">
        <f t="shared" si="72"/>
        <v>78.093851390260909</v>
      </c>
      <c r="L181" s="76">
        <v>322508</v>
      </c>
      <c r="M181" s="76">
        <v>427186</v>
      </c>
      <c r="N181" s="47">
        <f t="shared" si="74"/>
        <v>75.495919810106145</v>
      </c>
      <c r="O181" s="96">
        <v>74</v>
      </c>
      <c r="P181" s="96">
        <v>71</v>
      </c>
      <c r="Q181" s="96">
        <v>71</v>
      </c>
      <c r="R181" s="45">
        <f t="shared" si="73"/>
        <v>5041</v>
      </c>
    </row>
    <row r="182" spans="1:18" x14ac:dyDescent="0.25">
      <c r="A182" s="112">
        <v>8</v>
      </c>
      <c r="B182" s="113" t="s">
        <v>148</v>
      </c>
      <c r="C182" s="76">
        <v>227985.74461529998</v>
      </c>
      <c r="D182" s="76">
        <v>130379.709607</v>
      </c>
      <c r="E182" s="47">
        <f t="shared" si="70"/>
        <v>174.86290259620242</v>
      </c>
      <c r="F182" s="76">
        <v>46896.965100000001</v>
      </c>
      <c r="G182" s="76">
        <v>57068.717985800002</v>
      </c>
      <c r="H182" s="47">
        <f t="shared" si="71"/>
        <v>82.176307362764021</v>
      </c>
      <c r="I182" s="76">
        <v>227985.74461529998</v>
      </c>
      <c r="J182" s="76">
        <v>130379.709607</v>
      </c>
      <c r="K182" s="47">
        <f t="shared" si="72"/>
        <v>174.86290259620242</v>
      </c>
      <c r="L182" s="76">
        <v>227985.74461529998</v>
      </c>
      <c r="M182" s="76">
        <v>130379.709607</v>
      </c>
      <c r="N182" s="47">
        <f t="shared" si="74"/>
        <v>174.86290259620242</v>
      </c>
      <c r="O182" s="96">
        <v>38</v>
      </c>
      <c r="P182" s="49">
        <v>85</v>
      </c>
      <c r="Q182" s="96">
        <v>39</v>
      </c>
      <c r="R182" s="45">
        <f t="shared" si="73"/>
        <v>3315</v>
      </c>
    </row>
    <row r="183" spans="1:18" x14ac:dyDescent="0.25">
      <c r="A183" s="102">
        <v>9</v>
      </c>
      <c r="B183" s="113" t="s">
        <v>149</v>
      </c>
      <c r="C183" s="76">
        <v>103684</v>
      </c>
      <c r="D183" s="76">
        <v>79177</v>
      </c>
      <c r="E183" s="47">
        <f t="shared" si="70"/>
        <v>130.95217045354079</v>
      </c>
      <c r="F183" s="76">
        <v>50416</v>
      </c>
      <c r="G183" s="76">
        <v>47545</v>
      </c>
      <c r="H183" s="47">
        <f t="shared" si="71"/>
        <v>106.03848985171942</v>
      </c>
      <c r="I183" s="76">
        <v>103684</v>
      </c>
      <c r="J183" s="76">
        <v>79177</v>
      </c>
      <c r="K183" s="47">
        <f t="shared" si="72"/>
        <v>130.95217045354079</v>
      </c>
      <c r="L183" s="96">
        <v>103684</v>
      </c>
      <c r="M183" s="96">
        <v>0</v>
      </c>
      <c r="N183" s="47">
        <v>0</v>
      </c>
      <c r="O183" s="96">
        <v>10</v>
      </c>
      <c r="P183" s="96">
        <v>50</v>
      </c>
      <c r="Q183" s="96">
        <v>10</v>
      </c>
      <c r="R183" s="45">
        <f t="shared" si="73"/>
        <v>500</v>
      </c>
    </row>
    <row r="184" spans="1:18" x14ac:dyDescent="0.25">
      <c r="A184" s="112">
        <v>10</v>
      </c>
      <c r="B184" s="113" t="s">
        <v>150</v>
      </c>
      <c r="C184" s="76">
        <v>58120</v>
      </c>
      <c r="D184" s="76">
        <v>120611</v>
      </c>
      <c r="E184" s="47">
        <f t="shared" si="70"/>
        <v>48.187976221074365</v>
      </c>
      <c r="F184" s="96">
        <v>820</v>
      </c>
      <c r="G184" s="96">
        <v>33497</v>
      </c>
      <c r="H184" s="47">
        <f t="shared" si="71"/>
        <v>2.4479804161566707</v>
      </c>
      <c r="I184" s="96">
        <v>58120</v>
      </c>
      <c r="J184" s="96">
        <v>120611</v>
      </c>
      <c r="K184" s="47">
        <f t="shared" si="72"/>
        <v>48.187976221074365</v>
      </c>
      <c r="L184" s="96">
        <f>56432+1688</f>
        <v>58120</v>
      </c>
      <c r="M184" s="96">
        <v>120611</v>
      </c>
      <c r="N184" s="47">
        <f t="shared" si="74"/>
        <v>48.187976221074365</v>
      </c>
      <c r="O184" s="96">
        <v>23</v>
      </c>
      <c r="P184" s="96">
        <v>50</v>
      </c>
      <c r="Q184" s="96">
        <v>23</v>
      </c>
      <c r="R184" s="116">
        <f t="shared" si="73"/>
        <v>1150</v>
      </c>
    </row>
    <row r="185" spans="1:18" s="60" customFormat="1" x14ac:dyDescent="0.25">
      <c r="A185" s="315" t="s">
        <v>173</v>
      </c>
      <c r="B185" s="315" t="s">
        <v>139</v>
      </c>
      <c r="C185" s="58">
        <f>SUM(C175:C184)</f>
        <v>2820473.7446153001</v>
      </c>
      <c r="D185" s="58">
        <f>SUM(D175:D184)</f>
        <v>4222884.7096069995</v>
      </c>
      <c r="E185" s="57">
        <f>C185/D185*100</f>
        <v>66.790214239066586</v>
      </c>
      <c r="F185" s="58">
        <f>SUM(F175:F184)</f>
        <v>791039.96510000003</v>
      </c>
      <c r="G185" s="58">
        <f>SUM(G175:G184)</f>
        <v>1524929.7179858</v>
      </c>
      <c r="H185" s="57">
        <f>F185/G185*100</f>
        <v>51.873863809595335</v>
      </c>
      <c r="I185" s="58">
        <f>SUM(I175:I184)</f>
        <v>2467257.7446153001</v>
      </c>
      <c r="J185" s="58">
        <f>SUM(J175:J184)</f>
        <v>3208213.709607</v>
      </c>
      <c r="K185" s="57">
        <f>I185/J185*100</f>
        <v>76.904407497140653</v>
      </c>
      <c r="L185" s="58">
        <f>SUM(L175:L184)</f>
        <v>2442019.7446153001</v>
      </c>
      <c r="M185" s="56">
        <f>SUM(M175:M184)</f>
        <v>3113045.709607</v>
      </c>
      <c r="N185" s="57">
        <f>L185/M185*100</f>
        <v>78.444712105547197</v>
      </c>
      <c r="O185" s="58">
        <f>SUM(O175:O184)</f>
        <v>521</v>
      </c>
      <c r="P185" s="57">
        <f>R185/O185</f>
        <v>69.568138195777351</v>
      </c>
      <c r="Q185" s="58">
        <f>SUM(Q175:Q184)</f>
        <v>455</v>
      </c>
      <c r="R185" s="59">
        <f>SUM(R175:R184)</f>
        <v>36245</v>
      </c>
    </row>
    <row r="186" spans="1:18" x14ac:dyDescent="0.25">
      <c r="A186" s="117"/>
      <c r="B186" s="117"/>
      <c r="C186" s="98"/>
      <c r="D186" s="98"/>
      <c r="E186" s="97"/>
      <c r="F186" s="118"/>
      <c r="G186" s="118"/>
      <c r="H186" s="97"/>
      <c r="I186" s="175"/>
      <c r="J186" s="175"/>
      <c r="K186" s="119"/>
      <c r="L186" s="175"/>
      <c r="M186" s="175"/>
      <c r="N186" s="175"/>
      <c r="O186" s="175"/>
      <c r="P186" s="62"/>
      <c r="Q186" s="175"/>
      <c r="R186" s="31"/>
    </row>
    <row r="187" spans="1:18" x14ac:dyDescent="0.25">
      <c r="A187" s="321" t="s">
        <v>151</v>
      </c>
      <c r="B187" s="322"/>
      <c r="C187" s="37">
        <v>3</v>
      </c>
      <c r="D187" s="37">
        <v>4</v>
      </c>
      <c r="E187" s="172">
        <v>5</v>
      </c>
      <c r="F187" s="37">
        <v>6</v>
      </c>
      <c r="G187" s="37">
        <v>7</v>
      </c>
      <c r="H187" s="37">
        <v>8</v>
      </c>
      <c r="I187" s="37">
        <v>9</v>
      </c>
      <c r="J187" s="37">
        <v>10</v>
      </c>
      <c r="K187" s="37">
        <v>11</v>
      </c>
      <c r="L187" s="37">
        <v>12</v>
      </c>
      <c r="M187" s="37">
        <v>13</v>
      </c>
      <c r="N187" s="37">
        <v>14</v>
      </c>
      <c r="O187" s="37">
        <v>15</v>
      </c>
      <c r="P187" s="172">
        <v>16</v>
      </c>
      <c r="Q187" s="37">
        <v>17</v>
      </c>
      <c r="R187" s="31"/>
    </row>
    <row r="188" spans="1:18" x14ac:dyDescent="0.25">
      <c r="A188" s="118">
        <v>1</v>
      </c>
      <c r="B188" s="120" t="s">
        <v>152</v>
      </c>
      <c r="C188" s="76">
        <v>324646.7</v>
      </c>
      <c r="D188" s="76">
        <v>257046.2</v>
      </c>
      <c r="E188" s="47">
        <f t="shared" ref="E188:E199" si="75">C188/D188*100</f>
        <v>126.29896882350333</v>
      </c>
      <c r="F188" s="76">
        <v>56068.7</v>
      </c>
      <c r="G188" s="76">
        <v>42478.9</v>
      </c>
      <c r="H188" s="47">
        <f t="shared" ref="H188:H199" si="76">F188/G188*100</f>
        <v>131.99188302898614</v>
      </c>
      <c r="I188" s="76">
        <v>236495.9</v>
      </c>
      <c r="J188" s="76">
        <v>236432.7</v>
      </c>
      <c r="K188" s="43">
        <f t="shared" ref="K188:K198" si="77">IF(OR(I188=0,J188=0),0,I188/J188*100)</f>
        <v>100.02673065104784</v>
      </c>
      <c r="L188" s="76">
        <v>0</v>
      </c>
      <c r="M188" s="76">
        <v>0</v>
      </c>
      <c r="N188" s="43">
        <f t="shared" ref="N188:N198" si="78">IF(OR(L188=0,M188=0),0,L188/M188*100)</f>
        <v>0</v>
      </c>
      <c r="O188" s="96">
        <v>321</v>
      </c>
      <c r="P188" s="76">
        <v>197.4</v>
      </c>
      <c r="Q188" s="96">
        <v>308</v>
      </c>
      <c r="R188" s="45">
        <f t="shared" ref="R188:R195" si="79">Q188*P188</f>
        <v>60799.200000000004</v>
      </c>
    </row>
    <row r="189" spans="1:18" x14ac:dyDescent="0.25">
      <c r="A189" s="118">
        <v>2</v>
      </c>
      <c r="B189" s="120" t="s">
        <v>154</v>
      </c>
      <c r="C189" s="76">
        <v>28710</v>
      </c>
      <c r="D189" s="76">
        <v>303447</v>
      </c>
      <c r="E189" s="47">
        <f t="shared" si="75"/>
        <v>9.4612897804229412</v>
      </c>
      <c r="F189" s="76">
        <v>2100</v>
      </c>
      <c r="G189" s="76">
        <v>82448</v>
      </c>
      <c r="H189" s="47">
        <f t="shared" si="76"/>
        <v>2.5470599650688919</v>
      </c>
      <c r="I189" s="76">
        <v>47032</v>
      </c>
      <c r="J189" s="76">
        <v>248504</v>
      </c>
      <c r="K189" s="43">
        <f t="shared" si="77"/>
        <v>18.926053504168948</v>
      </c>
      <c r="L189" s="76">
        <v>47032</v>
      </c>
      <c r="M189" s="76">
        <v>248504</v>
      </c>
      <c r="N189" s="43">
        <f t="shared" si="78"/>
        <v>18.926053504168948</v>
      </c>
      <c r="O189" s="96">
        <v>49</v>
      </c>
      <c r="P189" s="96">
        <v>136</v>
      </c>
      <c r="Q189" s="96">
        <v>50</v>
      </c>
      <c r="R189" s="45">
        <f t="shared" si="79"/>
        <v>6800</v>
      </c>
    </row>
    <row r="190" spans="1:18" x14ac:dyDescent="0.25">
      <c r="A190" s="118">
        <v>3</v>
      </c>
      <c r="B190" s="120" t="s">
        <v>155</v>
      </c>
      <c r="C190" s="76">
        <v>4739</v>
      </c>
      <c r="D190" s="76">
        <v>3592</v>
      </c>
      <c r="E190" s="47">
        <f t="shared" si="75"/>
        <v>131.93207126948775</v>
      </c>
      <c r="F190" s="76">
        <v>1730</v>
      </c>
      <c r="G190" s="76">
        <v>2207</v>
      </c>
      <c r="H190" s="47">
        <f t="shared" si="76"/>
        <v>78.386950611690082</v>
      </c>
      <c r="I190" s="76">
        <v>2608</v>
      </c>
      <c r="J190" s="76">
        <v>3592</v>
      </c>
      <c r="K190" s="43">
        <f t="shared" si="77"/>
        <v>72.605790645879736</v>
      </c>
      <c r="L190" s="76">
        <v>0</v>
      </c>
      <c r="M190" s="76">
        <v>0</v>
      </c>
      <c r="N190" s="43">
        <f t="shared" si="78"/>
        <v>0</v>
      </c>
      <c r="O190" s="96">
        <v>29</v>
      </c>
      <c r="P190" s="96">
        <v>40</v>
      </c>
      <c r="Q190" s="96">
        <v>28</v>
      </c>
      <c r="R190" s="45">
        <f t="shared" si="79"/>
        <v>1120</v>
      </c>
    </row>
    <row r="191" spans="1:18" ht="36" x14ac:dyDescent="0.25">
      <c r="A191" s="118">
        <v>4</v>
      </c>
      <c r="B191" s="121" t="s">
        <v>156</v>
      </c>
      <c r="C191" s="65">
        <v>40785</v>
      </c>
      <c r="D191" s="65">
        <v>38517</v>
      </c>
      <c r="E191" s="43">
        <f t="shared" si="75"/>
        <v>105.88830905833788</v>
      </c>
      <c r="F191" s="65">
        <v>11893</v>
      </c>
      <c r="G191" s="65">
        <v>11051</v>
      </c>
      <c r="H191" s="43">
        <f t="shared" si="76"/>
        <v>107.6192199800923</v>
      </c>
      <c r="I191" s="65">
        <v>0</v>
      </c>
      <c r="J191" s="65">
        <v>0</v>
      </c>
      <c r="K191" s="43">
        <f t="shared" si="77"/>
        <v>0</v>
      </c>
      <c r="L191" s="65">
        <v>0</v>
      </c>
      <c r="M191" s="65">
        <v>0</v>
      </c>
      <c r="N191" s="43">
        <f t="shared" si="78"/>
        <v>0</v>
      </c>
      <c r="O191" s="49">
        <v>87</v>
      </c>
      <c r="P191" s="49">
        <v>82</v>
      </c>
      <c r="Q191" s="49">
        <v>88</v>
      </c>
      <c r="R191" s="45">
        <f t="shared" si="79"/>
        <v>7216</v>
      </c>
    </row>
    <row r="192" spans="1:18" x14ac:dyDescent="0.25">
      <c r="A192" s="118">
        <v>5</v>
      </c>
      <c r="B192" s="122" t="s">
        <v>157</v>
      </c>
      <c r="C192" s="76">
        <v>347</v>
      </c>
      <c r="D192" s="76">
        <v>0</v>
      </c>
      <c r="E192" s="47">
        <v>0</v>
      </c>
      <c r="F192" s="76">
        <v>347</v>
      </c>
      <c r="G192" s="76">
        <v>0</v>
      </c>
      <c r="H192" s="47">
        <v>0</v>
      </c>
      <c r="I192" s="76">
        <v>347</v>
      </c>
      <c r="J192" s="76">
        <v>0</v>
      </c>
      <c r="K192" s="43">
        <f t="shared" si="77"/>
        <v>0</v>
      </c>
      <c r="L192" s="76">
        <v>0</v>
      </c>
      <c r="M192" s="76">
        <v>0</v>
      </c>
      <c r="N192" s="43">
        <f t="shared" si="78"/>
        <v>0</v>
      </c>
      <c r="O192" s="96">
        <v>31</v>
      </c>
      <c r="P192" s="76">
        <v>15.9</v>
      </c>
      <c r="Q192" s="96">
        <v>31</v>
      </c>
      <c r="R192" s="45">
        <f t="shared" si="79"/>
        <v>492.90000000000003</v>
      </c>
    </row>
    <row r="193" spans="1:18" x14ac:dyDescent="0.25">
      <c r="A193" s="118">
        <v>6</v>
      </c>
      <c r="B193" s="120" t="s">
        <v>158</v>
      </c>
      <c r="C193" s="76">
        <v>4626</v>
      </c>
      <c r="D193" s="76">
        <v>6940</v>
      </c>
      <c r="E193" s="47">
        <f t="shared" si="75"/>
        <v>66.657060518731996</v>
      </c>
      <c r="F193" s="76">
        <v>1270</v>
      </c>
      <c r="G193" s="76">
        <v>2861</v>
      </c>
      <c r="H193" s="47">
        <f t="shared" si="76"/>
        <v>44.390073400908776</v>
      </c>
      <c r="I193" s="76">
        <v>0</v>
      </c>
      <c r="J193" s="76">
        <v>0</v>
      </c>
      <c r="K193" s="43">
        <f t="shared" si="77"/>
        <v>0</v>
      </c>
      <c r="L193" s="76">
        <v>0</v>
      </c>
      <c r="M193" s="76">
        <v>0</v>
      </c>
      <c r="N193" s="43">
        <f t="shared" si="78"/>
        <v>0</v>
      </c>
      <c r="O193" s="96">
        <v>19</v>
      </c>
      <c r="P193" s="96">
        <v>34</v>
      </c>
      <c r="Q193" s="96">
        <v>19</v>
      </c>
      <c r="R193" s="45">
        <f t="shared" si="79"/>
        <v>646</v>
      </c>
    </row>
    <row r="194" spans="1:18" x14ac:dyDescent="0.25">
      <c r="A194" s="118">
        <v>7</v>
      </c>
      <c r="B194" s="120" t="s">
        <v>159</v>
      </c>
      <c r="C194" s="76">
        <v>18467</v>
      </c>
      <c r="D194" s="76">
        <v>22206</v>
      </c>
      <c r="E194" s="47">
        <f t="shared" si="75"/>
        <v>83.162208412140856</v>
      </c>
      <c r="F194" s="76">
        <v>12212</v>
      </c>
      <c r="G194" s="76">
        <v>7566</v>
      </c>
      <c r="H194" s="47">
        <f t="shared" si="76"/>
        <v>161.40629130319851</v>
      </c>
      <c r="I194" s="76">
        <v>18767</v>
      </c>
      <c r="J194" s="76">
        <v>22206</v>
      </c>
      <c r="K194" s="43">
        <f t="shared" si="77"/>
        <v>84.513194632081422</v>
      </c>
      <c r="L194" s="76">
        <v>0</v>
      </c>
      <c r="M194" s="76">
        <v>0</v>
      </c>
      <c r="N194" s="43">
        <f t="shared" si="78"/>
        <v>0</v>
      </c>
      <c r="O194" s="96">
        <v>84</v>
      </c>
      <c r="P194" s="76">
        <v>53.7</v>
      </c>
      <c r="Q194" s="96">
        <v>84</v>
      </c>
      <c r="R194" s="45">
        <f t="shared" si="79"/>
        <v>4510.8</v>
      </c>
    </row>
    <row r="195" spans="1:18" x14ac:dyDescent="0.25">
      <c r="A195" s="118">
        <v>8</v>
      </c>
      <c r="B195" s="120" t="s">
        <v>160</v>
      </c>
      <c r="C195" s="76">
        <v>3094</v>
      </c>
      <c r="D195" s="76">
        <v>4044</v>
      </c>
      <c r="E195" s="47">
        <f t="shared" si="75"/>
        <v>76.508407517309593</v>
      </c>
      <c r="F195" s="76">
        <v>950</v>
      </c>
      <c r="G195" s="76">
        <v>6000</v>
      </c>
      <c r="H195" s="47">
        <f t="shared" si="76"/>
        <v>15.833333333333332</v>
      </c>
      <c r="I195" s="76">
        <v>0</v>
      </c>
      <c r="J195" s="76">
        <v>0</v>
      </c>
      <c r="K195" s="43">
        <f t="shared" si="77"/>
        <v>0</v>
      </c>
      <c r="L195" s="76">
        <v>0</v>
      </c>
      <c r="M195" s="76">
        <v>0</v>
      </c>
      <c r="N195" s="43">
        <f t="shared" si="78"/>
        <v>0</v>
      </c>
      <c r="O195" s="96">
        <v>13</v>
      </c>
      <c r="P195" s="76">
        <v>49.5</v>
      </c>
      <c r="Q195" s="96">
        <v>14</v>
      </c>
      <c r="R195" s="45">
        <f t="shared" si="79"/>
        <v>693</v>
      </c>
    </row>
    <row r="196" spans="1:18" x14ac:dyDescent="0.25">
      <c r="A196" s="118">
        <v>9</v>
      </c>
      <c r="B196" s="120" t="s">
        <v>161</v>
      </c>
      <c r="C196" s="76">
        <v>2727</v>
      </c>
      <c r="D196" s="76">
        <v>23827</v>
      </c>
      <c r="E196" s="47">
        <f t="shared" si="75"/>
        <v>11.44499937046208</v>
      </c>
      <c r="F196" s="76">
        <v>4028</v>
      </c>
      <c r="G196" s="76">
        <v>5987</v>
      </c>
      <c r="H196" s="47">
        <f t="shared" si="76"/>
        <v>67.279104726908301</v>
      </c>
      <c r="I196" s="76">
        <v>0</v>
      </c>
      <c r="J196" s="76">
        <v>0</v>
      </c>
      <c r="K196" s="43">
        <f t="shared" si="77"/>
        <v>0</v>
      </c>
      <c r="L196" s="76">
        <v>0</v>
      </c>
      <c r="M196" s="76">
        <v>0</v>
      </c>
      <c r="N196" s="43">
        <v>0</v>
      </c>
      <c r="O196" s="96">
        <v>23</v>
      </c>
      <c r="P196" s="76">
        <v>90.6</v>
      </c>
      <c r="Q196" s="96">
        <v>24</v>
      </c>
      <c r="R196" s="45"/>
    </row>
    <row r="197" spans="1:18" x14ac:dyDescent="0.25">
      <c r="A197" s="118">
        <v>10</v>
      </c>
      <c r="B197" s="120" t="s">
        <v>162</v>
      </c>
      <c r="C197" s="76">
        <v>4720</v>
      </c>
      <c r="D197" s="76">
        <v>3254</v>
      </c>
      <c r="E197" s="47">
        <f t="shared" si="75"/>
        <v>145.05224339274739</v>
      </c>
      <c r="F197" s="76">
        <v>1542</v>
      </c>
      <c r="G197" s="76">
        <v>1446</v>
      </c>
      <c r="H197" s="47">
        <f t="shared" si="76"/>
        <v>106.6390041493776</v>
      </c>
      <c r="I197" s="76">
        <v>4720</v>
      </c>
      <c r="J197" s="76">
        <v>3254</v>
      </c>
      <c r="K197" s="43">
        <f t="shared" si="77"/>
        <v>145.05224339274739</v>
      </c>
      <c r="L197" s="76">
        <v>0</v>
      </c>
      <c r="M197" s="76">
        <v>0</v>
      </c>
      <c r="N197" s="43">
        <f t="shared" si="78"/>
        <v>0</v>
      </c>
      <c r="O197" s="96">
        <v>27</v>
      </c>
      <c r="P197" s="76">
        <v>56.2</v>
      </c>
      <c r="Q197" s="96">
        <v>27</v>
      </c>
      <c r="R197" s="45">
        <f>Q197*P197</f>
        <v>1517.4</v>
      </c>
    </row>
    <row r="198" spans="1:18" x14ac:dyDescent="0.25">
      <c r="A198" s="118">
        <v>11</v>
      </c>
      <c r="B198" s="123" t="s">
        <v>163</v>
      </c>
      <c r="C198" s="76">
        <v>62055</v>
      </c>
      <c r="D198" s="76">
        <v>1755</v>
      </c>
      <c r="E198" s="47">
        <f t="shared" si="75"/>
        <v>3535.8974358974356</v>
      </c>
      <c r="F198" s="76">
        <v>625</v>
      </c>
      <c r="G198" s="76">
        <v>1255</v>
      </c>
      <c r="H198" s="47">
        <f t="shared" si="76"/>
        <v>49.800796812749006</v>
      </c>
      <c r="I198" s="76">
        <v>1728</v>
      </c>
      <c r="J198" s="76">
        <v>1467</v>
      </c>
      <c r="K198" s="43">
        <f t="shared" si="77"/>
        <v>117.79141104294479</v>
      </c>
      <c r="L198" s="76">
        <v>474.5</v>
      </c>
      <c r="M198" s="76">
        <v>290</v>
      </c>
      <c r="N198" s="43">
        <f t="shared" si="78"/>
        <v>163.62068965517241</v>
      </c>
      <c r="O198" s="96">
        <v>26</v>
      </c>
      <c r="P198" s="96">
        <v>50</v>
      </c>
      <c r="Q198" s="96">
        <v>26</v>
      </c>
      <c r="R198" s="45">
        <f>Q198*P198</f>
        <v>1300</v>
      </c>
    </row>
    <row r="199" spans="1:18" s="60" customFormat="1" x14ac:dyDescent="0.25">
      <c r="A199" s="315" t="s">
        <v>173</v>
      </c>
      <c r="B199" s="315" t="s">
        <v>139</v>
      </c>
      <c r="C199" s="124">
        <f>SUM(C188:C198)</f>
        <v>494916.7</v>
      </c>
      <c r="D199" s="124">
        <f>SUM(D188:D198)</f>
        <v>664628.19999999995</v>
      </c>
      <c r="E199" s="57">
        <f t="shared" si="75"/>
        <v>74.465197233581122</v>
      </c>
      <c r="F199" s="124">
        <f>SUM(F188:F198)</f>
        <v>92765.7</v>
      </c>
      <c r="G199" s="124">
        <f>SUM(G188:G198)</f>
        <v>163299.9</v>
      </c>
      <c r="H199" s="57">
        <f t="shared" si="76"/>
        <v>56.806954566414312</v>
      </c>
      <c r="I199" s="124">
        <f>SUM(I188:I198)</f>
        <v>311697.90000000002</v>
      </c>
      <c r="J199" s="124">
        <f>SUM(J188:J198)</f>
        <v>515455.7</v>
      </c>
      <c r="K199" s="57">
        <f>I199/J199*100</f>
        <v>60.470356618425214</v>
      </c>
      <c r="L199" s="124">
        <f>SUM(L188:L198)</f>
        <v>47506.5</v>
      </c>
      <c r="M199" s="124">
        <f>SUM(M188:M198)</f>
        <v>248794</v>
      </c>
      <c r="N199" s="57">
        <f>L199/M199*100</f>
        <v>19.094712895005507</v>
      </c>
      <c r="O199" s="124">
        <f>SUM(O188:O198)</f>
        <v>709</v>
      </c>
      <c r="P199" s="57">
        <f>R199/O199</f>
        <v>120.02157968970381</v>
      </c>
      <c r="Q199" s="124">
        <f>SUM(Q188:Q198)</f>
        <v>699</v>
      </c>
      <c r="R199" s="59">
        <f>SUM(R188:R198)</f>
        <v>85095.3</v>
      </c>
    </row>
    <row r="200" spans="1:18" x14ac:dyDescent="0.25">
      <c r="A200" s="125"/>
      <c r="B200" s="37"/>
      <c r="C200" s="125"/>
      <c r="D200" s="125"/>
      <c r="E200" s="125"/>
      <c r="F200" s="125"/>
      <c r="G200" s="125"/>
      <c r="H200" s="125"/>
      <c r="I200" s="125"/>
      <c r="J200" s="125"/>
      <c r="K200" s="125"/>
      <c r="L200" s="125"/>
      <c r="M200" s="125"/>
      <c r="N200" s="125"/>
      <c r="O200" s="125"/>
      <c r="P200" s="125"/>
      <c r="Q200" s="125"/>
      <c r="R200" s="126"/>
    </row>
    <row r="201" spans="1:18" x14ac:dyDescent="0.25">
      <c r="A201" s="323" t="s">
        <v>22</v>
      </c>
      <c r="B201" s="324"/>
      <c r="C201" s="37">
        <v>3</v>
      </c>
      <c r="D201" s="37">
        <v>4</v>
      </c>
      <c r="E201" s="172">
        <v>5</v>
      </c>
      <c r="F201" s="37">
        <v>6</v>
      </c>
      <c r="G201" s="37">
        <v>7</v>
      </c>
      <c r="H201" s="37">
        <v>8</v>
      </c>
      <c r="I201" s="37">
        <v>9</v>
      </c>
      <c r="J201" s="37">
        <v>10</v>
      </c>
      <c r="K201" s="37">
        <v>11</v>
      </c>
      <c r="L201" s="37">
        <v>12</v>
      </c>
      <c r="M201" s="37">
        <v>13</v>
      </c>
      <c r="N201" s="37">
        <v>14</v>
      </c>
      <c r="O201" s="37">
        <v>15</v>
      </c>
      <c r="P201" s="172">
        <v>16</v>
      </c>
      <c r="Q201" s="37">
        <v>17</v>
      </c>
      <c r="R201" s="23"/>
    </row>
    <row r="202" spans="1:18" x14ac:dyDescent="0.25">
      <c r="A202" s="96">
        <v>1</v>
      </c>
      <c r="B202" s="127" t="s">
        <v>164</v>
      </c>
      <c r="C202" s="49">
        <v>21648</v>
      </c>
      <c r="D202" s="49">
        <v>31299</v>
      </c>
      <c r="E202" s="119">
        <f t="shared" ref="E202" si="80">C202/D202*100</f>
        <v>69.165149046295397</v>
      </c>
      <c r="F202" s="49">
        <v>10087</v>
      </c>
      <c r="G202" s="49">
        <v>5704</v>
      </c>
      <c r="H202" s="119">
        <f t="shared" ref="H202:H203" si="81">F202/G202*100</f>
        <v>176.84081346423562</v>
      </c>
      <c r="I202" s="49">
        <v>21648</v>
      </c>
      <c r="J202" s="49">
        <v>31298</v>
      </c>
      <c r="K202" s="119">
        <f t="shared" ref="K202:K203" si="82">I202/J202*100</f>
        <v>69.167358936673267</v>
      </c>
      <c r="L202" s="49">
        <v>21648</v>
      </c>
      <c r="M202" s="49">
        <f>9216+22083</f>
        <v>31299</v>
      </c>
      <c r="N202" s="47">
        <f t="shared" ref="N202" si="83">L202/M202*100</f>
        <v>69.165149046295397</v>
      </c>
      <c r="O202" s="34">
        <v>47</v>
      </c>
      <c r="P202" s="96">
        <v>48</v>
      </c>
      <c r="Q202" s="34">
        <v>51</v>
      </c>
      <c r="R202" s="45">
        <f>Q202*P202</f>
        <v>2448</v>
      </c>
    </row>
    <row r="203" spans="1:18" x14ac:dyDescent="0.25">
      <c r="A203" s="96">
        <v>2</v>
      </c>
      <c r="B203" s="127" t="s">
        <v>165</v>
      </c>
      <c r="C203" s="49">
        <v>115</v>
      </c>
      <c r="D203" s="49">
        <v>45742</v>
      </c>
      <c r="E203" s="119">
        <v>0</v>
      </c>
      <c r="F203" s="49">
        <v>102</v>
      </c>
      <c r="G203" s="49">
        <v>45684</v>
      </c>
      <c r="H203" s="119">
        <f t="shared" si="81"/>
        <v>0.22327291830837931</v>
      </c>
      <c r="I203" s="49">
        <v>115</v>
      </c>
      <c r="J203" s="49">
        <v>7445</v>
      </c>
      <c r="K203" s="119">
        <f t="shared" si="82"/>
        <v>1.5446608462055069</v>
      </c>
      <c r="L203" s="49">
        <v>0</v>
      </c>
      <c r="M203" s="49">
        <v>7137</v>
      </c>
      <c r="N203" s="47">
        <v>0</v>
      </c>
      <c r="O203" s="34">
        <v>190</v>
      </c>
      <c r="P203" s="96">
        <v>65</v>
      </c>
      <c r="Q203" s="34">
        <v>190</v>
      </c>
      <c r="R203" s="45">
        <f>Q203*P203</f>
        <v>12350</v>
      </c>
    </row>
    <row r="204" spans="1:18" s="60" customFormat="1" x14ac:dyDescent="0.25">
      <c r="A204" s="315" t="s">
        <v>173</v>
      </c>
      <c r="B204" s="315" t="s">
        <v>139</v>
      </c>
      <c r="C204" s="56">
        <f>SUM(C202:C203)</f>
        <v>21763</v>
      </c>
      <c r="D204" s="56">
        <f>SUM(D202:D203)</f>
        <v>77041</v>
      </c>
      <c r="E204" s="57">
        <f>C204/D204*100</f>
        <v>28.248594904012148</v>
      </c>
      <c r="F204" s="56">
        <f>SUM(F202:F203)</f>
        <v>10189</v>
      </c>
      <c r="G204" s="56">
        <f>SUM(G202:G203)</f>
        <v>51388</v>
      </c>
      <c r="H204" s="57">
        <f>F204/G204*100</f>
        <v>19.827586206896552</v>
      </c>
      <c r="I204" s="57">
        <f>SUM(I202:I203)</f>
        <v>21763</v>
      </c>
      <c r="J204" s="56">
        <f>SUM(J202:J203)</f>
        <v>38743</v>
      </c>
      <c r="K204" s="57">
        <f>I204/J204*100</f>
        <v>56.172727976666749</v>
      </c>
      <c r="L204" s="58">
        <f>SUM(L202:L203)</f>
        <v>21648</v>
      </c>
      <c r="M204" s="56">
        <f>SUM(M202:M203)</f>
        <v>38436</v>
      </c>
      <c r="N204" s="57">
        <f>L204/M204*100</f>
        <v>56.322197939431781</v>
      </c>
      <c r="O204" s="58">
        <f>SUM(O202:O203)</f>
        <v>237</v>
      </c>
      <c r="P204" s="58">
        <f>R204/O204</f>
        <v>62.438818565400844</v>
      </c>
      <c r="Q204" s="56">
        <f>SUM(Q202:Q203)</f>
        <v>241</v>
      </c>
      <c r="R204" s="59">
        <f>SUM(R202:R203)</f>
        <v>14798</v>
      </c>
    </row>
    <row r="205" spans="1:18" x14ac:dyDescent="0.25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6"/>
    </row>
    <row r="206" spans="1:18" x14ac:dyDescent="0.25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6"/>
    </row>
    <row r="207" spans="1:18" x14ac:dyDescent="0.25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6"/>
    </row>
    <row r="208" spans="1:18" x14ac:dyDescent="0.25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6"/>
    </row>
    <row r="209" spans="1:22" x14ac:dyDescent="0.25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6"/>
    </row>
    <row r="210" spans="1:22" x14ac:dyDescent="0.25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6"/>
    </row>
    <row r="211" spans="1:22" x14ac:dyDescent="0.25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6"/>
    </row>
    <row r="212" spans="1:22" x14ac:dyDescent="0.25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</row>
    <row r="213" spans="1:22" x14ac:dyDescent="0.25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</row>
    <row r="214" spans="1:22" x14ac:dyDescent="0.25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</row>
    <row r="215" spans="1:22" x14ac:dyDescent="0.25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</row>
    <row r="216" spans="1:22" x14ac:dyDescent="0.25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</row>
    <row r="217" spans="1:22" x14ac:dyDescent="0.25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</row>
    <row r="218" spans="1:22" x14ac:dyDescent="0.25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</row>
    <row r="219" spans="1:22" x14ac:dyDescent="0.25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</row>
    <row r="220" spans="1:22" x14ac:dyDescent="0.25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</row>
    <row r="221" spans="1:22" x14ac:dyDescent="0.25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</row>
    <row r="222" spans="1:22" x14ac:dyDescent="0.25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</row>
    <row r="223" spans="1:22" x14ac:dyDescent="0.25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</row>
    <row r="224" spans="1:22" x14ac:dyDescent="0.25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</row>
    <row r="225" spans="1:22" x14ac:dyDescent="0.25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</row>
    <row r="226" spans="1:22" x14ac:dyDescent="0.25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</row>
    <row r="227" spans="1:22" x14ac:dyDescent="0.25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</row>
    <row r="228" spans="1:22" x14ac:dyDescent="0.25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</row>
    <row r="229" spans="1:22" x14ac:dyDescent="0.25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</row>
    <row r="230" spans="1:22" x14ac:dyDescent="0.25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</row>
    <row r="231" spans="1:22" x14ac:dyDescent="0.25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</row>
    <row r="232" spans="1:22" x14ac:dyDescent="0.25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</row>
    <row r="233" spans="1:22" x14ac:dyDescent="0.25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</row>
    <row r="234" spans="1:22" x14ac:dyDescent="0.25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</row>
    <row r="235" spans="1:22" x14ac:dyDescent="0.25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</row>
    <row r="236" spans="1:22" x14ac:dyDescent="0.25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</row>
    <row r="237" spans="1:22" x14ac:dyDescent="0.25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</row>
    <row r="238" spans="1:22" x14ac:dyDescent="0.25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</row>
    <row r="239" spans="1:22" x14ac:dyDescent="0.25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</row>
    <row r="240" spans="1:22" x14ac:dyDescent="0.25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</row>
    <row r="241" spans="1:22" x14ac:dyDescent="0.25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</row>
    <row r="242" spans="1:22" x14ac:dyDescent="0.25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</row>
    <row r="243" spans="1:22" x14ac:dyDescent="0.25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</row>
    <row r="244" spans="1:22" x14ac:dyDescent="0.25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</row>
    <row r="245" spans="1:22" x14ac:dyDescent="0.25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</row>
    <row r="246" spans="1:22" x14ac:dyDescent="0.25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</row>
    <row r="247" spans="1:22" x14ac:dyDescent="0.25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</row>
    <row r="248" spans="1:22" x14ac:dyDescent="0.25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</row>
    <row r="249" spans="1:22" x14ac:dyDescent="0.25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</row>
    <row r="250" spans="1:22" x14ac:dyDescent="0.25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</row>
    <row r="251" spans="1:22" x14ac:dyDescent="0.25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</row>
    <row r="252" spans="1:22" x14ac:dyDescent="0.25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</row>
    <row r="253" spans="1:22" x14ac:dyDescent="0.25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</row>
    <row r="254" spans="1:22" x14ac:dyDescent="0.25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</row>
    <row r="255" spans="1:22" x14ac:dyDescent="0.25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</row>
    <row r="256" spans="1:22" x14ac:dyDescent="0.25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</row>
    <row r="257" spans="1:22" x14ac:dyDescent="0.25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</row>
    <row r="258" spans="1:22" x14ac:dyDescent="0.25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</row>
    <row r="259" spans="1:22" s="18" customFormat="1" x14ac:dyDescent="0.25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</row>
    <row r="260" spans="1:22" s="18" customFormat="1" x14ac:dyDescent="0.25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</row>
    <row r="261" spans="1:22" s="18" customFormat="1" x14ac:dyDescent="0.25"/>
    <row r="262" spans="1:22" s="18" customFormat="1" x14ac:dyDescent="0.25"/>
    <row r="263" spans="1:22" s="18" customFormat="1" x14ac:dyDescent="0.25"/>
    <row r="264" spans="1:22" s="18" customFormat="1" x14ac:dyDescent="0.25"/>
    <row r="265" spans="1:22" s="18" customFormat="1" x14ac:dyDescent="0.25"/>
    <row r="266" spans="1:22" s="18" customFormat="1" x14ac:dyDescent="0.25"/>
    <row r="267" spans="1:22" s="18" customFormat="1" x14ac:dyDescent="0.25"/>
    <row r="268" spans="1:22" s="18" customFormat="1" x14ac:dyDescent="0.25"/>
    <row r="269" spans="1:22" s="18" customFormat="1" x14ac:dyDescent="0.25"/>
    <row r="270" spans="1:22" s="18" customFormat="1" x14ac:dyDescent="0.25"/>
    <row r="271" spans="1:22" s="18" customFormat="1" x14ac:dyDescent="0.25"/>
    <row r="272" spans="1:2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</sheetData>
  <mergeCells count="55">
    <mergeCell ref="A199:B199"/>
    <mergeCell ref="A201:B201"/>
    <mergeCell ref="A204:B204"/>
    <mergeCell ref="D173:F173"/>
    <mergeCell ref="J173:L173"/>
    <mergeCell ref="A187:B187"/>
    <mergeCell ref="A185:B185"/>
    <mergeCell ref="A171:B171"/>
    <mergeCell ref="A99:B99"/>
    <mergeCell ref="A101:B101"/>
    <mergeCell ref="M173:O173"/>
    <mergeCell ref="A174:B174"/>
    <mergeCell ref="A127:B127"/>
    <mergeCell ref="A129:B129"/>
    <mergeCell ref="A133:B133"/>
    <mergeCell ref="A143:B143"/>
    <mergeCell ref="A147:B147"/>
    <mergeCell ref="A163:B163"/>
    <mergeCell ref="Q40:Q41"/>
    <mergeCell ref="P40:P41"/>
    <mergeCell ref="A84:B84"/>
    <mergeCell ref="A85:B85"/>
    <mergeCell ref="A87:B87"/>
    <mergeCell ref="A75:B75"/>
    <mergeCell ref="A43:B43"/>
    <mergeCell ref="A61:B61"/>
    <mergeCell ref="A63:B63"/>
    <mergeCell ref="A73:B73"/>
    <mergeCell ref="O40:O41"/>
    <mergeCell ref="A40:A41"/>
    <mergeCell ref="B40:B41"/>
    <mergeCell ref="C40:G40"/>
    <mergeCell ref="H40:K40"/>
    <mergeCell ref="A37:Q39"/>
    <mergeCell ref="D6:D10"/>
    <mergeCell ref="E6:E10"/>
    <mergeCell ref="F6:F10"/>
    <mergeCell ref="G6:G10"/>
    <mergeCell ref="H6:H10"/>
    <mergeCell ref="I6:I10"/>
    <mergeCell ref="J6:J10"/>
    <mergeCell ref="K6:K10"/>
    <mergeCell ref="L6:L10"/>
    <mergeCell ref="M6:M10"/>
    <mergeCell ref="N6:N10"/>
    <mergeCell ref="A3:Q4"/>
    <mergeCell ref="A5:A10"/>
    <mergeCell ref="B5:B10"/>
    <mergeCell ref="C5:H5"/>
    <mergeCell ref="I5:K5"/>
    <mergeCell ref="L5:N5"/>
    <mergeCell ref="O5:O10"/>
    <mergeCell ref="P5:P10"/>
    <mergeCell ref="Q5:Q10"/>
    <mergeCell ref="C6:C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M280"/>
  <sheetViews>
    <sheetView topLeftCell="A41" workbookViewId="0">
      <selection activeCell="C60" sqref="C60"/>
    </sheetView>
  </sheetViews>
  <sheetFormatPr defaultRowHeight="15" x14ac:dyDescent="0.25"/>
  <cols>
    <col min="1" max="1" width="3.28515625" customWidth="1"/>
    <col min="2" max="2" width="27.85546875" customWidth="1"/>
    <col min="3" max="3" width="11.42578125" customWidth="1"/>
    <col min="4" max="4" width="11.5703125" customWidth="1"/>
    <col min="5" max="5" width="6.5703125" customWidth="1"/>
    <col min="6" max="6" width="10.140625" customWidth="1"/>
    <col min="7" max="7" width="10.28515625" customWidth="1"/>
    <col min="8" max="8" width="7.140625" customWidth="1"/>
    <col min="9" max="9" width="11.28515625" customWidth="1"/>
    <col min="10" max="10" width="11.42578125" customWidth="1"/>
    <col min="11" max="11" width="6.28515625" customWidth="1"/>
    <col min="12" max="12" width="11.28515625" customWidth="1"/>
    <col min="13" max="13" width="11.42578125" customWidth="1"/>
    <col min="14" max="14" width="7" customWidth="1"/>
    <col min="15" max="15" width="7.28515625" customWidth="1"/>
    <col min="16" max="16" width="6.5703125" customWidth="1"/>
    <col min="17" max="17" width="6.7109375" customWidth="1"/>
    <col min="18" max="18" width="10.28515625" customWidth="1"/>
  </cols>
  <sheetData>
    <row r="3" spans="1:18" x14ac:dyDescent="0.25">
      <c r="A3" s="337" t="s">
        <v>198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</row>
    <row r="4" spans="1:18" x14ac:dyDescent="0.25">
      <c r="A4" s="338"/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1"/>
    </row>
    <row r="5" spans="1:18" x14ac:dyDescent="0.25">
      <c r="A5" s="339" t="s">
        <v>0</v>
      </c>
      <c r="B5" s="340" t="s">
        <v>1</v>
      </c>
      <c r="C5" s="341" t="s">
        <v>172</v>
      </c>
      <c r="D5" s="341"/>
      <c r="E5" s="341"/>
      <c r="F5" s="341"/>
      <c r="G5" s="341"/>
      <c r="H5" s="341"/>
      <c r="I5" s="342" t="s">
        <v>2</v>
      </c>
      <c r="J5" s="343"/>
      <c r="K5" s="344"/>
      <c r="L5" s="345" t="s">
        <v>3</v>
      </c>
      <c r="M5" s="346"/>
      <c r="N5" s="347"/>
      <c r="O5" s="340" t="s">
        <v>4</v>
      </c>
      <c r="P5" s="348" t="s">
        <v>5</v>
      </c>
      <c r="Q5" s="340" t="s">
        <v>6</v>
      </c>
      <c r="R5" s="2"/>
    </row>
    <row r="6" spans="1:18" x14ac:dyDescent="0.25">
      <c r="A6" s="339"/>
      <c r="B6" s="340"/>
      <c r="C6" s="340" t="s">
        <v>7</v>
      </c>
      <c r="D6" s="340" t="s">
        <v>8</v>
      </c>
      <c r="E6" s="349" t="s">
        <v>9</v>
      </c>
      <c r="F6" s="340" t="s">
        <v>10</v>
      </c>
      <c r="G6" s="340" t="s">
        <v>8</v>
      </c>
      <c r="H6" s="349" t="s">
        <v>9</v>
      </c>
      <c r="I6" s="340" t="s">
        <v>11</v>
      </c>
      <c r="J6" s="340" t="s">
        <v>8</v>
      </c>
      <c r="K6" s="349" t="s">
        <v>9</v>
      </c>
      <c r="L6" s="340" t="s">
        <v>11</v>
      </c>
      <c r="M6" s="340" t="s">
        <v>8</v>
      </c>
      <c r="N6" s="349" t="s">
        <v>9</v>
      </c>
      <c r="O6" s="340"/>
      <c r="P6" s="348"/>
      <c r="Q6" s="340"/>
      <c r="R6" s="2"/>
    </row>
    <row r="7" spans="1:18" x14ac:dyDescent="0.25">
      <c r="A7" s="339"/>
      <c r="B7" s="340"/>
      <c r="C7" s="340"/>
      <c r="D7" s="340"/>
      <c r="E7" s="349"/>
      <c r="F7" s="340"/>
      <c r="G7" s="340"/>
      <c r="H7" s="349"/>
      <c r="I7" s="340"/>
      <c r="J7" s="340"/>
      <c r="K7" s="349"/>
      <c r="L7" s="340"/>
      <c r="M7" s="340"/>
      <c r="N7" s="349"/>
      <c r="O7" s="340"/>
      <c r="P7" s="348"/>
      <c r="Q7" s="340"/>
      <c r="R7" s="2"/>
    </row>
    <row r="8" spans="1:18" x14ac:dyDescent="0.25">
      <c r="A8" s="339"/>
      <c r="B8" s="340"/>
      <c r="C8" s="340"/>
      <c r="D8" s="340"/>
      <c r="E8" s="349"/>
      <c r="F8" s="340"/>
      <c r="G8" s="340"/>
      <c r="H8" s="349"/>
      <c r="I8" s="340"/>
      <c r="J8" s="340"/>
      <c r="K8" s="349"/>
      <c r="L8" s="340"/>
      <c r="M8" s="340"/>
      <c r="N8" s="349"/>
      <c r="O8" s="340"/>
      <c r="P8" s="348"/>
      <c r="Q8" s="340"/>
      <c r="R8" s="2"/>
    </row>
    <row r="9" spans="1:18" x14ac:dyDescent="0.25">
      <c r="A9" s="339"/>
      <c r="B9" s="340"/>
      <c r="C9" s="340"/>
      <c r="D9" s="340"/>
      <c r="E9" s="349"/>
      <c r="F9" s="340"/>
      <c r="G9" s="340"/>
      <c r="H9" s="349"/>
      <c r="I9" s="340"/>
      <c r="J9" s="340"/>
      <c r="K9" s="349"/>
      <c r="L9" s="340"/>
      <c r="M9" s="340"/>
      <c r="N9" s="349"/>
      <c r="O9" s="340"/>
      <c r="P9" s="348"/>
      <c r="Q9" s="340"/>
      <c r="R9" s="2"/>
    </row>
    <row r="10" spans="1:18" x14ac:dyDescent="0.25">
      <c r="A10" s="339"/>
      <c r="B10" s="340"/>
      <c r="C10" s="340"/>
      <c r="D10" s="340"/>
      <c r="E10" s="349"/>
      <c r="F10" s="340"/>
      <c r="G10" s="340"/>
      <c r="H10" s="349"/>
      <c r="I10" s="340"/>
      <c r="J10" s="340"/>
      <c r="K10" s="349"/>
      <c r="L10" s="340"/>
      <c r="M10" s="340"/>
      <c r="N10" s="349"/>
      <c r="O10" s="340"/>
      <c r="P10" s="348"/>
      <c r="Q10" s="340"/>
      <c r="R10" s="2"/>
    </row>
    <row r="11" spans="1:18" x14ac:dyDescent="0.25">
      <c r="A11" s="158">
        <v>1</v>
      </c>
      <c r="B11" s="158">
        <v>2</v>
      </c>
      <c r="C11" s="159">
        <v>3</v>
      </c>
      <c r="D11" s="159">
        <v>4</v>
      </c>
      <c r="E11" s="5">
        <v>5</v>
      </c>
      <c r="F11" s="159">
        <v>6</v>
      </c>
      <c r="G11" s="159">
        <v>7</v>
      </c>
      <c r="H11" s="159">
        <v>8</v>
      </c>
      <c r="I11" s="159">
        <v>11</v>
      </c>
      <c r="J11" s="159">
        <v>12</v>
      </c>
      <c r="K11" s="159">
        <v>13</v>
      </c>
      <c r="L11" s="159">
        <v>17</v>
      </c>
      <c r="M11" s="159">
        <v>18</v>
      </c>
      <c r="N11" s="159">
        <v>19</v>
      </c>
      <c r="O11" s="159">
        <v>20</v>
      </c>
      <c r="P11" s="5">
        <v>21</v>
      </c>
      <c r="Q11" s="159">
        <v>22</v>
      </c>
      <c r="R11" s="6"/>
    </row>
    <row r="12" spans="1:18" ht="33" x14ac:dyDescent="0.25">
      <c r="A12" s="7">
        <v>1</v>
      </c>
      <c r="B12" s="141" t="s">
        <v>178</v>
      </c>
      <c r="C12" s="5">
        <f t="shared" ref="C12:P12" si="0">C163</f>
        <v>133282511</v>
      </c>
      <c r="D12" s="5">
        <f t="shared" si="0"/>
        <v>129573875</v>
      </c>
      <c r="E12" s="9">
        <f t="shared" si="0"/>
        <v>102.86217881498104</v>
      </c>
      <c r="F12" s="5">
        <f t="shared" si="0"/>
        <v>30039082</v>
      </c>
      <c r="G12" s="10">
        <f t="shared" si="0"/>
        <v>27737791</v>
      </c>
      <c r="H12" s="11">
        <f t="shared" si="0"/>
        <v>108.29659074149056</v>
      </c>
      <c r="I12" s="10">
        <f t="shared" si="0"/>
        <v>126844753</v>
      </c>
      <c r="J12" s="10">
        <f t="shared" si="0"/>
        <v>127385117</v>
      </c>
      <c r="K12" s="11">
        <f t="shared" si="0"/>
        <v>99.575802878133715</v>
      </c>
      <c r="L12" s="5">
        <f t="shared" si="0"/>
        <v>99726909</v>
      </c>
      <c r="M12" s="5">
        <f t="shared" si="0"/>
        <v>103488341</v>
      </c>
      <c r="N12" s="9">
        <f t="shared" si="0"/>
        <v>96.365356750670102</v>
      </c>
      <c r="O12" s="5">
        <f t="shared" si="0"/>
        <v>8817</v>
      </c>
      <c r="P12" s="9">
        <f t="shared" si="0"/>
        <v>161.83872065328342</v>
      </c>
      <c r="Q12" s="5">
        <f>Q163</f>
        <v>9113</v>
      </c>
      <c r="R12" s="12">
        <f t="shared" ref="R12:R22" si="1">O12*P12</f>
        <v>1426932</v>
      </c>
    </row>
    <row r="13" spans="1:18" ht="33" x14ac:dyDescent="0.25">
      <c r="A13" s="7">
        <v>2</v>
      </c>
      <c r="B13" s="141" t="s">
        <v>179</v>
      </c>
      <c r="C13" s="5">
        <f t="shared" ref="C13:P13" si="2">C171</f>
        <v>3898174</v>
      </c>
      <c r="D13" s="5">
        <f t="shared" si="2"/>
        <v>4662183</v>
      </c>
      <c r="E13" s="9">
        <f t="shared" si="2"/>
        <v>83.61263382411201</v>
      </c>
      <c r="F13" s="5">
        <f t="shared" si="2"/>
        <v>1125767</v>
      </c>
      <c r="G13" s="10">
        <f t="shared" si="2"/>
        <v>1309068</v>
      </c>
      <c r="H13" s="11">
        <f t="shared" si="2"/>
        <v>85.997595235694405</v>
      </c>
      <c r="I13" s="10">
        <f t="shared" si="2"/>
        <v>4281586</v>
      </c>
      <c r="J13" s="10">
        <f t="shared" si="2"/>
        <v>9185174</v>
      </c>
      <c r="K13" s="11">
        <f t="shared" si="2"/>
        <v>46.614097892974051</v>
      </c>
      <c r="L13" s="5">
        <f t="shared" si="2"/>
        <v>1284556</v>
      </c>
      <c r="M13" s="5">
        <f t="shared" si="2"/>
        <v>983802</v>
      </c>
      <c r="N13" s="9">
        <f t="shared" si="2"/>
        <v>130.57058229196525</v>
      </c>
      <c r="O13" s="5">
        <f t="shared" si="2"/>
        <v>869</v>
      </c>
      <c r="P13" s="9">
        <f t="shared" si="2"/>
        <v>109.3463751438435</v>
      </c>
      <c r="Q13" s="5">
        <f>Q171</f>
        <v>1368</v>
      </c>
      <c r="R13" s="12">
        <f t="shared" si="1"/>
        <v>95022</v>
      </c>
    </row>
    <row r="14" spans="1:18" ht="16.5" x14ac:dyDescent="0.25">
      <c r="A14" s="7">
        <v>3</v>
      </c>
      <c r="B14" s="141" t="s">
        <v>180</v>
      </c>
      <c r="C14" s="5">
        <f t="shared" ref="C14:P14" si="3">C185</f>
        <v>3433114.2371867998</v>
      </c>
      <c r="D14" s="5">
        <f t="shared" si="3"/>
        <v>5614224.4490423007</v>
      </c>
      <c r="E14" s="9">
        <f t="shared" si="3"/>
        <v>61.150284751662099</v>
      </c>
      <c r="F14" s="5">
        <f t="shared" si="3"/>
        <v>612640.34851959988</v>
      </c>
      <c r="G14" s="10">
        <f t="shared" si="3"/>
        <v>1488064.0982499996</v>
      </c>
      <c r="H14" s="11">
        <f t="shared" si="3"/>
        <v>41.17029294907929</v>
      </c>
      <c r="I14" s="10">
        <f t="shared" si="3"/>
        <v>3767231.2371867998</v>
      </c>
      <c r="J14" s="10">
        <f t="shared" si="3"/>
        <v>5193075.4490423007</v>
      </c>
      <c r="K14" s="11">
        <f t="shared" si="3"/>
        <v>72.543356516831409</v>
      </c>
      <c r="L14" s="5">
        <f t="shared" si="3"/>
        <v>2841592.0931349001</v>
      </c>
      <c r="M14" s="5">
        <f t="shared" si="3"/>
        <v>3811290.8078569998</v>
      </c>
      <c r="N14" s="9">
        <f t="shared" si="3"/>
        <v>74.557210047497307</v>
      </c>
      <c r="O14" s="5">
        <f t="shared" si="3"/>
        <v>607</v>
      </c>
      <c r="P14" s="9">
        <f t="shared" si="3"/>
        <v>80.116968698517297</v>
      </c>
      <c r="Q14" s="5">
        <f>Q185</f>
        <v>521</v>
      </c>
      <c r="R14" s="12">
        <f t="shared" si="1"/>
        <v>48631</v>
      </c>
    </row>
    <row r="15" spans="1:18" ht="16.5" x14ac:dyDescent="0.25">
      <c r="A15" s="7">
        <v>4</v>
      </c>
      <c r="B15" s="141" t="s">
        <v>181</v>
      </c>
      <c r="C15" s="5">
        <f t="shared" ref="C15:Q15" si="4">C61</f>
        <v>1368928</v>
      </c>
      <c r="D15" s="10">
        <f t="shared" si="4"/>
        <v>952609</v>
      </c>
      <c r="E15" s="11">
        <f t="shared" si="4"/>
        <v>143.70303030939243</v>
      </c>
      <c r="F15" s="10">
        <f t="shared" si="4"/>
        <v>278725</v>
      </c>
      <c r="G15" s="10">
        <f t="shared" si="4"/>
        <v>263985</v>
      </c>
      <c r="H15" s="11">
        <f t="shared" si="4"/>
        <v>105.58365058620755</v>
      </c>
      <c r="I15" s="10">
        <f t="shared" si="4"/>
        <v>1023537</v>
      </c>
      <c r="J15" s="10">
        <f t="shared" si="4"/>
        <v>1014277</v>
      </c>
      <c r="K15" s="11">
        <f t="shared" si="4"/>
        <v>100.91296559026775</v>
      </c>
      <c r="L15" s="10">
        <f t="shared" si="4"/>
        <v>517474</v>
      </c>
      <c r="M15" s="10">
        <f t="shared" si="4"/>
        <v>539329</v>
      </c>
      <c r="N15" s="11">
        <f t="shared" si="4"/>
        <v>95.947742472590946</v>
      </c>
      <c r="O15" s="10">
        <f t="shared" si="4"/>
        <v>814</v>
      </c>
      <c r="P15" s="11">
        <f t="shared" si="4"/>
        <v>85.415233415233416</v>
      </c>
      <c r="Q15" s="10">
        <f t="shared" si="4"/>
        <v>847</v>
      </c>
      <c r="R15" s="12">
        <f t="shared" si="1"/>
        <v>69528</v>
      </c>
    </row>
    <row r="16" spans="1:18" ht="16.5" x14ac:dyDescent="0.25">
      <c r="A16" s="7">
        <v>5</v>
      </c>
      <c r="B16" s="141" t="s">
        <v>182</v>
      </c>
      <c r="C16" s="5">
        <f t="shared" ref="C16:Q16" si="5">C73</f>
        <v>546073</v>
      </c>
      <c r="D16" s="10">
        <f t="shared" si="5"/>
        <v>512151</v>
      </c>
      <c r="E16" s="11">
        <f t="shared" si="5"/>
        <v>106.62343722847363</v>
      </c>
      <c r="F16" s="10">
        <f t="shared" si="5"/>
        <v>92674</v>
      </c>
      <c r="G16" s="10">
        <f t="shared" si="5"/>
        <v>141615</v>
      </c>
      <c r="H16" s="11">
        <f t="shared" si="5"/>
        <v>65.440807824029946</v>
      </c>
      <c r="I16" s="10">
        <f t="shared" si="5"/>
        <v>609647</v>
      </c>
      <c r="J16" s="10">
        <f t="shared" si="5"/>
        <v>486049</v>
      </c>
      <c r="K16" s="11">
        <f t="shared" si="5"/>
        <v>125.42912340113857</v>
      </c>
      <c r="L16" s="10">
        <f t="shared" si="5"/>
        <v>506446</v>
      </c>
      <c r="M16" s="10">
        <f t="shared" si="5"/>
        <v>359154</v>
      </c>
      <c r="N16" s="11">
        <f t="shared" si="5"/>
        <v>141.01081987114162</v>
      </c>
      <c r="O16" s="10">
        <f t="shared" si="5"/>
        <v>428</v>
      </c>
      <c r="P16" s="11">
        <f t="shared" si="5"/>
        <v>98.733644859813083</v>
      </c>
      <c r="Q16" s="10">
        <f t="shared" si="5"/>
        <v>604</v>
      </c>
      <c r="R16" s="12">
        <f t="shared" si="1"/>
        <v>42258</v>
      </c>
    </row>
    <row r="17" spans="1:18" ht="16.5" x14ac:dyDescent="0.25">
      <c r="A17" s="7">
        <v>6</v>
      </c>
      <c r="B17" s="141" t="s">
        <v>183</v>
      </c>
      <c r="C17" s="5">
        <f t="shared" ref="C17:Q17" si="6">C84</f>
        <v>578585</v>
      </c>
      <c r="D17" s="10">
        <f t="shared" si="6"/>
        <v>457164</v>
      </c>
      <c r="E17" s="11">
        <f t="shared" si="6"/>
        <v>126.55961536778923</v>
      </c>
      <c r="F17" s="10">
        <f t="shared" si="6"/>
        <v>149768</v>
      </c>
      <c r="G17" s="10">
        <f t="shared" si="6"/>
        <v>195592</v>
      </c>
      <c r="H17" s="11">
        <f t="shared" si="6"/>
        <v>76.571638921837291</v>
      </c>
      <c r="I17" s="10">
        <f t="shared" si="6"/>
        <v>632060</v>
      </c>
      <c r="J17" s="10">
        <f t="shared" si="6"/>
        <v>474266</v>
      </c>
      <c r="K17" s="11">
        <f t="shared" si="6"/>
        <v>133.27120223671949</v>
      </c>
      <c r="L17" s="10">
        <f t="shared" si="6"/>
        <v>303012</v>
      </c>
      <c r="M17" s="10">
        <f t="shared" si="6"/>
        <v>104989</v>
      </c>
      <c r="N17" s="11">
        <f t="shared" si="6"/>
        <v>288.6130928001981</v>
      </c>
      <c r="O17" s="10">
        <f t="shared" si="6"/>
        <v>546</v>
      </c>
      <c r="P17" s="11">
        <f t="shared" si="6"/>
        <v>40.941391941391942</v>
      </c>
      <c r="Q17" s="10">
        <f t="shared" si="6"/>
        <v>575</v>
      </c>
      <c r="R17" s="12">
        <f t="shared" si="1"/>
        <v>22354</v>
      </c>
    </row>
    <row r="18" spans="1:18" ht="16.5" x14ac:dyDescent="0.25">
      <c r="A18" s="7">
        <v>7</v>
      </c>
      <c r="B18" s="141" t="s">
        <v>184</v>
      </c>
      <c r="C18" s="5">
        <f t="shared" ref="C18:Q18" si="7">C99</f>
        <v>2464282</v>
      </c>
      <c r="D18" s="10">
        <f t="shared" si="7"/>
        <v>2656274</v>
      </c>
      <c r="E18" s="11">
        <f t="shared" si="7"/>
        <v>92.772131188273505</v>
      </c>
      <c r="F18" s="10">
        <f t="shared" si="7"/>
        <v>603591</v>
      </c>
      <c r="G18" s="10">
        <f t="shared" si="7"/>
        <v>645024</v>
      </c>
      <c r="H18" s="11">
        <f t="shared" si="7"/>
        <v>93.576518083048072</v>
      </c>
      <c r="I18" s="10">
        <f t="shared" si="7"/>
        <v>4020703</v>
      </c>
      <c r="J18" s="10">
        <f t="shared" si="7"/>
        <v>4013643</v>
      </c>
      <c r="K18" s="11">
        <f t="shared" si="7"/>
        <v>100.17590004890819</v>
      </c>
      <c r="L18" s="10">
        <f t="shared" si="7"/>
        <v>837939</v>
      </c>
      <c r="M18" s="10">
        <f t="shared" si="7"/>
        <v>747991</v>
      </c>
      <c r="N18" s="11">
        <f t="shared" si="7"/>
        <v>112.02527837901792</v>
      </c>
      <c r="O18" s="10">
        <f t="shared" si="7"/>
        <v>1232</v>
      </c>
      <c r="P18" s="11">
        <f t="shared" si="7"/>
        <v>360.8612012987013</v>
      </c>
      <c r="Q18" s="10">
        <f t="shared" si="7"/>
        <v>4051</v>
      </c>
      <c r="R18" s="12">
        <f t="shared" si="1"/>
        <v>444581</v>
      </c>
    </row>
    <row r="19" spans="1:18" ht="33" x14ac:dyDescent="0.25">
      <c r="A19" s="7">
        <v>8</v>
      </c>
      <c r="B19" s="141" t="s">
        <v>177</v>
      </c>
      <c r="C19" s="5">
        <f t="shared" ref="C19:L19" si="8">C133</f>
        <v>1471970</v>
      </c>
      <c r="D19" s="10">
        <f t="shared" si="8"/>
        <v>952697</v>
      </c>
      <c r="E19" s="11">
        <f t="shared" si="8"/>
        <v>154.50557732416496</v>
      </c>
      <c r="F19" s="10">
        <f t="shared" si="8"/>
        <v>394694</v>
      </c>
      <c r="G19" s="10">
        <f t="shared" si="8"/>
        <v>210781</v>
      </c>
      <c r="H19" s="11">
        <f t="shared" si="8"/>
        <v>187.25312053742985</v>
      </c>
      <c r="I19" s="10">
        <f t="shared" si="8"/>
        <v>1253505</v>
      </c>
      <c r="J19" s="10">
        <f t="shared" si="8"/>
        <v>912592</v>
      </c>
      <c r="K19" s="11">
        <f t="shared" si="8"/>
        <v>137.3565624068587</v>
      </c>
      <c r="L19" s="10">
        <f t="shared" si="8"/>
        <v>48168</v>
      </c>
      <c r="M19" s="10">
        <f>M133</f>
        <v>26407</v>
      </c>
      <c r="N19" s="11">
        <f>N133</f>
        <v>0</v>
      </c>
      <c r="O19" s="10">
        <f>O133</f>
        <v>447</v>
      </c>
      <c r="P19" s="11">
        <f>P133</f>
        <v>110.36241610738254</v>
      </c>
      <c r="Q19" s="10">
        <f>Q133</f>
        <v>519</v>
      </c>
      <c r="R19" s="12"/>
    </row>
    <row r="20" spans="1:18" ht="33" x14ac:dyDescent="0.25">
      <c r="A20" s="7">
        <v>9</v>
      </c>
      <c r="B20" s="141" t="s">
        <v>185</v>
      </c>
      <c r="C20" s="5">
        <f t="shared" ref="C20:Q20" si="9">C127</f>
        <v>1317250</v>
      </c>
      <c r="D20" s="10">
        <f t="shared" si="9"/>
        <v>1257380</v>
      </c>
      <c r="E20" s="11">
        <f t="shared" si="9"/>
        <v>104.76148817382176</v>
      </c>
      <c r="F20" s="10">
        <f t="shared" si="9"/>
        <v>316244</v>
      </c>
      <c r="G20" s="10">
        <f t="shared" si="9"/>
        <v>372757</v>
      </c>
      <c r="H20" s="11">
        <f t="shared" si="9"/>
        <v>84.839184777214101</v>
      </c>
      <c r="I20" s="10">
        <f t="shared" si="9"/>
        <v>1312323</v>
      </c>
      <c r="J20" s="10">
        <f t="shared" si="9"/>
        <v>1256312</v>
      </c>
      <c r="K20" s="11">
        <f t="shared" si="9"/>
        <v>104.4583670298461</v>
      </c>
      <c r="L20" s="10">
        <f t="shared" si="9"/>
        <v>671306</v>
      </c>
      <c r="M20" s="10">
        <f t="shared" si="9"/>
        <v>531129</v>
      </c>
      <c r="N20" s="11">
        <f t="shared" si="9"/>
        <v>126.39227005115518</v>
      </c>
      <c r="O20" s="10">
        <f t="shared" si="9"/>
        <v>1840</v>
      </c>
      <c r="P20" s="11">
        <f t="shared" si="9"/>
        <v>59.490760869565214</v>
      </c>
      <c r="Q20" s="10">
        <f t="shared" si="9"/>
        <v>1826</v>
      </c>
      <c r="R20" s="12">
        <f t="shared" si="1"/>
        <v>109463</v>
      </c>
    </row>
    <row r="21" spans="1:18" ht="16.5" x14ac:dyDescent="0.25">
      <c r="A21" s="7">
        <v>10</v>
      </c>
      <c r="B21" s="141" t="s">
        <v>186</v>
      </c>
      <c r="C21" s="5">
        <f t="shared" ref="C21:Q21" si="10">C143</f>
        <v>135750</v>
      </c>
      <c r="D21" s="10">
        <f t="shared" si="10"/>
        <v>36302</v>
      </c>
      <c r="E21" s="11">
        <f t="shared" si="10"/>
        <v>373.94633904468077</v>
      </c>
      <c r="F21" s="10">
        <f t="shared" si="10"/>
        <v>34176</v>
      </c>
      <c r="G21" s="10">
        <f t="shared" si="10"/>
        <v>3249</v>
      </c>
      <c r="H21" s="11">
        <f t="shared" si="10"/>
        <v>1051.892890120037</v>
      </c>
      <c r="I21" s="10">
        <f t="shared" si="10"/>
        <v>166693</v>
      </c>
      <c r="J21" s="10">
        <f t="shared" si="10"/>
        <v>34994</v>
      </c>
      <c r="K21" s="11">
        <f t="shared" si="10"/>
        <v>476.34737383551465</v>
      </c>
      <c r="L21" s="10">
        <f>L143</f>
        <v>0</v>
      </c>
      <c r="M21" s="10">
        <f t="shared" si="10"/>
        <v>0</v>
      </c>
      <c r="N21" s="11">
        <f t="shared" si="10"/>
        <v>0</v>
      </c>
      <c r="O21" s="10">
        <f t="shared" si="10"/>
        <v>105</v>
      </c>
      <c r="P21" s="11">
        <f t="shared" si="10"/>
        <v>76.238095238095241</v>
      </c>
      <c r="Q21" s="10">
        <f t="shared" si="10"/>
        <v>109</v>
      </c>
      <c r="R21" s="12">
        <f t="shared" si="1"/>
        <v>8005</v>
      </c>
    </row>
    <row r="22" spans="1:18" ht="33" x14ac:dyDescent="0.25">
      <c r="A22" s="7">
        <v>11</v>
      </c>
      <c r="B22" s="141" t="s">
        <v>187</v>
      </c>
      <c r="C22" s="5">
        <f t="shared" ref="C22:P22" si="11">C199</f>
        <v>556957.5</v>
      </c>
      <c r="D22" s="10">
        <f t="shared" si="11"/>
        <v>815371.9</v>
      </c>
      <c r="E22" s="11">
        <f t="shared" si="11"/>
        <v>68.30717369583131</v>
      </c>
      <c r="F22" s="10">
        <f t="shared" si="11"/>
        <v>102319.3</v>
      </c>
      <c r="G22" s="10">
        <f t="shared" si="11"/>
        <v>151543.70000000001</v>
      </c>
      <c r="H22" s="11">
        <f t="shared" si="11"/>
        <v>67.518016255377162</v>
      </c>
      <c r="I22" s="10">
        <f t="shared" si="11"/>
        <v>379569.8</v>
      </c>
      <c r="J22" s="10">
        <f t="shared" si="11"/>
        <v>693222</v>
      </c>
      <c r="K22" s="11">
        <f t="shared" si="11"/>
        <v>54.754436529711981</v>
      </c>
      <c r="L22" s="10">
        <f t="shared" si="11"/>
        <v>62338</v>
      </c>
      <c r="M22" s="10">
        <f t="shared" si="11"/>
        <v>345959</v>
      </c>
      <c r="N22" s="11">
        <f t="shared" si="11"/>
        <v>18.018898193138494</v>
      </c>
      <c r="O22" s="10">
        <f t="shared" si="11"/>
        <v>721</v>
      </c>
      <c r="P22" s="11">
        <f t="shared" si="11"/>
        <v>146.53911234396674</v>
      </c>
      <c r="Q22" s="10">
        <f>Q199</f>
        <v>713</v>
      </c>
      <c r="R22" s="12">
        <f t="shared" si="1"/>
        <v>105654.70000000001</v>
      </c>
    </row>
    <row r="23" spans="1:18" ht="16.5" x14ac:dyDescent="0.25">
      <c r="A23" s="7">
        <v>12</v>
      </c>
      <c r="B23" s="141" t="s">
        <v>188</v>
      </c>
      <c r="C23" s="5">
        <f t="shared" ref="C23:P23" si="12">C204</f>
        <v>43400</v>
      </c>
      <c r="D23" s="10">
        <f t="shared" si="12"/>
        <v>110258</v>
      </c>
      <c r="E23" s="11">
        <f t="shared" si="12"/>
        <v>39.362223149340636</v>
      </c>
      <c r="F23" s="10">
        <f t="shared" si="12"/>
        <v>21597</v>
      </c>
      <c r="G23" s="10">
        <f t="shared" si="12"/>
        <v>30217</v>
      </c>
      <c r="H23" s="11">
        <f>H204</f>
        <v>71.473011880729388</v>
      </c>
      <c r="I23" s="10">
        <f t="shared" si="12"/>
        <v>43400</v>
      </c>
      <c r="J23" s="10">
        <f t="shared" si="12"/>
        <v>104961</v>
      </c>
      <c r="K23" s="11">
        <f t="shared" si="12"/>
        <v>41.348691418717429</v>
      </c>
      <c r="L23" s="10">
        <f t="shared" si="12"/>
        <v>33844</v>
      </c>
      <c r="M23" s="10">
        <f t="shared" si="12"/>
        <v>52460</v>
      </c>
      <c r="N23" s="11">
        <f t="shared" si="12"/>
        <v>64.513915364086927</v>
      </c>
      <c r="O23" s="10">
        <f>O204</f>
        <v>239</v>
      </c>
      <c r="P23" s="11">
        <f t="shared" si="12"/>
        <v>61.30962343096234</v>
      </c>
      <c r="Q23" s="10">
        <f>Q204</f>
        <v>237</v>
      </c>
      <c r="R23" s="12"/>
    </row>
    <row r="24" spans="1:18" s="16" customFormat="1" x14ac:dyDescent="0.25">
      <c r="A24" s="157"/>
      <c r="B24" s="157" t="s">
        <v>189</v>
      </c>
      <c r="C24" s="13">
        <f>SUM(C12:C23)</f>
        <v>149096994.73718679</v>
      </c>
      <c r="D24" s="13">
        <f>SUM(D12:D23)</f>
        <v>147600489.3490423</v>
      </c>
      <c r="E24" s="14">
        <f>C24/D24*100</f>
        <v>101.01388917797256</v>
      </c>
      <c r="F24" s="13">
        <f>SUM(F12:F23)</f>
        <v>33771277.648519598</v>
      </c>
      <c r="G24" s="13">
        <f>SUM(G12:G23)</f>
        <v>32549686.798249997</v>
      </c>
      <c r="H24" s="14">
        <f>F24/G24*100</f>
        <v>103.75300339398437</v>
      </c>
      <c r="I24" s="13">
        <f>SUM(I12:I23)</f>
        <v>144335008.0371868</v>
      </c>
      <c r="J24" s="13">
        <f>SUM(J12:J23)</f>
        <v>150753682.44904229</v>
      </c>
      <c r="K24" s="14">
        <f>I24/J24*100</f>
        <v>95.742276866752405</v>
      </c>
      <c r="L24" s="13">
        <f>SUM(L12:L23)</f>
        <v>106833584.09313489</v>
      </c>
      <c r="M24" s="13">
        <f>SUM(M12:M23)</f>
        <v>110990851.80785701</v>
      </c>
      <c r="N24" s="14">
        <f>L24/M24*100</f>
        <v>96.254405073024387</v>
      </c>
      <c r="O24" s="13">
        <f>SUM(O12:O23)</f>
        <v>16665</v>
      </c>
      <c r="P24" s="14">
        <f>R24/O24</f>
        <v>142.35995799579959</v>
      </c>
      <c r="Q24" s="13">
        <f>SUM(Q12:Q23)</f>
        <v>20483</v>
      </c>
      <c r="R24" s="15">
        <f>SUM(R12:R23)</f>
        <v>2372428.7000000002</v>
      </c>
    </row>
    <row r="25" spans="1:18" x14ac:dyDescent="0.2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7"/>
      <c r="Q25" s="17"/>
      <c r="R25" s="18"/>
    </row>
    <row r="26" spans="1:18" s="22" customFormat="1" x14ac:dyDescent="0.25">
      <c r="A26" s="19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20"/>
      <c r="Q26" s="20"/>
      <c r="R26" s="21"/>
    </row>
    <row r="27" spans="1:18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18" x14ac:dyDescent="0.25">
      <c r="A31" s="18"/>
      <c r="B31" s="18"/>
      <c r="C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spans="1:18" x14ac:dyDescent="0.25">
      <c r="A32" s="18"/>
      <c r="B32" s="18"/>
      <c r="C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</row>
    <row r="33" spans="1:18" x14ac:dyDescent="0.25">
      <c r="A33" s="18"/>
      <c r="B33" s="18"/>
      <c r="C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</row>
    <row r="34" spans="1:18" x14ac:dyDescent="0.25">
      <c r="A34" s="18"/>
      <c r="B34" s="18"/>
      <c r="C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</row>
    <row r="35" spans="1:18" x14ac:dyDescent="0.25">
      <c r="A35" s="18"/>
      <c r="B35" s="18"/>
      <c r="C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</row>
    <row r="36" spans="1:18" x14ac:dyDescent="0.25">
      <c r="A36" s="18"/>
      <c r="B36" s="18"/>
      <c r="C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</row>
    <row r="37" spans="1:18" s="24" customFormat="1" ht="14.25" x14ac:dyDescent="0.2">
      <c r="A37" s="325" t="s">
        <v>199</v>
      </c>
      <c r="B37" s="325"/>
      <c r="C37" s="325"/>
      <c r="D37" s="325"/>
      <c r="E37" s="325"/>
      <c r="F37" s="325"/>
      <c r="G37" s="325"/>
      <c r="H37" s="325"/>
      <c r="I37" s="325"/>
      <c r="J37" s="325"/>
      <c r="K37" s="325"/>
      <c r="L37" s="325"/>
      <c r="M37" s="325"/>
      <c r="N37" s="325"/>
      <c r="O37" s="325"/>
      <c r="P37" s="325"/>
      <c r="Q37" s="325"/>
      <c r="R37" s="23"/>
    </row>
    <row r="38" spans="1:18" s="24" customFormat="1" ht="14.25" x14ac:dyDescent="0.2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23"/>
    </row>
    <row r="39" spans="1:18" s="24" customFormat="1" x14ac:dyDescent="0.2">
      <c r="A39" s="326"/>
      <c r="B39" s="326"/>
      <c r="C39" s="326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6"/>
      <c r="Q39" s="326"/>
      <c r="R39" s="25"/>
    </row>
    <row r="40" spans="1:18" x14ac:dyDescent="0.25">
      <c r="A40" s="327" t="s">
        <v>0</v>
      </c>
      <c r="B40" s="329" t="s">
        <v>24</v>
      </c>
      <c r="C40" s="331" t="s">
        <v>172</v>
      </c>
      <c r="D40" s="331"/>
      <c r="E40" s="331"/>
      <c r="F40" s="331"/>
      <c r="G40" s="331"/>
      <c r="H40" s="331" t="s">
        <v>2</v>
      </c>
      <c r="I40" s="331"/>
      <c r="J40" s="331"/>
      <c r="K40" s="331"/>
      <c r="L40" s="162"/>
      <c r="M40" s="162" t="s">
        <v>3</v>
      </c>
      <c r="N40" s="27"/>
      <c r="O40" s="329" t="s">
        <v>25</v>
      </c>
      <c r="P40" s="332" t="s">
        <v>26</v>
      </c>
      <c r="Q40" s="329" t="s">
        <v>27</v>
      </c>
      <c r="R40" s="28"/>
    </row>
    <row r="41" spans="1:18" ht="60" x14ac:dyDescent="0.25">
      <c r="A41" s="328"/>
      <c r="B41" s="330"/>
      <c r="C41" s="161" t="s">
        <v>7</v>
      </c>
      <c r="D41" s="161" t="s">
        <v>28</v>
      </c>
      <c r="E41" s="30" t="s">
        <v>29</v>
      </c>
      <c r="F41" s="161" t="s">
        <v>10</v>
      </c>
      <c r="G41" s="161" t="s">
        <v>30</v>
      </c>
      <c r="H41" s="30" t="s">
        <v>29</v>
      </c>
      <c r="I41" s="161" t="s">
        <v>11</v>
      </c>
      <c r="J41" s="161" t="s">
        <v>28</v>
      </c>
      <c r="K41" s="30" t="s">
        <v>29</v>
      </c>
      <c r="L41" s="161" t="s">
        <v>11</v>
      </c>
      <c r="M41" s="161" t="s">
        <v>28</v>
      </c>
      <c r="N41" s="30" t="s">
        <v>29</v>
      </c>
      <c r="O41" s="330"/>
      <c r="P41" s="333"/>
      <c r="Q41" s="330"/>
      <c r="R41" s="31"/>
    </row>
    <row r="42" spans="1:18" x14ac:dyDescent="0.25">
      <c r="A42" s="32"/>
      <c r="B42" s="33" t="s">
        <v>31</v>
      </c>
      <c r="C42" s="32"/>
      <c r="D42" s="32"/>
      <c r="E42" s="32"/>
      <c r="F42" s="32"/>
      <c r="G42" s="32"/>
      <c r="H42" s="32"/>
      <c r="I42" s="32"/>
      <c r="J42" s="32"/>
      <c r="K42" s="34"/>
      <c r="L42" s="32"/>
      <c r="M42" s="32"/>
      <c r="N42" s="32"/>
      <c r="O42" s="32"/>
      <c r="P42" s="35"/>
      <c r="Q42" s="35"/>
      <c r="R42" s="36"/>
    </row>
    <row r="43" spans="1:18" x14ac:dyDescent="0.25">
      <c r="A43" s="319" t="s">
        <v>32</v>
      </c>
      <c r="B43" s="320"/>
      <c r="C43" s="37">
        <v>3</v>
      </c>
      <c r="D43" s="37">
        <v>4</v>
      </c>
      <c r="E43" s="160">
        <v>5</v>
      </c>
      <c r="F43" s="37">
        <v>6</v>
      </c>
      <c r="G43" s="37">
        <v>7</v>
      </c>
      <c r="H43" s="37">
        <v>8</v>
      </c>
      <c r="I43" s="37">
        <v>9</v>
      </c>
      <c r="J43" s="37">
        <v>10</v>
      </c>
      <c r="K43" s="37">
        <v>11</v>
      </c>
      <c r="L43" s="37">
        <v>12</v>
      </c>
      <c r="M43" s="37">
        <v>13</v>
      </c>
      <c r="N43" s="37">
        <v>14</v>
      </c>
      <c r="O43" s="37">
        <v>15</v>
      </c>
      <c r="P43" s="160">
        <v>16</v>
      </c>
      <c r="Q43" s="37">
        <v>17</v>
      </c>
      <c r="R43" s="39"/>
    </row>
    <row r="44" spans="1:18" x14ac:dyDescent="0.25">
      <c r="A44" s="40">
        <v>1</v>
      </c>
      <c r="B44" s="41" t="s">
        <v>33</v>
      </c>
      <c r="C44" s="42">
        <v>69296</v>
      </c>
      <c r="D44" s="42">
        <v>65278</v>
      </c>
      <c r="E44" s="43">
        <f t="shared" ref="E44:E61" si="13">C44/D44*100</f>
        <v>106.15521308863629</v>
      </c>
      <c r="F44" s="42">
        <v>16707</v>
      </c>
      <c r="G44" s="42">
        <v>15200</v>
      </c>
      <c r="H44" s="43">
        <f>F44/G44*100</f>
        <v>109.91447368421052</v>
      </c>
      <c r="I44" s="42">
        <v>61796</v>
      </c>
      <c r="J44" s="42">
        <v>57178</v>
      </c>
      <c r="K44" s="43">
        <f>I44/J44*100</f>
        <v>108.07653293224666</v>
      </c>
      <c r="L44" s="42">
        <v>3649</v>
      </c>
      <c r="M44" s="42">
        <v>0</v>
      </c>
      <c r="N44" s="43">
        <v>0</v>
      </c>
      <c r="O44" s="163">
        <v>89</v>
      </c>
      <c r="P44" s="44">
        <v>75</v>
      </c>
      <c r="Q44" s="166">
        <v>91</v>
      </c>
      <c r="R44" s="45">
        <f t="shared" ref="R44:R60" si="14">Q44*P44</f>
        <v>6825</v>
      </c>
    </row>
    <row r="45" spans="1:18" x14ac:dyDescent="0.25">
      <c r="A45" s="40">
        <v>2</v>
      </c>
      <c r="B45" s="41" t="s">
        <v>34</v>
      </c>
      <c r="C45" s="42">
        <v>0</v>
      </c>
      <c r="D45" s="42">
        <v>0</v>
      </c>
      <c r="E45" s="43">
        <v>0</v>
      </c>
      <c r="F45" s="42">
        <v>0</v>
      </c>
      <c r="G45" s="42">
        <v>0</v>
      </c>
      <c r="H45" s="43">
        <v>0</v>
      </c>
      <c r="I45" s="42">
        <v>0</v>
      </c>
      <c r="J45" s="42">
        <v>0</v>
      </c>
      <c r="K45" s="43">
        <v>0</v>
      </c>
      <c r="L45" s="42">
        <v>0</v>
      </c>
      <c r="M45" s="42">
        <v>0</v>
      </c>
      <c r="N45" s="47">
        <v>0</v>
      </c>
      <c r="O45" s="163">
        <v>0</v>
      </c>
      <c r="P45" s="44">
        <v>0</v>
      </c>
      <c r="Q45" s="166">
        <v>0</v>
      </c>
      <c r="R45" s="45">
        <f t="shared" si="14"/>
        <v>0</v>
      </c>
    </row>
    <row r="46" spans="1:18" x14ac:dyDescent="0.25">
      <c r="A46" s="40">
        <v>3</v>
      </c>
      <c r="B46" s="41" t="s">
        <v>35</v>
      </c>
      <c r="C46" s="42">
        <v>24125</v>
      </c>
      <c r="D46" s="42">
        <v>31582</v>
      </c>
      <c r="E46" s="43">
        <f t="shared" si="13"/>
        <v>76.388449116585406</v>
      </c>
      <c r="F46" s="42">
        <v>5314</v>
      </c>
      <c r="G46" s="42">
        <v>4221</v>
      </c>
      <c r="H46" s="43">
        <f t="shared" ref="H46:H49" si="15">F46/G46*100</f>
        <v>125.89433783463635</v>
      </c>
      <c r="I46" s="42">
        <v>52079</v>
      </c>
      <c r="J46" s="42">
        <v>28516</v>
      </c>
      <c r="K46" s="43">
        <f t="shared" ref="K46:K61" si="16">I46/J46*100</f>
        <v>182.63080375929303</v>
      </c>
      <c r="L46" s="42">
        <v>0</v>
      </c>
      <c r="M46" s="42">
        <v>0</v>
      </c>
      <c r="N46" s="43">
        <v>0</v>
      </c>
      <c r="O46" s="163">
        <v>33</v>
      </c>
      <c r="P46" s="44">
        <v>80</v>
      </c>
      <c r="Q46" s="166">
        <v>33</v>
      </c>
      <c r="R46" s="45">
        <f t="shared" si="14"/>
        <v>2640</v>
      </c>
    </row>
    <row r="47" spans="1:18" x14ac:dyDescent="0.25">
      <c r="A47" s="40">
        <v>4</v>
      </c>
      <c r="B47" s="41" t="s">
        <v>36</v>
      </c>
      <c r="C47" s="42">
        <v>5180</v>
      </c>
      <c r="D47" s="42">
        <v>7290</v>
      </c>
      <c r="E47" s="43">
        <f t="shared" si="13"/>
        <v>71.056241426611805</v>
      </c>
      <c r="F47" s="42">
        <v>1600</v>
      </c>
      <c r="G47" s="42">
        <v>3210</v>
      </c>
      <c r="H47" s="43">
        <f t="shared" si="15"/>
        <v>49.844236760124609</v>
      </c>
      <c r="I47" s="42">
        <v>9180</v>
      </c>
      <c r="J47" s="42">
        <v>17839</v>
      </c>
      <c r="K47" s="43">
        <f t="shared" si="16"/>
        <v>51.460283648186554</v>
      </c>
      <c r="L47" s="42">
        <v>3180</v>
      </c>
      <c r="M47" s="42">
        <v>16830</v>
      </c>
      <c r="N47" s="43">
        <v>0</v>
      </c>
      <c r="O47" s="163">
        <v>20</v>
      </c>
      <c r="P47" s="44">
        <v>60</v>
      </c>
      <c r="Q47" s="166">
        <v>21</v>
      </c>
      <c r="R47" s="45">
        <f t="shared" si="14"/>
        <v>1260</v>
      </c>
    </row>
    <row r="48" spans="1:18" x14ac:dyDescent="0.25">
      <c r="A48" s="40">
        <v>5</v>
      </c>
      <c r="B48" s="41" t="s">
        <v>37</v>
      </c>
      <c r="C48" s="48">
        <v>22952</v>
      </c>
      <c r="D48" s="48">
        <v>46445</v>
      </c>
      <c r="E48" s="43">
        <f t="shared" si="13"/>
        <v>49.417590698675852</v>
      </c>
      <c r="F48" s="48">
        <v>5458</v>
      </c>
      <c r="G48" s="48">
        <v>10809</v>
      </c>
      <c r="H48" s="43">
        <f t="shared" si="15"/>
        <v>50.494957905449169</v>
      </c>
      <c r="I48" s="48">
        <v>26634</v>
      </c>
      <c r="J48" s="48">
        <v>48740</v>
      </c>
      <c r="K48" s="43">
        <f t="shared" si="16"/>
        <v>54.645055395978659</v>
      </c>
      <c r="L48" s="48">
        <v>3293</v>
      </c>
      <c r="M48" s="48">
        <v>3796</v>
      </c>
      <c r="N48" s="43">
        <f t="shared" ref="N48" si="17">L48/M48*100</f>
        <v>86.749209694415171</v>
      </c>
      <c r="O48" s="163">
        <v>53</v>
      </c>
      <c r="P48" s="44">
        <v>53</v>
      </c>
      <c r="Q48" s="166">
        <v>54</v>
      </c>
      <c r="R48" s="45">
        <f t="shared" si="14"/>
        <v>2862</v>
      </c>
    </row>
    <row r="49" spans="1:18" x14ac:dyDescent="0.25">
      <c r="A49" s="40">
        <v>6</v>
      </c>
      <c r="B49" s="41" t="s">
        <v>38</v>
      </c>
      <c r="C49" s="49">
        <v>27600</v>
      </c>
      <c r="D49" s="42">
        <v>40989</v>
      </c>
      <c r="E49" s="43">
        <f t="shared" si="13"/>
        <v>67.335138695747645</v>
      </c>
      <c r="F49" s="42">
        <v>9600</v>
      </c>
      <c r="G49" s="42">
        <v>17320</v>
      </c>
      <c r="H49" s="43">
        <f t="shared" si="15"/>
        <v>55.42725173210161</v>
      </c>
      <c r="I49" s="42">
        <v>2800</v>
      </c>
      <c r="J49" s="42">
        <v>41800</v>
      </c>
      <c r="K49" s="43">
        <f t="shared" si="16"/>
        <v>6.6985645933014357</v>
      </c>
      <c r="L49" s="42">
        <v>0</v>
      </c>
      <c r="M49" s="42">
        <v>8484</v>
      </c>
      <c r="N49" s="43">
        <v>0</v>
      </c>
      <c r="O49" s="163">
        <v>60</v>
      </c>
      <c r="P49" s="44">
        <v>60</v>
      </c>
      <c r="Q49" s="166">
        <v>62</v>
      </c>
      <c r="R49" s="45">
        <f t="shared" si="14"/>
        <v>3720</v>
      </c>
    </row>
    <row r="50" spans="1:18" x14ac:dyDescent="0.25">
      <c r="A50" s="40">
        <v>7</v>
      </c>
      <c r="B50" s="41" t="s">
        <v>39</v>
      </c>
      <c r="C50" s="42">
        <v>0</v>
      </c>
      <c r="D50" s="42">
        <v>0</v>
      </c>
      <c r="E50" s="43">
        <v>0</v>
      </c>
      <c r="F50" s="42">
        <v>0</v>
      </c>
      <c r="G50" s="42">
        <v>0</v>
      </c>
      <c r="H50" s="43">
        <v>0</v>
      </c>
      <c r="I50" s="42">
        <v>0</v>
      </c>
      <c r="J50" s="42">
        <v>0</v>
      </c>
      <c r="K50" s="43">
        <v>0</v>
      </c>
      <c r="L50" s="42">
        <v>0</v>
      </c>
      <c r="M50" s="42">
        <v>0</v>
      </c>
      <c r="N50" s="43">
        <v>0</v>
      </c>
      <c r="O50" s="163">
        <v>22</v>
      </c>
      <c r="P50" s="44">
        <v>70</v>
      </c>
      <c r="Q50" s="166">
        <v>22</v>
      </c>
      <c r="R50" s="45">
        <f t="shared" si="14"/>
        <v>1540</v>
      </c>
    </row>
    <row r="51" spans="1:18" x14ac:dyDescent="0.25">
      <c r="A51" s="40">
        <v>8</v>
      </c>
      <c r="B51" s="41" t="s">
        <v>41</v>
      </c>
      <c r="C51" s="51">
        <v>33198</v>
      </c>
      <c r="D51" s="42">
        <v>42692</v>
      </c>
      <c r="E51" s="43">
        <f t="shared" si="13"/>
        <v>77.761641525344331</v>
      </c>
      <c r="F51" s="42">
        <v>7998</v>
      </c>
      <c r="G51" s="42">
        <v>8909</v>
      </c>
      <c r="H51" s="43">
        <f t="shared" ref="H51:H61" si="18">F51/G51*100</f>
        <v>89.774385452912782</v>
      </c>
      <c r="I51" s="42">
        <v>35872</v>
      </c>
      <c r="J51" s="42">
        <v>42596</v>
      </c>
      <c r="K51" s="43">
        <f t="shared" si="16"/>
        <v>84.21448023288572</v>
      </c>
      <c r="L51" s="42">
        <v>0</v>
      </c>
      <c r="M51" s="42">
        <v>0</v>
      </c>
      <c r="N51" s="43">
        <v>0</v>
      </c>
      <c r="O51" s="163">
        <v>47</v>
      </c>
      <c r="P51" s="44">
        <v>74</v>
      </c>
      <c r="Q51" s="166">
        <v>47</v>
      </c>
      <c r="R51" s="45">
        <f t="shared" si="14"/>
        <v>3478</v>
      </c>
    </row>
    <row r="52" spans="1:18" x14ac:dyDescent="0.25">
      <c r="A52" s="40">
        <v>9</v>
      </c>
      <c r="B52" s="41" t="s">
        <v>42</v>
      </c>
      <c r="C52" s="51">
        <v>97174</v>
      </c>
      <c r="D52" s="42">
        <v>96369</v>
      </c>
      <c r="E52" s="52">
        <f t="shared" si="13"/>
        <v>100.83533086365948</v>
      </c>
      <c r="F52" s="42">
        <v>18255</v>
      </c>
      <c r="G52" s="42">
        <v>31499</v>
      </c>
      <c r="H52" s="43">
        <f t="shared" si="18"/>
        <v>57.954220768913302</v>
      </c>
      <c r="I52" s="42">
        <v>91905</v>
      </c>
      <c r="J52" s="53">
        <v>91932</v>
      </c>
      <c r="K52" s="43">
        <f t="shared" si="16"/>
        <v>99.970630465996607</v>
      </c>
      <c r="L52" s="42">
        <v>0</v>
      </c>
      <c r="M52" s="42">
        <v>0</v>
      </c>
      <c r="N52" s="43">
        <v>0</v>
      </c>
      <c r="O52" s="163">
        <v>77</v>
      </c>
      <c r="P52" s="44">
        <v>95</v>
      </c>
      <c r="Q52" s="166">
        <v>80</v>
      </c>
      <c r="R52" s="45">
        <f t="shared" si="14"/>
        <v>7600</v>
      </c>
    </row>
    <row r="53" spans="1:18" x14ac:dyDescent="0.25">
      <c r="A53" s="40">
        <v>10</v>
      </c>
      <c r="B53" s="41" t="s">
        <v>43</v>
      </c>
      <c r="C53" s="51">
        <v>548554</v>
      </c>
      <c r="D53" s="42">
        <v>412697</v>
      </c>
      <c r="E53" s="43">
        <f t="shared" si="13"/>
        <v>132.91930883917254</v>
      </c>
      <c r="F53" s="51">
        <v>0</v>
      </c>
      <c r="G53" s="42">
        <v>134157</v>
      </c>
      <c r="H53" s="43">
        <f t="shared" si="18"/>
        <v>0</v>
      </c>
      <c r="I53" s="42">
        <v>416926</v>
      </c>
      <c r="J53" s="42">
        <v>460835</v>
      </c>
      <c r="K53" s="43">
        <f t="shared" si="16"/>
        <v>90.471860861262712</v>
      </c>
      <c r="L53" s="42">
        <v>415199</v>
      </c>
      <c r="M53" s="42">
        <v>459599</v>
      </c>
      <c r="N53" s="43">
        <f t="shared" ref="N53:N55" si="19">L53/M53*100</f>
        <v>90.339404567895059</v>
      </c>
      <c r="O53" s="163">
        <v>190</v>
      </c>
      <c r="P53" s="44">
        <v>84</v>
      </c>
      <c r="Q53" s="166">
        <v>230</v>
      </c>
      <c r="R53" s="45">
        <f t="shared" si="14"/>
        <v>19320</v>
      </c>
    </row>
    <row r="54" spans="1:18" x14ac:dyDescent="0.25">
      <c r="A54" s="40">
        <v>11</v>
      </c>
      <c r="B54" s="41" t="s">
        <v>44</v>
      </c>
      <c r="C54" s="51">
        <v>1190</v>
      </c>
      <c r="D54" s="42">
        <v>6789</v>
      </c>
      <c r="E54" s="43">
        <f t="shared" si="13"/>
        <v>17.528354691412577</v>
      </c>
      <c r="F54" s="42">
        <v>0</v>
      </c>
      <c r="G54" s="42">
        <v>0</v>
      </c>
      <c r="H54" s="43">
        <v>0</v>
      </c>
      <c r="I54" s="42">
        <v>29049</v>
      </c>
      <c r="J54" s="42">
        <v>15426</v>
      </c>
      <c r="K54" s="43">
        <f t="shared" si="16"/>
        <v>188.3119408790354</v>
      </c>
      <c r="L54" s="42">
        <v>2452</v>
      </c>
      <c r="M54" s="42">
        <v>15426</v>
      </c>
      <c r="N54" s="43">
        <f t="shared" si="19"/>
        <v>15.895241799559187</v>
      </c>
      <c r="O54" s="163">
        <v>24</v>
      </c>
      <c r="P54" s="44">
        <v>65</v>
      </c>
      <c r="Q54" s="166">
        <v>24</v>
      </c>
      <c r="R54" s="45">
        <f t="shared" si="14"/>
        <v>1560</v>
      </c>
    </row>
    <row r="55" spans="1:18" x14ac:dyDescent="0.25">
      <c r="A55" s="40">
        <v>12</v>
      </c>
      <c r="B55" s="41" t="s">
        <v>45</v>
      </c>
      <c r="C55" s="42">
        <v>38756</v>
      </c>
      <c r="D55" s="42">
        <v>33422</v>
      </c>
      <c r="E55" s="43">
        <f t="shared" si="13"/>
        <v>115.95954760337501</v>
      </c>
      <c r="F55" s="54">
        <v>6122</v>
      </c>
      <c r="G55" s="54">
        <v>2334</v>
      </c>
      <c r="H55" s="43">
        <f t="shared" si="18"/>
        <v>262.29648671808053</v>
      </c>
      <c r="I55" s="54">
        <v>33178</v>
      </c>
      <c r="J55" s="54">
        <v>37305</v>
      </c>
      <c r="K55" s="43">
        <f t="shared" si="16"/>
        <v>88.93713979359336</v>
      </c>
      <c r="L55" s="55">
        <v>33178</v>
      </c>
      <c r="M55" s="54">
        <v>35194</v>
      </c>
      <c r="N55" s="43">
        <f t="shared" si="19"/>
        <v>94.271750866624998</v>
      </c>
      <c r="O55" s="163">
        <v>26</v>
      </c>
      <c r="P55" s="44">
        <v>109</v>
      </c>
      <c r="Q55" s="166">
        <v>27</v>
      </c>
      <c r="R55" s="45">
        <f t="shared" si="14"/>
        <v>2943</v>
      </c>
    </row>
    <row r="56" spans="1:18" x14ac:dyDescent="0.25">
      <c r="A56" s="40">
        <v>13</v>
      </c>
      <c r="B56" s="41" t="s">
        <v>46</v>
      </c>
      <c r="C56" s="49">
        <v>161500</v>
      </c>
      <c r="D56" s="49">
        <v>150318</v>
      </c>
      <c r="E56" s="43">
        <f t="shared" si="13"/>
        <v>107.43889620670843</v>
      </c>
      <c r="F56" s="49">
        <v>28559</v>
      </c>
      <c r="G56" s="49">
        <v>28358</v>
      </c>
      <c r="H56" s="43">
        <f t="shared" si="18"/>
        <v>100.70879469638197</v>
      </c>
      <c r="I56" s="42">
        <v>150963</v>
      </c>
      <c r="J56" s="42">
        <v>158331</v>
      </c>
      <c r="K56" s="43">
        <f t="shared" si="16"/>
        <v>95.346457737271919</v>
      </c>
      <c r="L56" s="49">
        <v>0</v>
      </c>
      <c r="M56" s="49">
        <v>0</v>
      </c>
      <c r="N56" s="43">
        <v>0</v>
      </c>
      <c r="O56" s="163">
        <v>80</v>
      </c>
      <c r="P56" s="44">
        <v>110</v>
      </c>
      <c r="Q56" s="166">
        <v>75</v>
      </c>
      <c r="R56" s="45">
        <f t="shared" si="14"/>
        <v>8250</v>
      </c>
    </row>
    <row r="57" spans="1:18" x14ac:dyDescent="0.25">
      <c r="A57" s="40">
        <v>14</v>
      </c>
      <c r="B57" s="41" t="s">
        <v>47</v>
      </c>
      <c r="C57" s="163">
        <v>8115</v>
      </c>
      <c r="D57" s="163">
        <v>16688</v>
      </c>
      <c r="E57" s="47">
        <f t="shared" si="13"/>
        <v>48.627756471716204</v>
      </c>
      <c r="F57" s="163">
        <v>1449</v>
      </c>
      <c r="G57" s="163">
        <v>6368</v>
      </c>
      <c r="H57" s="47">
        <f t="shared" si="18"/>
        <v>22.754396984924625</v>
      </c>
      <c r="I57" s="163">
        <v>9504</v>
      </c>
      <c r="J57" s="163">
        <v>11699</v>
      </c>
      <c r="K57" s="47">
        <f t="shared" si="16"/>
        <v>81.237712625010687</v>
      </c>
      <c r="L57" s="163">
        <v>0</v>
      </c>
      <c r="M57" s="163">
        <v>0</v>
      </c>
      <c r="N57" s="43">
        <v>0</v>
      </c>
      <c r="O57" s="163">
        <v>13</v>
      </c>
      <c r="P57" s="44">
        <v>80</v>
      </c>
      <c r="Q57" s="166">
        <v>13</v>
      </c>
      <c r="R57" s="45">
        <f t="shared" si="14"/>
        <v>1040</v>
      </c>
    </row>
    <row r="58" spans="1:18" x14ac:dyDescent="0.25">
      <c r="A58" s="40">
        <v>15</v>
      </c>
      <c r="B58" s="41" t="s">
        <v>48</v>
      </c>
      <c r="C58" s="42">
        <v>48268</v>
      </c>
      <c r="D58" s="53">
        <v>2050</v>
      </c>
      <c r="E58" s="47">
        <f t="shared" si="13"/>
        <v>2354.5365853658536</v>
      </c>
      <c r="F58" s="42">
        <v>27443</v>
      </c>
      <c r="G58" s="42">
        <v>1600</v>
      </c>
      <c r="H58" s="47">
        <f t="shared" si="18"/>
        <v>1715.1875</v>
      </c>
      <c r="I58" s="42">
        <v>57011</v>
      </c>
      <c r="J58" s="42">
        <v>2080</v>
      </c>
      <c r="K58" s="47">
        <f t="shared" si="16"/>
        <v>2740.9134615384614</v>
      </c>
      <c r="L58" s="42">
        <v>56523</v>
      </c>
      <c r="M58" s="42">
        <v>0</v>
      </c>
      <c r="N58" s="43">
        <v>0</v>
      </c>
      <c r="O58" s="163">
        <v>64</v>
      </c>
      <c r="P58" s="44">
        <v>105</v>
      </c>
      <c r="Q58" s="166">
        <v>52</v>
      </c>
      <c r="R58" s="45">
        <f t="shared" si="14"/>
        <v>5460</v>
      </c>
    </row>
    <row r="59" spans="1:18" x14ac:dyDescent="0.25">
      <c r="A59" s="40">
        <v>16</v>
      </c>
      <c r="B59" s="41" t="s">
        <v>49</v>
      </c>
      <c r="C59" s="42">
        <v>1020</v>
      </c>
      <c r="D59" s="53">
        <v>0</v>
      </c>
      <c r="E59" s="47">
        <v>0</v>
      </c>
      <c r="F59" s="42">
        <v>220</v>
      </c>
      <c r="G59" s="42">
        <v>0</v>
      </c>
      <c r="H59" s="47">
        <v>0</v>
      </c>
      <c r="I59" s="42">
        <v>1020</v>
      </c>
      <c r="J59" s="42">
        <v>0</v>
      </c>
      <c r="K59" s="43">
        <v>0</v>
      </c>
      <c r="L59" s="42">
        <v>0</v>
      </c>
      <c r="M59" s="42">
        <v>0</v>
      </c>
      <c r="N59" s="43">
        <v>0</v>
      </c>
      <c r="O59" s="163">
        <v>3</v>
      </c>
      <c r="P59" s="44">
        <v>40</v>
      </c>
      <c r="Q59" s="166">
        <v>3</v>
      </c>
      <c r="R59" s="45">
        <f t="shared" si="14"/>
        <v>120</v>
      </c>
    </row>
    <row r="60" spans="1:18" x14ac:dyDescent="0.25">
      <c r="A60" s="40">
        <v>17</v>
      </c>
      <c r="B60" s="41" t="s">
        <v>169</v>
      </c>
      <c r="C60" s="163">
        <v>282000</v>
      </c>
      <c r="D60" s="163">
        <v>0</v>
      </c>
      <c r="E60" s="47">
        <v>0</v>
      </c>
      <c r="F60" s="163">
        <v>150000</v>
      </c>
      <c r="G60" s="163">
        <v>0</v>
      </c>
      <c r="H60" s="47">
        <v>0</v>
      </c>
      <c r="I60" s="163">
        <v>45620</v>
      </c>
      <c r="J60" s="163">
        <v>0</v>
      </c>
      <c r="K60" s="43">
        <v>0</v>
      </c>
      <c r="L60" s="163">
        <v>0</v>
      </c>
      <c r="M60" s="163">
        <v>0</v>
      </c>
      <c r="N60" s="47">
        <v>0</v>
      </c>
      <c r="O60" s="163">
        <v>13</v>
      </c>
      <c r="P60" s="44">
        <v>70</v>
      </c>
      <c r="Q60" s="166">
        <v>13</v>
      </c>
      <c r="R60" s="45">
        <f t="shared" si="14"/>
        <v>910</v>
      </c>
    </row>
    <row r="61" spans="1:18" s="60" customFormat="1" x14ac:dyDescent="0.25">
      <c r="A61" s="315" t="s">
        <v>50</v>
      </c>
      <c r="B61" s="315"/>
      <c r="C61" s="56">
        <f>SUM(C44:C60)</f>
        <v>1368928</v>
      </c>
      <c r="D61" s="56">
        <f>SUM(D44:D60)</f>
        <v>952609</v>
      </c>
      <c r="E61" s="57">
        <f t="shared" si="13"/>
        <v>143.70303030939243</v>
      </c>
      <c r="F61" s="56">
        <f>SUM(F44:F60)</f>
        <v>278725</v>
      </c>
      <c r="G61" s="56">
        <f>SUM(G44:G59)</f>
        <v>263985</v>
      </c>
      <c r="H61" s="57">
        <f t="shared" si="18"/>
        <v>105.58365058620755</v>
      </c>
      <c r="I61" s="56">
        <f>SUM(I44:I60)</f>
        <v>1023537</v>
      </c>
      <c r="J61" s="56">
        <f>SUM(J44:J60)</f>
        <v>1014277</v>
      </c>
      <c r="K61" s="57">
        <f t="shared" si="16"/>
        <v>100.91296559026775</v>
      </c>
      <c r="L61" s="56">
        <f>SUM(L44:L60)</f>
        <v>517474</v>
      </c>
      <c r="M61" s="56">
        <f>SUM(M44:M60)</f>
        <v>539329</v>
      </c>
      <c r="N61" s="57">
        <f>L61/M61*100</f>
        <v>95.947742472590946</v>
      </c>
      <c r="O61" s="56">
        <f>SUM(O44:O60)</f>
        <v>814</v>
      </c>
      <c r="P61" s="57">
        <f>R61/O61</f>
        <v>85.415233415233416</v>
      </c>
      <c r="Q61" s="56">
        <f>SUM(Q44:Q60)</f>
        <v>847</v>
      </c>
      <c r="R61" s="56">
        <f>SUM(R44:R60)</f>
        <v>69528</v>
      </c>
    </row>
    <row r="62" spans="1:18" x14ac:dyDescent="0.25">
      <c r="A62" s="163"/>
      <c r="B62" s="61"/>
      <c r="C62" s="163"/>
      <c r="D62" s="163"/>
      <c r="E62" s="163"/>
      <c r="F62" s="163"/>
      <c r="G62" s="163"/>
      <c r="H62" s="163"/>
      <c r="I62" s="163"/>
      <c r="J62" s="163"/>
      <c r="K62" s="34"/>
      <c r="L62" s="163"/>
      <c r="M62" s="163"/>
      <c r="N62" s="163"/>
      <c r="O62" s="163"/>
      <c r="P62" s="62"/>
      <c r="Q62" s="166"/>
      <c r="R62" s="39"/>
    </row>
    <row r="63" spans="1:18" x14ac:dyDescent="0.25">
      <c r="A63" s="319" t="s">
        <v>51</v>
      </c>
      <c r="B63" s="320"/>
      <c r="C63" s="37">
        <v>3</v>
      </c>
      <c r="D63" s="37">
        <v>4</v>
      </c>
      <c r="E63" s="160">
        <v>5</v>
      </c>
      <c r="F63" s="37">
        <v>6</v>
      </c>
      <c r="G63" s="37">
        <v>7</v>
      </c>
      <c r="H63" s="37">
        <v>8</v>
      </c>
      <c r="I63" s="37">
        <v>9</v>
      </c>
      <c r="J63" s="37">
        <v>10</v>
      </c>
      <c r="K63" s="37">
        <v>11</v>
      </c>
      <c r="L63" s="37">
        <v>12</v>
      </c>
      <c r="M63" s="37">
        <v>13</v>
      </c>
      <c r="N63" s="37">
        <v>14</v>
      </c>
      <c r="O63" s="37">
        <v>15</v>
      </c>
      <c r="P63" s="160">
        <v>16</v>
      </c>
      <c r="Q63" s="37">
        <v>15</v>
      </c>
      <c r="R63" s="39"/>
    </row>
    <row r="64" spans="1:18" s="66" customFormat="1" x14ac:dyDescent="0.25">
      <c r="A64" s="44">
        <v>1</v>
      </c>
      <c r="B64" s="63" t="s">
        <v>52</v>
      </c>
      <c r="C64" s="64">
        <v>225724</v>
      </c>
      <c r="D64" s="65">
        <v>167112</v>
      </c>
      <c r="E64" s="43">
        <f t="shared" ref="E64:E70" si="20">C64/D64*100</f>
        <v>135.07348365168269</v>
      </c>
      <c r="F64" s="65">
        <v>30861</v>
      </c>
      <c r="G64" s="68">
        <v>49641</v>
      </c>
      <c r="H64" s="43">
        <f>F64/G64*100</f>
        <v>62.168368888620293</v>
      </c>
      <c r="I64" s="65">
        <v>204597</v>
      </c>
      <c r="J64" s="65">
        <v>108640</v>
      </c>
      <c r="K64" s="43">
        <f t="shared" ref="K64:K70" si="21">I64/J64*100</f>
        <v>188.32566273932255</v>
      </c>
      <c r="L64" s="65">
        <v>214979</v>
      </c>
      <c r="M64" s="65">
        <v>81513</v>
      </c>
      <c r="N64" s="43">
        <f>L64/M64*100</f>
        <v>263.73584581600483</v>
      </c>
      <c r="O64" s="68">
        <v>158</v>
      </c>
      <c r="P64" s="65">
        <v>69</v>
      </c>
      <c r="Q64" s="68">
        <v>156</v>
      </c>
      <c r="R64" s="45">
        <f t="shared" ref="R64:R72" si="22">Q64*P64</f>
        <v>10764</v>
      </c>
    </row>
    <row r="65" spans="1:18" x14ac:dyDescent="0.25">
      <c r="A65" s="67">
        <v>2</v>
      </c>
      <c r="B65" s="63" t="s">
        <v>53</v>
      </c>
      <c r="C65" s="42">
        <v>33609</v>
      </c>
      <c r="D65" s="42">
        <v>44835</v>
      </c>
      <c r="E65" s="43">
        <f t="shared" si="20"/>
        <v>74.961525593844087</v>
      </c>
      <c r="F65" s="68">
        <v>1063</v>
      </c>
      <c r="G65" s="68">
        <v>11759</v>
      </c>
      <c r="H65" s="43">
        <f t="shared" ref="H65:H70" si="23">F65/G65*100</f>
        <v>9.0398843439067935</v>
      </c>
      <c r="I65" s="68">
        <v>45186</v>
      </c>
      <c r="J65" s="68">
        <v>36311</v>
      </c>
      <c r="K65" s="43">
        <f t="shared" si="21"/>
        <v>124.44162925835147</v>
      </c>
      <c r="L65" s="68">
        <v>0</v>
      </c>
      <c r="M65" s="68">
        <v>3908</v>
      </c>
      <c r="N65" s="43">
        <v>0</v>
      </c>
      <c r="O65" s="68">
        <v>133</v>
      </c>
      <c r="P65" s="68">
        <v>105</v>
      </c>
      <c r="Q65" s="68">
        <v>135</v>
      </c>
      <c r="R65" s="45">
        <f t="shared" si="22"/>
        <v>14175</v>
      </c>
    </row>
    <row r="66" spans="1:18" x14ac:dyDescent="0.25">
      <c r="A66" s="67">
        <v>3</v>
      </c>
      <c r="B66" s="63" t="s">
        <v>54</v>
      </c>
      <c r="C66" s="68">
        <v>119</v>
      </c>
      <c r="D66" s="68">
        <v>0</v>
      </c>
      <c r="E66" s="43">
        <v>0</v>
      </c>
      <c r="F66" s="68">
        <v>105</v>
      </c>
      <c r="G66" s="68">
        <v>0</v>
      </c>
      <c r="H66" s="43">
        <v>0</v>
      </c>
      <c r="I66" s="68">
        <v>7473</v>
      </c>
      <c r="J66" s="68">
        <v>0</v>
      </c>
      <c r="K66" s="43">
        <v>0</v>
      </c>
      <c r="L66" s="68">
        <v>0</v>
      </c>
      <c r="M66" s="68">
        <v>0</v>
      </c>
      <c r="N66" s="43">
        <v>0</v>
      </c>
      <c r="O66" s="68"/>
      <c r="P66" s="68">
        <v>50</v>
      </c>
      <c r="Q66" s="68">
        <v>117</v>
      </c>
      <c r="R66" s="45">
        <f t="shared" si="22"/>
        <v>5850</v>
      </c>
    </row>
    <row r="67" spans="1:18" x14ac:dyDescent="0.25">
      <c r="A67" s="44">
        <v>4</v>
      </c>
      <c r="B67" s="63" t="s">
        <v>55</v>
      </c>
      <c r="C67" s="68">
        <v>147573</v>
      </c>
      <c r="D67" s="68">
        <v>127028</v>
      </c>
      <c r="E67" s="43">
        <f t="shared" si="20"/>
        <v>116.17359952136536</v>
      </c>
      <c r="F67" s="68">
        <v>26071</v>
      </c>
      <c r="G67" s="68">
        <v>13996</v>
      </c>
      <c r="H67" s="43">
        <f t="shared" si="23"/>
        <v>186.27464989997142</v>
      </c>
      <c r="I67" s="48">
        <v>157353</v>
      </c>
      <c r="J67" s="48">
        <v>124912</v>
      </c>
      <c r="K67" s="43">
        <f>I67/J67*100</f>
        <v>125.97108364288458</v>
      </c>
      <c r="L67" s="68">
        <v>96603</v>
      </c>
      <c r="M67" s="68">
        <v>57568</v>
      </c>
      <c r="N67" s="43">
        <f t="shared" ref="N67:N69" si="24">L67/M67*100</f>
        <v>167.80676764869372</v>
      </c>
      <c r="O67" s="68">
        <v>65</v>
      </c>
      <c r="P67" s="68">
        <v>57</v>
      </c>
      <c r="Q67" s="68">
        <v>63</v>
      </c>
      <c r="R67" s="45">
        <f t="shared" si="22"/>
        <v>3591</v>
      </c>
    </row>
    <row r="68" spans="1:18" x14ac:dyDescent="0.25">
      <c r="A68" s="67">
        <v>5</v>
      </c>
      <c r="B68" s="63" t="s">
        <v>56</v>
      </c>
      <c r="C68" s="163">
        <v>0</v>
      </c>
      <c r="D68" s="163">
        <v>0</v>
      </c>
      <c r="E68" s="43">
        <v>0</v>
      </c>
      <c r="F68" s="163">
        <v>0</v>
      </c>
      <c r="G68" s="163">
        <v>0</v>
      </c>
      <c r="H68" s="43">
        <v>0</v>
      </c>
      <c r="I68" s="163">
        <v>0</v>
      </c>
      <c r="J68" s="163">
        <v>0</v>
      </c>
      <c r="K68" s="43">
        <v>0</v>
      </c>
      <c r="L68" s="163">
        <v>0</v>
      </c>
      <c r="M68" s="163">
        <v>0</v>
      </c>
      <c r="N68" s="43">
        <v>0</v>
      </c>
      <c r="O68" s="68"/>
      <c r="P68" s="44">
        <v>80</v>
      </c>
      <c r="Q68" s="68">
        <v>35</v>
      </c>
      <c r="R68" s="45">
        <f t="shared" si="22"/>
        <v>2800</v>
      </c>
    </row>
    <row r="69" spans="1:18" x14ac:dyDescent="0.25">
      <c r="A69" s="67">
        <v>6</v>
      </c>
      <c r="B69" s="63" t="s">
        <v>57</v>
      </c>
      <c r="C69" s="68">
        <v>21492</v>
      </c>
      <c r="D69" s="68">
        <v>30116</v>
      </c>
      <c r="E69" s="43">
        <f t="shared" si="20"/>
        <v>71.364058971975027</v>
      </c>
      <c r="F69" s="68">
        <v>4574</v>
      </c>
      <c r="G69" s="68">
        <v>7561</v>
      </c>
      <c r="H69" s="43">
        <f t="shared" si="23"/>
        <v>60.494643565665918</v>
      </c>
      <c r="I69" s="68">
        <v>23851</v>
      </c>
      <c r="J69" s="68">
        <v>32068</v>
      </c>
      <c r="K69" s="43">
        <f t="shared" si="21"/>
        <v>74.376325308718975</v>
      </c>
      <c r="L69" s="68">
        <v>23716</v>
      </c>
      <c r="M69" s="68">
        <v>32068</v>
      </c>
      <c r="N69" s="43">
        <f t="shared" si="24"/>
        <v>73.955344892104279</v>
      </c>
      <c r="O69" s="68">
        <v>37</v>
      </c>
      <c r="P69" s="68">
        <v>43</v>
      </c>
      <c r="Q69" s="68">
        <v>46</v>
      </c>
      <c r="R69" s="45">
        <f t="shared" si="22"/>
        <v>1978</v>
      </c>
    </row>
    <row r="70" spans="1:18" x14ac:dyDescent="0.25">
      <c r="A70" s="44">
        <v>7</v>
      </c>
      <c r="B70" s="63" t="s">
        <v>58</v>
      </c>
      <c r="C70" s="42">
        <v>18656</v>
      </c>
      <c r="D70" s="42">
        <v>41260</v>
      </c>
      <c r="E70" s="43">
        <f t="shared" si="20"/>
        <v>45.215705283567623</v>
      </c>
      <c r="F70" s="42">
        <v>0</v>
      </c>
      <c r="G70" s="42">
        <v>10858</v>
      </c>
      <c r="H70" s="43">
        <f t="shared" si="23"/>
        <v>0</v>
      </c>
      <c r="I70" s="42">
        <v>27976</v>
      </c>
      <c r="J70" s="42">
        <v>52851</v>
      </c>
      <c r="K70" s="43">
        <f t="shared" si="21"/>
        <v>52.933719324137677</v>
      </c>
      <c r="L70" s="69">
        <v>27937</v>
      </c>
      <c r="M70" s="42">
        <v>52830</v>
      </c>
      <c r="N70" s="43">
        <f>L70/M70*100</f>
        <v>52.880938860495931</v>
      </c>
      <c r="O70" s="68"/>
      <c r="P70" s="68">
        <v>55</v>
      </c>
      <c r="Q70" s="68">
        <v>40</v>
      </c>
      <c r="R70" s="45">
        <f t="shared" si="22"/>
        <v>2200</v>
      </c>
    </row>
    <row r="71" spans="1:18" s="66" customFormat="1" x14ac:dyDescent="0.25">
      <c r="A71" s="67">
        <v>8</v>
      </c>
      <c r="B71" s="63" t="s">
        <v>59</v>
      </c>
      <c r="C71" s="42">
        <v>98900</v>
      </c>
      <c r="D71" s="42">
        <v>101800</v>
      </c>
      <c r="E71" s="43">
        <v>0</v>
      </c>
      <c r="F71" s="42">
        <v>30000</v>
      </c>
      <c r="G71" s="42">
        <v>47800</v>
      </c>
      <c r="H71" s="43">
        <v>0</v>
      </c>
      <c r="I71" s="42">
        <v>143211</v>
      </c>
      <c r="J71" s="42">
        <v>131267</v>
      </c>
      <c r="K71" s="43">
        <v>0</v>
      </c>
      <c r="L71" s="42">
        <v>143211</v>
      </c>
      <c r="M71" s="42">
        <v>131267</v>
      </c>
      <c r="N71" s="43">
        <v>0</v>
      </c>
      <c r="O71" s="68">
        <v>35</v>
      </c>
      <c r="P71" s="65">
        <v>75</v>
      </c>
      <c r="Q71" s="68">
        <v>12</v>
      </c>
      <c r="R71" s="45">
        <f t="shared" si="22"/>
        <v>900</v>
      </c>
    </row>
    <row r="72" spans="1:18" s="66" customFormat="1" x14ac:dyDescent="0.25">
      <c r="A72" s="67">
        <v>9</v>
      </c>
      <c r="B72" s="63" t="s">
        <v>60</v>
      </c>
      <c r="C72" s="175">
        <v>0</v>
      </c>
      <c r="D72" s="163">
        <v>0</v>
      </c>
      <c r="E72" s="163">
        <v>0</v>
      </c>
      <c r="F72" s="163">
        <v>0</v>
      </c>
      <c r="G72" s="163">
        <v>0</v>
      </c>
      <c r="H72" s="163">
        <v>0</v>
      </c>
      <c r="I72" s="163">
        <v>0</v>
      </c>
      <c r="J72" s="163">
        <v>0</v>
      </c>
      <c r="K72" s="163">
        <v>0</v>
      </c>
      <c r="L72" s="163">
        <v>0</v>
      </c>
      <c r="M72" s="163">
        <v>0</v>
      </c>
      <c r="N72" s="47">
        <v>0</v>
      </c>
      <c r="O72" s="68">
        <v>0</v>
      </c>
      <c r="P72" s="44">
        <v>0</v>
      </c>
      <c r="Q72" s="68">
        <v>0</v>
      </c>
      <c r="R72" s="45">
        <f t="shared" si="22"/>
        <v>0</v>
      </c>
    </row>
    <row r="73" spans="1:18" s="60" customFormat="1" x14ac:dyDescent="0.25">
      <c r="A73" s="334" t="s">
        <v>61</v>
      </c>
      <c r="B73" s="334"/>
      <c r="C73" s="70">
        <f>SUM(C64:C72)</f>
        <v>546073</v>
      </c>
      <c r="D73" s="70">
        <f>SUM(D64:D72)</f>
        <v>512151</v>
      </c>
      <c r="E73" s="71">
        <f>C73/D73*100</f>
        <v>106.62343722847363</v>
      </c>
      <c r="F73" s="70">
        <f>SUM(F64:F72)</f>
        <v>92674</v>
      </c>
      <c r="G73" s="70">
        <f>SUM(G64:G72)</f>
        <v>141615</v>
      </c>
      <c r="H73" s="71">
        <f>F73/G73*100</f>
        <v>65.440807824029946</v>
      </c>
      <c r="I73" s="72">
        <f>SUM(I64:I72)</f>
        <v>609647</v>
      </c>
      <c r="J73" s="70">
        <f>SUM(J64:J72)</f>
        <v>486049</v>
      </c>
      <c r="K73" s="71">
        <f>I73/J73*100</f>
        <v>125.42912340113857</v>
      </c>
      <c r="L73" s="70">
        <f>SUM(L64:L72)</f>
        <v>506446</v>
      </c>
      <c r="M73" s="70">
        <f>SUM(M64:M72)</f>
        <v>359154</v>
      </c>
      <c r="N73" s="71">
        <f>L73/M73*100</f>
        <v>141.01081987114162</v>
      </c>
      <c r="O73" s="72">
        <f>SUM(O64:O72)</f>
        <v>428</v>
      </c>
      <c r="P73" s="71">
        <f>R73/O73</f>
        <v>98.733644859813083</v>
      </c>
      <c r="Q73" s="72">
        <f>SUM(Q64:Q72)</f>
        <v>604</v>
      </c>
      <c r="R73" s="59">
        <f>SUM(R64:R72)</f>
        <v>42258</v>
      </c>
    </row>
    <row r="74" spans="1:18" x14ac:dyDescent="0.25">
      <c r="A74" s="39"/>
      <c r="B74" s="73"/>
      <c r="C74" s="39"/>
      <c r="D74" s="39"/>
      <c r="E74" s="39"/>
      <c r="F74" s="39"/>
      <c r="G74" s="39"/>
      <c r="H74" s="39"/>
      <c r="I74" s="39"/>
      <c r="J74" s="39"/>
      <c r="K74" s="74"/>
      <c r="L74" s="39"/>
      <c r="M74" s="39"/>
      <c r="N74" s="39"/>
      <c r="O74" s="39"/>
      <c r="P74" s="75"/>
      <c r="Q74" s="39"/>
      <c r="R74" s="39"/>
    </row>
    <row r="75" spans="1:18" x14ac:dyDescent="0.25">
      <c r="A75" s="319" t="s">
        <v>62</v>
      </c>
      <c r="B75" s="320"/>
      <c r="C75" s="37">
        <v>3</v>
      </c>
      <c r="D75" s="37">
        <v>4</v>
      </c>
      <c r="E75" s="160">
        <v>5</v>
      </c>
      <c r="F75" s="37">
        <v>6</v>
      </c>
      <c r="G75" s="37">
        <v>7</v>
      </c>
      <c r="H75" s="37">
        <v>8</v>
      </c>
      <c r="I75" s="37">
        <v>9</v>
      </c>
      <c r="J75" s="37">
        <v>10</v>
      </c>
      <c r="K75" s="37">
        <v>11</v>
      </c>
      <c r="L75" s="37">
        <v>12</v>
      </c>
      <c r="M75" s="37">
        <v>13</v>
      </c>
      <c r="N75" s="37">
        <v>14</v>
      </c>
      <c r="O75" s="37">
        <v>15</v>
      </c>
      <c r="P75" s="160">
        <v>16</v>
      </c>
      <c r="Q75" s="37">
        <v>15</v>
      </c>
      <c r="R75" s="39"/>
    </row>
    <row r="76" spans="1:18" x14ac:dyDescent="0.25">
      <c r="A76" s="40">
        <v>1</v>
      </c>
      <c r="B76" s="41" t="s">
        <v>63</v>
      </c>
      <c r="C76" s="163">
        <v>48987</v>
      </c>
      <c r="D76" s="163">
        <v>1698</v>
      </c>
      <c r="E76" s="47">
        <f t="shared" ref="E76:E83" si="25">C76/D76*100</f>
        <v>2884.9823321554768</v>
      </c>
      <c r="F76" s="163">
        <v>272</v>
      </c>
      <c r="G76" s="163">
        <v>1083</v>
      </c>
      <c r="H76" s="47">
        <f t="shared" ref="H76:H83" si="26">F76/G76*100</f>
        <v>25.115420129270543</v>
      </c>
      <c r="I76" s="163">
        <v>104548</v>
      </c>
      <c r="J76" s="163">
        <v>72492</v>
      </c>
      <c r="K76" s="47">
        <f>I76/J76*100</f>
        <v>144.22005186779231</v>
      </c>
      <c r="L76" s="163">
        <v>53172</v>
      </c>
      <c r="M76" s="163">
        <v>0</v>
      </c>
      <c r="N76" s="47">
        <v>0</v>
      </c>
      <c r="O76" s="163">
        <v>175</v>
      </c>
      <c r="P76" s="62">
        <v>55</v>
      </c>
      <c r="Q76" s="166">
        <v>175</v>
      </c>
      <c r="R76" s="45">
        <f t="shared" ref="R76:R83" si="27">Q76*P76</f>
        <v>9625</v>
      </c>
    </row>
    <row r="77" spans="1:18" x14ac:dyDescent="0.25">
      <c r="A77" s="40">
        <v>2</v>
      </c>
      <c r="B77" s="41" t="s">
        <v>40</v>
      </c>
      <c r="C77" s="51">
        <v>204344</v>
      </c>
      <c r="D77" s="51">
        <v>141606</v>
      </c>
      <c r="E77" s="47">
        <f t="shared" si="25"/>
        <v>144.30461986074036</v>
      </c>
      <c r="F77" s="51">
        <v>48860</v>
      </c>
      <c r="G77" s="51">
        <v>37530</v>
      </c>
      <c r="H77" s="47">
        <f t="shared" si="26"/>
        <v>130.18918198774315</v>
      </c>
      <c r="I77" s="51">
        <v>204163</v>
      </c>
      <c r="J77" s="51">
        <v>104989</v>
      </c>
      <c r="K77" s="47">
        <f t="shared" ref="K77:K83" si="28">I77/J77*100</f>
        <v>194.46132451971158</v>
      </c>
      <c r="L77" s="51">
        <v>204163</v>
      </c>
      <c r="M77" s="51">
        <v>104989</v>
      </c>
      <c r="N77" s="47">
        <f t="shared" ref="N77" si="29">L77/M77*100</f>
        <v>194.46132451971158</v>
      </c>
      <c r="O77" s="163">
        <v>23</v>
      </c>
      <c r="P77" s="44">
        <v>65</v>
      </c>
      <c r="Q77" s="166">
        <v>23</v>
      </c>
      <c r="R77" s="45">
        <f t="shared" si="27"/>
        <v>1495</v>
      </c>
    </row>
    <row r="78" spans="1:18" x14ac:dyDescent="0.25">
      <c r="A78" s="40">
        <v>3</v>
      </c>
      <c r="B78" s="41" t="s">
        <v>64</v>
      </c>
      <c r="C78" s="163">
        <v>23785</v>
      </c>
      <c r="D78" s="163">
        <v>3844</v>
      </c>
      <c r="E78" s="47">
        <f t="shared" si="25"/>
        <v>618.75650364203955</v>
      </c>
      <c r="F78" s="163">
        <v>1623</v>
      </c>
      <c r="G78" s="163">
        <v>1504</v>
      </c>
      <c r="H78" s="47">
        <f t="shared" si="26"/>
        <v>107.91223404255319</v>
      </c>
      <c r="I78" s="163">
        <v>22895</v>
      </c>
      <c r="J78" s="163">
        <v>2867</v>
      </c>
      <c r="K78" s="47">
        <f t="shared" si="28"/>
        <v>798.56993372863622</v>
      </c>
      <c r="L78" s="163">
        <v>3417</v>
      </c>
      <c r="M78" s="163">
        <v>0</v>
      </c>
      <c r="N78" s="47">
        <v>0</v>
      </c>
      <c r="O78" s="163">
        <v>33</v>
      </c>
      <c r="P78" s="62">
        <v>59</v>
      </c>
      <c r="Q78" s="166">
        <v>58</v>
      </c>
      <c r="R78" s="45">
        <f t="shared" si="27"/>
        <v>3422</v>
      </c>
    </row>
    <row r="79" spans="1:18" x14ac:dyDescent="0.25">
      <c r="A79" s="40">
        <v>4</v>
      </c>
      <c r="B79" s="41" t="s">
        <v>65</v>
      </c>
      <c r="C79" s="163">
        <v>8735</v>
      </c>
      <c r="D79" s="163">
        <v>10331</v>
      </c>
      <c r="E79" s="47">
        <f t="shared" si="25"/>
        <v>84.551350304907558</v>
      </c>
      <c r="F79" s="163">
        <v>1127</v>
      </c>
      <c r="G79" s="163">
        <v>3258</v>
      </c>
      <c r="H79" s="47">
        <f t="shared" si="26"/>
        <v>34.591774094536525</v>
      </c>
      <c r="I79" s="163">
        <v>10192</v>
      </c>
      <c r="J79" s="163">
        <v>5845</v>
      </c>
      <c r="K79" s="47">
        <f t="shared" si="28"/>
        <v>174.37125748502993</v>
      </c>
      <c r="L79" s="163">
        <v>0</v>
      </c>
      <c r="M79" s="163">
        <v>0</v>
      </c>
      <c r="N79" s="47">
        <v>0</v>
      </c>
      <c r="O79" s="163">
        <v>71</v>
      </c>
      <c r="P79" s="76">
        <v>50</v>
      </c>
      <c r="Q79" s="166">
        <v>71</v>
      </c>
      <c r="R79" s="45">
        <f t="shared" si="27"/>
        <v>3550</v>
      </c>
    </row>
    <row r="80" spans="1:18" x14ac:dyDescent="0.25">
      <c r="A80" s="40">
        <v>5</v>
      </c>
      <c r="B80" s="41" t="s">
        <v>66</v>
      </c>
      <c r="C80" s="163">
        <v>7899</v>
      </c>
      <c r="D80" s="163">
        <v>25203</v>
      </c>
      <c r="E80" s="47">
        <f t="shared" si="25"/>
        <v>31.341506963456734</v>
      </c>
      <c r="F80" s="163">
        <v>2050</v>
      </c>
      <c r="G80" s="163">
        <v>2825</v>
      </c>
      <c r="H80" s="47">
        <f t="shared" si="26"/>
        <v>72.56637168141593</v>
      </c>
      <c r="I80" s="163">
        <v>8354</v>
      </c>
      <c r="J80" s="163">
        <v>26429</v>
      </c>
      <c r="K80" s="47">
        <f t="shared" si="28"/>
        <v>31.609217147830037</v>
      </c>
      <c r="L80" s="163">
        <v>0</v>
      </c>
      <c r="M80" s="163">
        <v>0</v>
      </c>
      <c r="N80" s="47">
        <v>0</v>
      </c>
      <c r="O80" s="163">
        <v>61</v>
      </c>
      <c r="P80" s="62">
        <v>48</v>
      </c>
      <c r="Q80" s="166">
        <v>65</v>
      </c>
      <c r="R80" s="45">
        <f t="shared" si="27"/>
        <v>3120</v>
      </c>
    </row>
    <row r="81" spans="1:18" x14ac:dyDescent="0.25">
      <c r="A81" s="40">
        <v>6</v>
      </c>
      <c r="B81" s="41" t="s">
        <v>67</v>
      </c>
      <c r="C81" s="163">
        <v>1241</v>
      </c>
      <c r="D81" s="163">
        <v>1050</v>
      </c>
      <c r="E81" s="47">
        <f t="shared" si="25"/>
        <v>118.1904761904762</v>
      </c>
      <c r="F81" s="163">
        <v>668</v>
      </c>
      <c r="G81" s="163">
        <v>137</v>
      </c>
      <c r="H81" s="47">
        <f t="shared" si="26"/>
        <v>487.59124087591238</v>
      </c>
      <c r="I81" s="163">
        <v>1134</v>
      </c>
      <c r="J81" s="163">
        <v>1998</v>
      </c>
      <c r="K81" s="47">
        <f t="shared" si="28"/>
        <v>56.756756756756758</v>
      </c>
      <c r="L81" s="163">
        <v>0</v>
      </c>
      <c r="M81" s="163">
        <v>0</v>
      </c>
      <c r="N81" s="47" t="e">
        <f t="shared" ref="N81" si="30">L81/M81*100</f>
        <v>#DIV/0!</v>
      </c>
      <c r="O81" s="163">
        <v>9</v>
      </c>
      <c r="P81" s="62">
        <v>38</v>
      </c>
      <c r="Q81" s="166">
        <v>9</v>
      </c>
      <c r="R81" s="45">
        <f t="shared" si="27"/>
        <v>342</v>
      </c>
    </row>
    <row r="82" spans="1:18" x14ac:dyDescent="0.25">
      <c r="A82" s="40">
        <v>7</v>
      </c>
      <c r="B82" s="41" t="s">
        <v>168</v>
      </c>
      <c r="C82" s="179">
        <v>280878</v>
      </c>
      <c r="D82" s="179">
        <v>270174</v>
      </c>
      <c r="E82" s="47">
        <f t="shared" ref="E82" si="31">C82/D82*100</f>
        <v>103.96189122565458</v>
      </c>
      <c r="F82" s="179">
        <v>93850</v>
      </c>
      <c r="G82" s="179">
        <v>149255</v>
      </c>
      <c r="H82" s="47">
        <f t="shared" ref="H82" si="32">F82/G82*100</f>
        <v>62.87896552879301</v>
      </c>
      <c r="I82" s="179">
        <v>277786</v>
      </c>
      <c r="J82" s="179">
        <v>256063</v>
      </c>
      <c r="K82" s="47">
        <f t="shared" ref="K82" si="33">I82/J82*100</f>
        <v>108.48345914872513</v>
      </c>
      <c r="L82" s="179">
        <v>42260</v>
      </c>
      <c r="M82" s="179">
        <v>0</v>
      </c>
      <c r="N82" s="47">
        <v>0</v>
      </c>
      <c r="O82" s="179">
        <v>154</v>
      </c>
      <c r="P82" s="44"/>
      <c r="Q82" s="166">
        <v>154</v>
      </c>
      <c r="R82" s="45">
        <f t="shared" si="27"/>
        <v>0</v>
      </c>
    </row>
    <row r="83" spans="1:18" x14ac:dyDescent="0.25">
      <c r="A83" s="40">
        <v>8</v>
      </c>
      <c r="B83" s="41" t="s">
        <v>68</v>
      </c>
      <c r="C83" s="163">
        <v>2716</v>
      </c>
      <c r="D83" s="163">
        <v>3258</v>
      </c>
      <c r="E83" s="47">
        <f t="shared" si="25"/>
        <v>83.364027010435848</v>
      </c>
      <c r="F83" s="163">
        <v>1318</v>
      </c>
      <c r="G83" s="163">
        <v>0</v>
      </c>
      <c r="H83" s="47" t="e">
        <f t="shared" si="26"/>
        <v>#DIV/0!</v>
      </c>
      <c r="I83" s="163">
        <v>2988</v>
      </c>
      <c r="J83" s="163">
        <v>3583</v>
      </c>
      <c r="K83" s="47">
        <f t="shared" si="28"/>
        <v>83.393804074797657</v>
      </c>
      <c r="L83" s="163">
        <v>0</v>
      </c>
      <c r="M83" s="163">
        <v>0</v>
      </c>
      <c r="N83" s="47">
        <v>0</v>
      </c>
      <c r="O83" s="163">
        <v>20</v>
      </c>
      <c r="P83" s="62">
        <v>40</v>
      </c>
      <c r="Q83" s="166">
        <v>20</v>
      </c>
      <c r="R83" s="45">
        <f t="shared" si="27"/>
        <v>800</v>
      </c>
    </row>
    <row r="84" spans="1:18" s="60" customFormat="1" x14ac:dyDescent="0.25">
      <c r="A84" s="315" t="s">
        <v>69</v>
      </c>
      <c r="B84" s="315" t="s">
        <v>69</v>
      </c>
      <c r="C84" s="56">
        <f>SUM(C76:C83)</f>
        <v>578585</v>
      </c>
      <c r="D84" s="56">
        <f>SUM(D76:D83)</f>
        <v>457164</v>
      </c>
      <c r="E84" s="57">
        <f>C84/D84*100</f>
        <v>126.55961536778923</v>
      </c>
      <c r="F84" s="56">
        <f>SUM(F76:F83)</f>
        <v>149768</v>
      </c>
      <c r="G84" s="56">
        <f>SUM(G76:G83)</f>
        <v>195592</v>
      </c>
      <c r="H84" s="57">
        <f>F84/G84*100</f>
        <v>76.571638921837291</v>
      </c>
      <c r="I84" s="56">
        <f>SUM(I76:I83)</f>
        <v>632060</v>
      </c>
      <c r="J84" s="56">
        <f>SUM(J76:J83)</f>
        <v>474266</v>
      </c>
      <c r="K84" s="57">
        <f>I84/J84*100</f>
        <v>133.27120223671949</v>
      </c>
      <c r="L84" s="56">
        <f>SUM(L76:L83)</f>
        <v>303012</v>
      </c>
      <c r="M84" s="56">
        <f>SUM(M76:M83)</f>
        <v>104989</v>
      </c>
      <c r="N84" s="58">
        <f>L84/M84*100</f>
        <v>288.6130928001981</v>
      </c>
      <c r="O84" s="56">
        <f>SUM(O76:O83)</f>
        <v>546</v>
      </c>
      <c r="P84" s="57">
        <f>R84/O84</f>
        <v>40.941391941391942</v>
      </c>
      <c r="Q84" s="56">
        <f>SUM(Q76:Q83)</f>
        <v>575</v>
      </c>
      <c r="R84" s="59">
        <f>SUM(R76:R83)</f>
        <v>22354</v>
      </c>
    </row>
    <row r="85" spans="1:18" s="60" customFormat="1" x14ac:dyDescent="0.25">
      <c r="A85" s="315" t="s">
        <v>70</v>
      </c>
      <c r="B85" s="315" t="s">
        <v>70</v>
      </c>
      <c r="C85" s="56">
        <f>C61+C73+C84</f>
        <v>2493586</v>
      </c>
      <c r="D85" s="56">
        <f>D61+D73+D84</f>
        <v>1921924</v>
      </c>
      <c r="E85" s="57">
        <f>C85/D85*100</f>
        <v>129.74425627652292</v>
      </c>
      <c r="F85" s="56">
        <f>F61+F73+F84</f>
        <v>521167</v>
      </c>
      <c r="G85" s="56">
        <f>G61+G73+G84</f>
        <v>601192</v>
      </c>
      <c r="H85" s="57">
        <f>F85/G85*100</f>
        <v>86.688944630001728</v>
      </c>
      <c r="I85" s="56">
        <f>I61+I73+I84</f>
        <v>2265244</v>
      </c>
      <c r="J85" s="56">
        <f>J61+J73+J84</f>
        <v>1974592</v>
      </c>
      <c r="K85" s="57">
        <f>I85/J85*100</f>
        <v>114.71959777007099</v>
      </c>
      <c r="L85" s="56">
        <f>L61+L73+L84</f>
        <v>1326932</v>
      </c>
      <c r="M85" s="56">
        <f>M61+M73+M84</f>
        <v>1003472</v>
      </c>
      <c r="N85" s="57">
        <f>L85/M85*100</f>
        <v>132.23408326291118</v>
      </c>
      <c r="O85" s="56">
        <f>O61+O73+O84</f>
        <v>1788</v>
      </c>
      <c r="P85" s="57">
        <f>R85/O85</f>
        <v>75.022371364653239</v>
      </c>
      <c r="Q85" s="56">
        <f>Q61+Q73+Q84</f>
        <v>2026</v>
      </c>
      <c r="R85" s="59">
        <f>R61+R73+R84</f>
        <v>134140</v>
      </c>
    </row>
    <row r="86" spans="1:18" x14ac:dyDescent="0.25">
      <c r="A86" s="163"/>
      <c r="B86" s="61"/>
      <c r="C86" s="163"/>
      <c r="D86" s="163"/>
      <c r="E86" s="163"/>
      <c r="F86" s="163"/>
      <c r="G86" s="163"/>
      <c r="H86" s="163"/>
      <c r="I86" s="163"/>
      <c r="J86" s="163"/>
      <c r="K86" s="34"/>
      <c r="L86" s="163"/>
      <c r="M86" s="163"/>
      <c r="N86" s="163"/>
      <c r="O86" s="163"/>
      <c r="P86" s="62"/>
      <c r="Q86" s="166"/>
      <c r="R86" s="39"/>
    </row>
    <row r="87" spans="1:18" x14ac:dyDescent="0.25">
      <c r="A87" s="316" t="s">
        <v>18</v>
      </c>
      <c r="B87" s="317"/>
      <c r="C87" s="37">
        <v>3</v>
      </c>
      <c r="D87" s="37">
        <v>4</v>
      </c>
      <c r="E87" s="160">
        <v>5</v>
      </c>
      <c r="F87" s="37">
        <v>6</v>
      </c>
      <c r="G87" s="37">
        <v>7</v>
      </c>
      <c r="H87" s="37">
        <v>8</v>
      </c>
      <c r="I87" s="37">
        <v>9</v>
      </c>
      <c r="J87" s="37">
        <v>10</v>
      </c>
      <c r="K87" s="37">
        <v>11</v>
      </c>
      <c r="L87" s="37">
        <v>12</v>
      </c>
      <c r="M87" s="37">
        <v>13</v>
      </c>
      <c r="N87" s="37">
        <v>14</v>
      </c>
      <c r="O87" s="37">
        <v>15</v>
      </c>
      <c r="P87" s="160">
        <v>16</v>
      </c>
      <c r="Q87" s="37">
        <v>15</v>
      </c>
      <c r="R87" s="39"/>
    </row>
    <row r="88" spans="1:18" x14ac:dyDescent="0.25">
      <c r="A88" s="77">
        <v>1</v>
      </c>
      <c r="B88" s="78" t="s">
        <v>71</v>
      </c>
      <c r="C88" s="51">
        <v>10525</v>
      </c>
      <c r="D88" s="51">
        <v>22009</v>
      </c>
      <c r="E88" s="47">
        <f>C88/D88*100</f>
        <v>47.821345813076469</v>
      </c>
      <c r="F88" s="51">
        <v>243</v>
      </c>
      <c r="G88" s="51">
        <v>19221</v>
      </c>
      <c r="H88" s="47">
        <f>F88/G88*100</f>
        <v>1.2642422350554081</v>
      </c>
      <c r="I88" s="51">
        <v>989</v>
      </c>
      <c r="J88" s="51">
        <v>22042</v>
      </c>
      <c r="K88" s="47">
        <f>I88/J88*100</f>
        <v>4.4868886670901009</v>
      </c>
      <c r="L88" s="163">
        <v>0</v>
      </c>
      <c r="M88" s="51">
        <v>0</v>
      </c>
      <c r="N88" s="47">
        <v>0</v>
      </c>
      <c r="O88" s="163"/>
      <c r="P88" s="51">
        <v>113</v>
      </c>
      <c r="Q88" s="166">
        <v>2832</v>
      </c>
      <c r="R88" s="45">
        <f t="shared" ref="R88:R98" si="34">Q88*P88</f>
        <v>320016</v>
      </c>
    </row>
    <row r="89" spans="1:18" s="80" customFormat="1" x14ac:dyDescent="0.25">
      <c r="A89" s="79">
        <v>2</v>
      </c>
      <c r="B89" s="78" t="s">
        <v>72</v>
      </c>
      <c r="C89" s="51">
        <v>214443</v>
      </c>
      <c r="D89" s="51">
        <v>282475</v>
      </c>
      <c r="E89" s="47">
        <f>C89/D89*100</f>
        <v>75.915744756173112</v>
      </c>
      <c r="F89" s="51">
        <v>44645</v>
      </c>
      <c r="G89" s="51">
        <v>54989</v>
      </c>
      <c r="H89" s="47">
        <f t="shared" ref="H89:H98" si="35">F89/G89*100</f>
        <v>81.188965065740433</v>
      </c>
      <c r="I89" s="51">
        <v>255269</v>
      </c>
      <c r="J89" s="51">
        <v>261270</v>
      </c>
      <c r="K89" s="47">
        <f>I89/J89*100</f>
        <v>97.703142343169901</v>
      </c>
      <c r="L89" s="51">
        <v>252515</v>
      </c>
      <c r="M89" s="51">
        <v>257441</v>
      </c>
      <c r="N89" s="47">
        <f t="shared" ref="N89:N98" si="36">L89/M89*100</f>
        <v>98.086551870137242</v>
      </c>
      <c r="O89" s="163">
        <v>562</v>
      </c>
      <c r="P89" s="51">
        <v>94</v>
      </c>
      <c r="Q89" s="166">
        <v>562</v>
      </c>
      <c r="R89" s="45">
        <f t="shared" si="34"/>
        <v>52828</v>
      </c>
    </row>
    <row r="90" spans="1:18" x14ac:dyDescent="0.25">
      <c r="A90" s="77">
        <v>3</v>
      </c>
      <c r="B90" s="78" t="s">
        <v>73</v>
      </c>
      <c r="C90" s="51">
        <v>159808</v>
      </c>
      <c r="D90" s="51">
        <v>293498</v>
      </c>
      <c r="E90" s="47">
        <f>C90/D90*100</f>
        <v>54.449434067693815</v>
      </c>
      <c r="F90" s="51">
        <v>21864</v>
      </c>
      <c r="G90" s="51">
        <v>84283</v>
      </c>
      <c r="H90" s="47">
        <f t="shared" si="35"/>
        <v>25.941174376801968</v>
      </c>
      <c r="I90" s="51">
        <v>474577</v>
      </c>
      <c r="J90" s="51">
        <v>410409</v>
      </c>
      <c r="K90" s="47">
        <f>I90/J90*100</f>
        <v>115.63513470708489</v>
      </c>
      <c r="L90" s="51">
        <v>82143</v>
      </c>
      <c r="M90" s="51">
        <v>80093</v>
      </c>
      <c r="N90" s="47">
        <f t="shared" si="36"/>
        <v>102.55952455270747</v>
      </c>
      <c r="O90" s="163">
        <v>21</v>
      </c>
      <c r="P90" s="51">
        <v>176</v>
      </c>
      <c r="Q90" s="166">
        <v>21</v>
      </c>
      <c r="R90" s="45">
        <f t="shared" si="34"/>
        <v>3696</v>
      </c>
    </row>
    <row r="91" spans="1:18" x14ac:dyDescent="0.25">
      <c r="A91" s="79">
        <v>4</v>
      </c>
      <c r="B91" s="78" t="s">
        <v>74</v>
      </c>
      <c r="C91" s="51">
        <v>334629</v>
      </c>
      <c r="D91" s="51">
        <v>330502</v>
      </c>
      <c r="E91" s="47">
        <f t="shared" ref="E91:E97" si="37">C91/D91*100</f>
        <v>101.24870651312246</v>
      </c>
      <c r="F91" s="51">
        <v>79019</v>
      </c>
      <c r="G91" s="51">
        <v>83130</v>
      </c>
      <c r="H91" s="47">
        <f t="shared" si="35"/>
        <v>95.054733549861652</v>
      </c>
      <c r="I91" s="51">
        <v>314598</v>
      </c>
      <c r="J91" s="51">
        <v>287932</v>
      </c>
      <c r="K91" s="47">
        <f t="shared" ref="K91:K98" si="38">I91/J91*100</f>
        <v>109.26121445341262</v>
      </c>
      <c r="L91" s="163">
        <v>209265</v>
      </c>
      <c r="M91" s="51">
        <v>147237</v>
      </c>
      <c r="N91" s="47">
        <f t="shared" si="36"/>
        <v>142.12799771796492</v>
      </c>
      <c r="O91" s="163">
        <v>173</v>
      </c>
      <c r="P91" s="51">
        <v>35</v>
      </c>
      <c r="Q91" s="166">
        <v>173</v>
      </c>
      <c r="R91" s="45">
        <f t="shared" si="34"/>
        <v>6055</v>
      </c>
    </row>
    <row r="92" spans="1:18" x14ac:dyDescent="0.25">
      <c r="A92" s="77">
        <v>5</v>
      </c>
      <c r="B92" s="78" t="s">
        <v>75</v>
      </c>
      <c r="C92" s="62">
        <v>118678</v>
      </c>
      <c r="D92" s="62">
        <v>96151</v>
      </c>
      <c r="E92" s="47">
        <f t="shared" si="37"/>
        <v>123.42877349169537</v>
      </c>
      <c r="F92" s="62">
        <v>27617</v>
      </c>
      <c r="G92" s="62">
        <v>16216</v>
      </c>
      <c r="H92" s="47">
        <f t="shared" si="35"/>
        <v>170.30710409472127</v>
      </c>
      <c r="I92" s="62">
        <v>114703</v>
      </c>
      <c r="J92" s="62">
        <v>99234</v>
      </c>
      <c r="K92" s="47">
        <f t="shared" si="38"/>
        <v>115.58840719914545</v>
      </c>
      <c r="L92" s="163">
        <v>47737</v>
      </c>
      <c r="M92" s="62">
        <v>0</v>
      </c>
      <c r="N92" s="47">
        <v>0</v>
      </c>
      <c r="O92" s="163">
        <v>89</v>
      </c>
      <c r="P92" s="62">
        <v>44</v>
      </c>
      <c r="Q92" s="166">
        <v>89</v>
      </c>
      <c r="R92" s="45">
        <f t="shared" si="34"/>
        <v>3916</v>
      </c>
    </row>
    <row r="93" spans="1:18" x14ac:dyDescent="0.25">
      <c r="A93" s="79">
        <v>6</v>
      </c>
      <c r="B93" s="78" t="s">
        <v>76</v>
      </c>
      <c r="C93" s="163">
        <v>0</v>
      </c>
      <c r="D93" s="163">
        <v>0</v>
      </c>
      <c r="E93" s="163">
        <v>0</v>
      </c>
      <c r="F93" s="163">
        <v>0</v>
      </c>
      <c r="G93" s="163">
        <v>0</v>
      </c>
      <c r="H93" s="163">
        <v>0</v>
      </c>
      <c r="I93" s="163">
        <v>0</v>
      </c>
      <c r="J93" s="163">
        <v>0</v>
      </c>
      <c r="K93" s="163">
        <v>0</v>
      </c>
      <c r="L93" s="163">
        <v>0</v>
      </c>
      <c r="M93" s="163">
        <v>0</v>
      </c>
      <c r="N93" s="47">
        <v>0</v>
      </c>
      <c r="O93" s="163">
        <v>0</v>
      </c>
      <c r="P93" s="44">
        <v>0</v>
      </c>
      <c r="Q93" s="166">
        <v>0</v>
      </c>
      <c r="R93" s="45">
        <f t="shared" si="34"/>
        <v>0</v>
      </c>
    </row>
    <row r="94" spans="1:18" x14ac:dyDescent="0.25">
      <c r="A94" s="77">
        <v>7</v>
      </c>
      <c r="B94" s="78" t="s">
        <v>77</v>
      </c>
      <c r="C94" s="51">
        <v>305</v>
      </c>
      <c r="D94" s="62">
        <v>410</v>
      </c>
      <c r="E94" s="47">
        <f t="shared" si="37"/>
        <v>74.390243902439025</v>
      </c>
      <c r="F94" s="51">
        <v>305</v>
      </c>
      <c r="G94" s="62">
        <v>410</v>
      </c>
      <c r="H94" s="47">
        <v>0</v>
      </c>
      <c r="I94" s="51">
        <v>305</v>
      </c>
      <c r="J94" s="62">
        <v>410</v>
      </c>
      <c r="K94" s="47">
        <f t="shared" ref="K94:K95" si="39">I94/J94*100</f>
        <v>74.390243902439025</v>
      </c>
      <c r="L94" s="163">
        <v>0</v>
      </c>
      <c r="M94" s="62">
        <v>0</v>
      </c>
      <c r="N94" s="47">
        <v>0</v>
      </c>
      <c r="O94" s="163">
        <v>12</v>
      </c>
      <c r="P94" s="51">
        <v>73</v>
      </c>
      <c r="Q94" s="166">
        <v>12</v>
      </c>
      <c r="R94" s="45">
        <f t="shared" si="34"/>
        <v>876</v>
      </c>
    </row>
    <row r="95" spans="1:18" x14ac:dyDescent="0.25">
      <c r="A95" s="79">
        <v>8</v>
      </c>
      <c r="B95" s="81" t="s">
        <v>78</v>
      </c>
      <c r="C95" s="62">
        <v>270617</v>
      </c>
      <c r="D95" s="62">
        <v>312993</v>
      </c>
      <c r="E95" s="47">
        <f t="shared" ref="E95" si="40">C95/D95*100</f>
        <v>86.461039064771413</v>
      </c>
      <c r="F95" s="62">
        <v>84444</v>
      </c>
      <c r="G95" s="62">
        <v>81524</v>
      </c>
      <c r="H95" s="47">
        <f t="shared" ref="H95" si="41">F95/G95*100</f>
        <v>103.58176733231932</v>
      </c>
      <c r="I95" s="62">
        <v>333172</v>
      </c>
      <c r="J95" s="62">
        <v>347484</v>
      </c>
      <c r="K95" s="47">
        <f t="shared" si="39"/>
        <v>95.881249208596657</v>
      </c>
      <c r="L95" s="179">
        <v>61653</v>
      </c>
      <c r="M95" s="62">
        <v>52840</v>
      </c>
      <c r="N95" s="47">
        <f t="shared" si="36"/>
        <v>116.67865253595761</v>
      </c>
      <c r="O95" s="163">
        <v>80</v>
      </c>
      <c r="P95" s="51">
        <v>85</v>
      </c>
      <c r="Q95" s="166">
        <v>80</v>
      </c>
      <c r="R95" s="45">
        <f t="shared" si="34"/>
        <v>6800</v>
      </c>
    </row>
    <row r="96" spans="1:18" x14ac:dyDescent="0.25">
      <c r="A96" s="77">
        <v>9</v>
      </c>
      <c r="B96" s="81" t="s">
        <v>79</v>
      </c>
      <c r="C96" s="51">
        <v>698266</v>
      </c>
      <c r="D96" s="51">
        <v>740231</v>
      </c>
      <c r="E96" s="47">
        <f t="shared" si="37"/>
        <v>94.330823756367948</v>
      </c>
      <c r="F96" s="51">
        <v>205964</v>
      </c>
      <c r="G96" s="51">
        <v>181954</v>
      </c>
      <c r="H96" s="47">
        <f t="shared" si="35"/>
        <v>113.19564285478747</v>
      </c>
      <c r="I96" s="51">
        <v>664805</v>
      </c>
      <c r="J96" s="51">
        <v>890640</v>
      </c>
      <c r="K96" s="47">
        <f t="shared" si="38"/>
        <v>74.643514775891489</v>
      </c>
      <c r="L96" s="163">
        <v>0</v>
      </c>
      <c r="M96" s="51">
        <v>0</v>
      </c>
      <c r="N96" s="47">
        <v>0</v>
      </c>
      <c r="O96" s="163">
        <v>128</v>
      </c>
      <c r="P96" s="51">
        <v>145</v>
      </c>
      <c r="Q96" s="166">
        <v>128</v>
      </c>
      <c r="R96" s="45">
        <f t="shared" si="34"/>
        <v>18560</v>
      </c>
    </row>
    <row r="97" spans="1:18" x14ac:dyDescent="0.25">
      <c r="A97" s="79">
        <v>10</v>
      </c>
      <c r="B97" s="78" t="s">
        <v>80</v>
      </c>
      <c r="C97" s="51">
        <v>549073</v>
      </c>
      <c r="D97" s="51">
        <v>495665</v>
      </c>
      <c r="E97" s="47">
        <f t="shared" si="37"/>
        <v>110.77501941835715</v>
      </c>
      <c r="F97" s="51">
        <v>114080</v>
      </c>
      <c r="G97" s="51">
        <v>102937</v>
      </c>
      <c r="H97" s="47">
        <f t="shared" si="35"/>
        <v>110.82506775989198</v>
      </c>
      <c r="I97" s="51">
        <v>509701</v>
      </c>
      <c r="J97" s="51">
        <v>406596</v>
      </c>
      <c r="K97" s="47">
        <f t="shared" si="38"/>
        <v>125.3580950132318</v>
      </c>
      <c r="L97" s="163">
        <v>131271</v>
      </c>
      <c r="M97" s="51">
        <v>171090</v>
      </c>
      <c r="N97" s="47">
        <f t="shared" si="36"/>
        <v>76.726284411713124</v>
      </c>
      <c r="O97" s="163">
        <v>114</v>
      </c>
      <c r="P97" s="51">
        <v>184</v>
      </c>
      <c r="Q97" s="166">
        <v>101</v>
      </c>
      <c r="R97" s="45">
        <f t="shared" si="34"/>
        <v>18584</v>
      </c>
    </row>
    <row r="98" spans="1:18" x14ac:dyDescent="0.25">
      <c r="A98" s="77">
        <v>11</v>
      </c>
      <c r="B98" s="78" t="s">
        <v>81</v>
      </c>
      <c r="C98" s="77">
        <v>107938</v>
      </c>
      <c r="D98" s="181">
        <v>82340</v>
      </c>
      <c r="E98" s="47">
        <f>F98/G98*100</f>
        <v>124.80353634577604</v>
      </c>
      <c r="F98" s="51">
        <v>25410</v>
      </c>
      <c r="G98" s="51">
        <v>20360</v>
      </c>
      <c r="H98" s="47">
        <f t="shared" si="35"/>
        <v>124.80353634577604</v>
      </c>
      <c r="I98" s="82">
        <v>1352584</v>
      </c>
      <c r="J98" s="83">
        <v>1287626</v>
      </c>
      <c r="K98" s="47">
        <f t="shared" si="38"/>
        <v>105.04478784988808</v>
      </c>
      <c r="L98" s="82">
        <v>53355</v>
      </c>
      <c r="M98" s="83">
        <v>39290</v>
      </c>
      <c r="N98" s="47">
        <f t="shared" si="36"/>
        <v>135.79791295495036</v>
      </c>
      <c r="O98" s="163">
        <v>53</v>
      </c>
      <c r="P98" s="51">
        <v>250</v>
      </c>
      <c r="Q98" s="166">
        <v>53</v>
      </c>
      <c r="R98" s="45">
        <f t="shared" si="34"/>
        <v>13250</v>
      </c>
    </row>
    <row r="99" spans="1:18" s="60" customFormat="1" x14ac:dyDescent="0.25">
      <c r="A99" s="315" t="s">
        <v>82</v>
      </c>
      <c r="B99" s="315" t="s">
        <v>83</v>
      </c>
      <c r="C99" s="58">
        <f>SUM(C88:C98)</f>
        <v>2464282</v>
      </c>
      <c r="D99" s="58">
        <f>SUM(D88:D98)</f>
        <v>2656274</v>
      </c>
      <c r="E99" s="57">
        <f>C99/D99*100</f>
        <v>92.772131188273505</v>
      </c>
      <c r="F99" s="58">
        <f>SUM(F88:F98)</f>
        <v>603591</v>
      </c>
      <c r="G99" s="58">
        <f>SUM(G88:G98)</f>
        <v>645024</v>
      </c>
      <c r="H99" s="57">
        <f>F99/G99*100</f>
        <v>93.576518083048072</v>
      </c>
      <c r="I99" s="58">
        <f>SUM(I88:I98)</f>
        <v>4020703</v>
      </c>
      <c r="J99" s="58">
        <f>SUM(J88:J98)</f>
        <v>4013643</v>
      </c>
      <c r="K99" s="57">
        <f>I99/J99*100</f>
        <v>100.17590004890819</v>
      </c>
      <c r="L99" s="58">
        <f>SUM(L88:L98)</f>
        <v>837939</v>
      </c>
      <c r="M99" s="58">
        <f>SUM(M88:M98)</f>
        <v>747991</v>
      </c>
      <c r="N99" s="57">
        <f>L99/M99*100</f>
        <v>112.02527837901792</v>
      </c>
      <c r="O99" s="56">
        <f>SUM(O88:O98)</f>
        <v>1232</v>
      </c>
      <c r="P99" s="57">
        <f>R99/O99</f>
        <v>360.8612012987013</v>
      </c>
      <c r="Q99" s="56">
        <f>SUM(Q88:Q98)</f>
        <v>4051</v>
      </c>
      <c r="R99" s="59">
        <f>SUM(R88:R98)</f>
        <v>444581</v>
      </c>
    </row>
    <row r="100" spans="1:18" x14ac:dyDescent="0.25">
      <c r="A100" s="163"/>
      <c r="B100" s="163"/>
      <c r="C100" s="163"/>
      <c r="D100" s="163"/>
      <c r="E100" s="163"/>
      <c r="F100" s="163"/>
      <c r="G100" s="163"/>
      <c r="H100" s="163"/>
      <c r="I100" s="163"/>
      <c r="J100" s="163"/>
      <c r="K100" s="34"/>
      <c r="L100" s="163"/>
      <c r="M100" s="163"/>
      <c r="N100" s="163"/>
      <c r="O100" s="163"/>
      <c r="P100" s="62"/>
      <c r="Q100" s="166"/>
      <c r="R100" s="39"/>
    </row>
    <row r="101" spans="1:18" x14ac:dyDescent="0.25">
      <c r="A101" s="316" t="s">
        <v>19</v>
      </c>
      <c r="B101" s="317"/>
      <c r="C101" s="37">
        <v>3</v>
      </c>
      <c r="D101" s="37">
        <v>4</v>
      </c>
      <c r="E101" s="160">
        <v>5</v>
      </c>
      <c r="F101" s="37">
        <v>6</v>
      </c>
      <c r="G101" s="37">
        <v>7</v>
      </c>
      <c r="H101" s="37">
        <v>8</v>
      </c>
      <c r="I101" s="37">
        <v>9</v>
      </c>
      <c r="J101" s="37">
        <v>10</v>
      </c>
      <c r="K101" s="37">
        <v>11</v>
      </c>
      <c r="L101" s="37">
        <v>12</v>
      </c>
      <c r="M101" s="37">
        <v>13</v>
      </c>
      <c r="N101" s="37">
        <v>14</v>
      </c>
      <c r="O101" s="37">
        <v>15</v>
      </c>
      <c r="P101" s="160">
        <v>16</v>
      </c>
      <c r="Q101" s="37">
        <v>15</v>
      </c>
      <c r="R101" s="39"/>
    </row>
    <row r="102" spans="1:18" x14ac:dyDescent="0.25">
      <c r="A102" s="85">
        <v>1</v>
      </c>
      <c r="B102" s="81" t="s">
        <v>84</v>
      </c>
      <c r="C102" s="87">
        <v>98993</v>
      </c>
      <c r="D102" s="87">
        <v>117630</v>
      </c>
      <c r="E102" s="47">
        <f>C102/D102*100</f>
        <v>84.156252656635218</v>
      </c>
      <c r="F102" s="87">
        <v>35807</v>
      </c>
      <c r="G102" s="87">
        <v>39569</v>
      </c>
      <c r="H102" s="47">
        <f>F102/G102*100</f>
        <v>90.492557304960954</v>
      </c>
      <c r="I102" s="87">
        <v>85073</v>
      </c>
      <c r="J102" s="86">
        <v>104135</v>
      </c>
      <c r="K102" s="47">
        <f>I102/J102*100</f>
        <v>81.694915254237287</v>
      </c>
      <c r="L102" s="87">
        <v>85028</v>
      </c>
      <c r="M102" s="87">
        <v>100472</v>
      </c>
      <c r="N102" s="47">
        <v>0</v>
      </c>
      <c r="O102" s="129">
        <v>313</v>
      </c>
      <c r="P102" s="62">
        <v>70</v>
      </c>
      <c r="Q102" s="129">
        <v>305</v>
      </c>
      <c r="R102" s="45">
        <f t="shared" ref="R102:R126" si="42">Q102*P102</f>
        <v>21350</v>
      </c>
    </row>
    <row r="103" spans="1:18" x14ac:dyDescent="0.25">
      <c r="A103" s="85">
        <v>2</v>
      </c>
      <c r="B103" s="81" t="s">
        <v>85</v>
      </c>
      <c r="C103" s="163">
        <v>0</v>
      </c>
      <c r="D103" s="163">
        <v>0</v>
      </c>
      <c r="E103" s="163">
        <v>0</v>
      </c>
      <c r="F103" s="163">
        <v>0</v>
      </c>
      <c r="G103" s="163">
        <v>0</v>
      </c>
      <c r="H103" s="163">
        <v>0</v>
      </c>
      <c r="I103" s="163">
        <v>0</v>
      </c>
      <c r="J103" s="163">
        <v>0</v>
      </c>
      <c r="K103" s="163">
        <v>0</v>
      </c>
      <c r="L103" s="163">
        <v>0</v>
      </c>
      <c r="M103" s="163">
        <v>0</v>
      </c>
      <c r="N103" s="86">
        <v>0</v>
      </c>
      <c r="O103" s="163">
        <v>0</v>
      </c>
      <c r="P103" s="44">
        <v>0</v>
      </c>
      <c r="Q103" s="166">
        <v>0</v>
      </c>
      <c r="R103" s="45">
        <f t="shared" si="42"/>
        <v>0</v>
      </c>
    </row>
    <row r="104" spans="1:18" x14ac:dyDescent="0.25">
      <c r="A104" s="85">
        <v>3</v>
      </c>
      <c r="B104" s="78" t="s">
        <v>86</v>
      </c>
      <c r="C104" s="163">
        <v>0</v>
      </c>
      <c r="D104" s="163">
        <v>0</v>
      </c>
      <c r="E104" s="163">
        <v>0</v>
      </c>
      <c r="F104" s="163">
        <v>0</v>
      </c>
      <c r="G104" s="163">
        <v>0</v>
      </c>
      <c r="H104" s="163">
        <v>0</v>
      </c>
      <c r="I104" s="163">
        <v>0</v>
      </c>
      <c r="J104" s="163">
        <v>0</v>
      </c>
      <c r="K104" s="163">
        <v>0</v>
      </c>
      <c r="L104" s="163">
        <v>0</v>
      </c>
      <c r="M104" s="163">
        <v>0</v>
      </c>
      <c r="N104" s="86">
        <v>0</v>
      </c>
      <c r="O104" s="163">
        <v>0</v>
      </c>
      <c r="P104" s="44">
        <v>0</v>
      </c>
      <c r="Q104" s="166">
        <v>0</v>
      </c>
      <c r="R104" s="45">
        <f t="shared" si="42"/>
        <v>0</v>
      </c>
    </row>
    <row r="105" spans="1:18" x14ac:dyDescent="0.25">
      <c r="A105" s="85">
        <v>4</v>
      </c>
      <c r="B105" s="81" t="s">
        <v>87</v>
      </c>
      <c r="C105" s="86">
        <v>0</v>
      </c>
      <c r="D105" s="87">
        <v>26223</v>
      </c>
      <c r="E105" s="47">
        <f t="shared" ref="E105:E126" si="43">C105/D105*100</f>
        <v>0</v>
      </c>
      <c r="F105" s="86">
        <v>0</v>
      </c>
      <c r="G105" s="87">
        <v>4099</v>
      </c>
      <c r="H105" s="47">
        <f t="shared" ref="H105:H126" si="44">F105/G105*100</f>
        <v>0</v>
      </c>
      <c r="I105" s="86">
        <v>9664</v>
      </c>
      <c r="J105" s="86">
        <v>13600</v>
      </c>
      <c r="K105" s="47">
        <f t="shared" ref="K105:K126" si="45">I105/J105*100</f>
        <v>71.058823529411768</v>
      </c>
      <c r="L105" s="87">
        <v>0</v>
      </c>
      <c r="M105" s="87">
        <v>0</v>
      </c>
      <c r="N105" s="47">
        <v>0</v>
      </c>
      <c r="O105" s="129">
        <v>7</v>
      </c>
      <c r="P105" s="87">
        <v>68</v>
      </c>
      <c r="Q105" s="129">
        <v>7</v>
      </c>
      <c r="R105" s="45">
        <f t="shared" si="42"/>
        <v>476</v>
      </c>
    </row>
    <row r="106" spans="1:18" x14ac:dyDescent="0.25">
      <c r="A106" s="85">
        <v>5</v>
      </c>
      <c r="B106" s="81" t="s">
        <v>88</v>
      </c>
      <c r="C106" s="87">
        <v>262031</v>
      </c>
      <c r="D106" s="87">
        <v>265389</v>
      </c>
      <c r="E106" s="47">
        <f t="shared" si="43"/>
        <v>98.73468757182853</v>
      </c>
      <c r="F106" s="87">
        <v>57027</v>
      </c>
      <c r="G106" s="87">
        <v>79456</v>
      </c>
      <c r="H106" s="47">
        <f t="shared" si="44"/>
        <v>71.771798227950057</v>
      </c>
      <c r="I106" s="87">
        <v>295210</v>
      </c>
      <c r="J106" s="87">
        <v>269617</v>
      </c>
      <c r="K106" s="47">
        <f t="shared" si="45"/>
        <v>109.49235396877792</v>
      </c>
      <c r="L106" s="87">
        <v>295210</v>
      </c>
      <c r="M106" s="87">
        <v>269617</v>
      </c>
      <c r="N106" s="47">
        <f t="shared" ref="N106:N114" si="46">L106/M106*100</f>
        <v>109.49235396877792</v>
      </c>
      <c r="O106" s="129">
        <v>474</v>
      </c>
      <c r="P106" s="87">
        <v>52</v>
      </c>
      <c r="Q106" s="129">
        <v>474</v>
      </c>
      <c r="R106" s="45">
        <f t="shared" si="42"/>
        <v>24648</v>
      </c>
    </row>
    <row r="107" spans="1:18" x14ac:dyDescent="0.25">
      <c r="A107" s="85">
        <v>6</v>
      </c>
      <c r="B107" s="81" t="s">
        <v>89</v>
      </c>
      <c r="C107" s="163">
        <v>0</v>
      </c>
      <c r="D107" s="163">
        <v>0</v>
      </c>
      <c r="E107" s="47">
        <v>0</v>
      </c>
      <c r="F107" s="163">
        <v>0</v>
      </c>
      <c r="G107" s="163">
        <v>0</v>
      </c>
      <c r="H107" s="163">
        <v>0</v>
      </c>
      <c r="I107" s="163">
        <v>0</v>
      </c>
      <c r="J107" s="163">
        <v>0</v>
      </c>
      <c r="K107" s="163">
        <v>0</v>
      </c>
      <c r="L107" s="163">
        <v>0</v>
      </c>
      <c r="M107" s="163">
        <v>0</v>
      </c>
      <c r="N107" s="86">
        <v>0</v>
      </c>
      <c r="O107" s="163">
        <v>0</v>
      </c>
      <c r="P107" s="44">
        <v>0</v>
      </c>
      <c r="Q107" s="166">
        <v>0</v>
      </c>
      <c r="R107" s="45">
        <f t="shared" si="42"/>
        <v>0</v>
      </c>
    </row>
    <row r="108" spans="1:18" x14ac:dyDescent="0.25">
      <c r="A108" s="85">
        <v>7</v>
      </c>
      <c r="B108" s="78" t="s">
        <v>90</v>
      </c>
      <c r="C108" s="163">
        <v>0</v>
      </c>
      <c r="D108" s="163">
        <v>0</v>
      </c>
      <c r="E108" s="47">
        <v>0</v>
      </c>
      <c r="F108" s="163">
        <v>0</v>
      </c>
      <c r="G108" s="163">
        <v>0</v>
      </c>
      <c r="H108" s="163">
        <v>0</v>
      </c>
      <c r="I108" s="163">
        <v>0</v>
      </c>
      <c r="J108" s="163">
        <v>0</v>
      </c>
      <c r="K108" s="47">
        <v>0</v>
      </c>
      <c r="L108" s="163">
        <v>0</v>
      </c>
      <c r="M108" s="163">
        <v>0</v>
      </c>
      <c r="N108" s="47">
        <v>0</v>
      </c>
      <c r="O108" s="163">
        <v>0</v>
      </c>
      <c r="P108" s="44">
        <v>0</v>
      </c>
      <c r="Q108" s="166">
        <v>0</v>
      </c>
      <c r="R108" s="45">
        <f t="shared" si="42"/>
        <v>0</v>
      </c>
    </row>
    <row r="109" spans="1:18" x14ac:dyDescent="0.25">
      <c r="A109" s="85">
        <v>8</v>
      </c>
      <c r="B109" s="81" t="s">
        <v>91</v>
      </c>
      <c r="C109" s="51">
        <v>99635</v>
      </c>
      <c r="D109" s="51">
        <v>125326</v>
      </c>
      <c r="E109" s="51">
        <f t="shared" si="43"/>
        <v>79.500662272792553</v>
      </c>
      <c r="F109" s="51">
        <v>20915</v>
      </c>
      <c r="G109" s="51">
        <v>35036</v>
      </c>
      <c r="H109" s="51">
        <f t="shared" ref="H109:H113" si="47">F109/G109*100</f>
        <v>59.695741523004905</v>
      </c>
      <c r="I109" s="51">
        <v>69072</v>
      </c>
      <c r="J109" s="51">
        <v>88511</v>
      </c>
      <c r="K109" s="51">
        <f t="shared" si="45"/>
        <v>78.037758018777325</v>
      </c>
      <c r="L109" s="51">
        <v>0</v>
      </c>
      <c r="M109" s="51">
        <v>33480</v>
      </c>
      <c r="N109" s="51">
        <f t="shared" si="46"/>
        <v>0</v>
      </c>
      <c r="O109" s="51">
        <v>139</v>
      </c>
      <c r="P109" s="51">
        <v>66</v>
      </c>
      <c r="Q109" s="51">
        <v>139</v>
      </c>
      <c r="R109" s="45">
        <f t="shared" si="42"/>
        <v>9174</v>
      </c>
    </row>
    <row r="110" spans="1:18" x14ac:dyDescent="0.25">
      <c r="A110" s="85">
        <v>9</v>
      </c>
      <c r="B110" s="81" t="s">
        <v>92</v>
      </c>
      <c r="C110" s="163">
        <v>0</v>
      </c>
      <c r="D110" s="163">
        <v>0</v>
      </c>
      <c r="E110" s="163">
        <v>0</v>
      </c>
      <c r="F110" s="163">
        <v>0</v>
      </c>
      <c r="G110" s="163">
        <v>0</v>
      </c>
      <c r="H110" s="47">
        <v>0</v>
      </c>
      <c r="I110" s="163">
        <v>0</v>
      </c>
      <c r="J110" s="163">
        <v>0</v>
      </c>
      <c r="K110" s="47">
        <v>0</v>
      </c>
      <c r="L110" s="163">
        <v>0</v>
      </c>
      <c r="M110" s="163">
        <v>0</v>
      </c>
      <c r="N110" s="47">
        <v>0</v>
      </c>
      <c r="O110" s="163">
        <v>0</v>
      </c>
      <c r="P110" s="44">
        <v>0</v>
      </c>
      <c r="Q110" s="166">
        <v>0</v>
      </c>
      <c r="R110" s="45">
        <f t="shared" si="42"/>
        <v>0</v>
      </c>
    </row>
    <row r="111" spans="1:18" x14ac:dyDescent="0.25">
      <c r="A111" s="85">
        <v>10</v>
      </c>
      <c r="B111" s="78" t="s">
        <v>93</v>
      </c>
      <c r="C111" s="87">
        <v>36066</v>
      </c>
      <c r="D111" s="87">
        <v>61916</v>
      </c>
      <c r="E111" s="47">
        <f t="shared" si="43"/>
        <v>58.249886943601005</v>
      </c>
      <c r="F111" s="87">
        <v>13057</v>
      </c>
      <c r="G111" s="87">
        <v>0</v>
      </c>
      <c r="H111" s="47">
        <v>0</v>
      </c>
      <c r="I111" s="87">
        <v>36066</v>
      </c>
      <c r="J111" s="87">
        <v>61916</v>
      </c>
      <c r="K111" s="47">
        <f t="shared" si="45"/>
        <v>58.249886943601005</v>
      </c>
      <c r="L111" s="87">
        <v>36066</v>
      </c>
      <c r="M111" s="87">
        <v>61916</v>
      </c>
      <c r="N111" s="47">
        <f t="shared" si="46"/>
        <v>58.249886943601005</v>
      </c>
      <c r="O111" s="129">
        <v>58</v>
      </c>
      <c r="P111" s="87">
        <v>38</v>
      </c>
      <c r="Q111" s="129">
        <v>22</v>
      </c>
      <c r="R111" s="45">
        <f t="shared" si="42"/>
        <v>836</v>
      </c>
    </row>
    <row r="112" spans="1:18" x14ac:dyDescent="0.25">
      <c r="A112" s="85">
        <v>11</v>
      </c>
      <c r="B112" s="81" t="s">
        <v>94</v>
      </c>
      <c r="C112" s="163">
        <v>0</v>
      </c>
      <c r="D112" s="163">
        <v>0</v>
      </c>
      <c r="E112" s="163">
        <v>0</v>
      </c>
      <c r="F112" s="163">
        <v>0</v>
      </c>
      <c r="G112" s="163">
        <v>0</v>
      </c>
      <c r="H112" s="163">
        <v>0</v>
      </c>
      <c r="I112" s="163">
        <v>0</v>
      </c>
      <c r="J112" s="163">
        <v>0</v>
      </c>
      <c r="K112" s="163">
        <v>0</v>
      </c>
      <c r="L112" s="163">
        <v>0</v>
      </c>
      <c r="M112" s="163">
        <v>0</v>
      </c>
      <c r="N112" s="86">
        <v>0</v>
      </c>
      <c r="O112" s="163">
        <v>0</v>
      </c>
      <c r="P112" s="44">
        <v>0</v>
      </c>
      <c r="Q112" s="166">
        <v>0</v>
      </c>
      <c r="R112" s="45">
        <f t="shared" si="42"/>
        <v>0</v>
      </c>
    </row>
    <row r="113" spans="1:91" x14ac:dyDescent="0.25">
      <c r="A113" s="85">
        <v>12</v>
      </c>
      <c r="B113" s="81" t="s">
        <v>95</v>
      </c>
      <c r="C113" s="86">
        <v>34166</v>
      </c>
      <c r="D113" s="87">
        <v>35874</v>
      </c>
      <c r="E113" s="47">
        <f t="shared" si="43"/>
        <v>95.238891676423037</v>
      </c>
      <c r="F113" s="86">
        <v>10250</v>
      </c>
      <c r="G113" s="87">
        <v>11958</v>
      </c>
      <c r="H113" s="47">
        <f t="shared" si="47"/>
        <v>85.716675029269112</v>
      </c>
      <c r="I113" s="86">
        <v>27500</v>
      </c>
      <c r="J113" s="86">
        <v>22650</v>
      </c>
      <c r="K113" s="47">
        <f t="shared" ref="K113" si="48">I113/J113*100</f>
        <v>121.41280353200882</v>
      </c>
      <c r="L113" s="87">
        <v>0</v>
      </c>
      <c r="M113" s="87">
        <v>0</v>
      </c>
      <c r="N113" s="47">
        <v>0</v>
      </c>
      <c r="O113" s="129">
        <v>22</v>
      </c>
      <c r="P113" s="87">
        <v>50</v>
      </c>
      <c r="Q113" s="129">
        <v>22</v>
      </c>
      <c r="R113" s="45">
        <f t="shared" si="42"/>
        <v>1100</v>
      </c>
    </row>
    <row r="114" spans="1:91" x14ac:dyDescent="0.25">
      <c r="A114" s="85">
        <v>13</v>
      </c>
      <c r="B114" s="81" t="s">
        <v>96</v>
      </c>
      <c r="C114" s="86">
        <v>32876</v>
      </c>
      <c r="D114" s="87">
        <v>45582</v>
      </c>
      <c r="E114" s="47">
        <f t="shared" si="43"/>
        <v>72.124961607652139</v>
      </c>
      <c r="F114" s="86">
        <v>7276</v>
      </c>
      <c r="G114" s="86">
        <v>13997</v>
      </c>
      <c r="H114" s="47">
        <f t="shared" si="44"/>
        <v>51.982567693077087</v>
      </c>
      <c r="I114" s="86">
        <v>71783</v>
      </c>
      <c r="J114" s="86">
        <v>32964</v>
      </c>
      <c r="K114" s="47">
        <f t="shared" si="45"/>
        <v>217.76180075233586</v>
      </c>
      <c r="L114" s="87">
        <v>68191</v>
      </c>
      <c r="M114" s="87">
        <v>31261</v>
      </c>
      <c r="N114" s="47">
        <f t="shared" si="46"/>
        <v>218.13441668532678</v>
      </c>
      <c r="O114" s="129">
        <v>115</v>
      </c>
      <c r="P114" s="87">
        <v>47</v>
      </c>
      <c r="Q114" s="129">
        <v>38</v>
      </c>
      <c r="R114" s="45">
        <f t="shared" si="42"/>
        <v>1786</v>
      </c>
    </row>
    <row r="115" spans="1:91" x14ac:dyDescent="0.25">
      <c r="A115" s="85">
        <v>14</v>
      </c>
      <c r="B115" s="81" t="s">
        <v>97</v>
      </c>
      <c r="C115" s="164">
        <v>0</v>
      </c>
      <c r="D115" s="164">
        <v>0</v>
      </c>
      <c r="E115" s="164">
        <v>0</v>
      </c>
      <c r="F115" s="164">
        <v>0</v>
      </c>
      <c r="G115" s="164">
        <v>0</v>
      </c>
      <c r="H115" s="164">
        <v>0</v>
      </c>
      <c r="I115" s="164">
        <v>0</v>
      </c>
      <c r="J115" s="164">
        <v>0</v>
      </c>
      <c r="K115" s="164">
        <v>0</v>
      </c>
      <c r="L115" s="164">
        <v>0</v>
      </c>
      <c r="M115" s="164">
        <v>0</v>
      </c>
      <c r="N115" s="86">
        <v>0</v>
      </c>
      <c r="O115" s="164">
        <v>0</v>
      </c>
      <c r="P115" s="44">
        <v>0</v>
      </c>
      <c r="Q115" s="166">
        <v>0</v>
      </c>
      <c r="R115" s="45">
        <f t="shared" si="42"/>
        <v>0</v>
      </c>
    </row>
    <row r="116" spans="1:91" x14ac:dyDescent="0.25">
      <c r="A116" s="85">
        <v>15</v>
      </c>
      <c r="B116" s="81" t="s">
        <v>98</v>
      </c>
      <c r="C116" s="164">
        <v>0</v>
      </c>
      <c r="D116" s="164">
        <v>0</v>
      </c>
      <c r="E116" s="164">
        <v>0</v>
      </c>
      <c r="F116" s="164">
        <v>0</v>
      </c>
      <c r="G116" s="164">
        <v>0</v>
      </c>
      <c r="H116" s="164">
        <v>0</v>
      </c>
      <c r="I116" s="164">
        <v>0</v>
      </c>
      <c r="J116" s="164">
        <v>0</v>
      </c>
      <c r="K116" s="164">
        <v>0</v>
      </c>
      <c r="L116" s="164">
        <v>0</v>
      </c>
      <c r="M116" s="164">
        <v>0</v>
      </c>
      <c r="N116" s="86">
        <v>0</v>
      </c>
      <c r="O116" s="164">
        <v>0</v>
      </c>
      <c r="P116" s="44">
        <v>0</v>
      </c>
      <c r="Q116" s="166">
        <v>0</v>
      </c>
      <c r="R116" s="45">
        <f t="shared" si="42"/>
        <v>0</v>
      </c>
    </row>
    <row r="117" spans="1:91" x14ac:dyDescent="0.25">
      <c r="A117" s="85">
        <v>16</v>
      </c>
      <c r="B117" s="81" t="s">
        <v>99</v>
      </c>
      <c r="C117" s="51">
        <v>187177</v>
      </c>
      <c r="D117" s="51">
        <v>258338</v>
      </c>
      <c r="E117" s="47">
        <f t="shared" si="43"/>
        <v>72.454304051281653</v>
      </c>
      <c r="F117" s="51">
        <v>16701</v>
      </c>
      <c r="G117" s="51">
        <v>96458</v>
      </c>
      <c r="H117" s="47">
        <f t="shared" si="44"/>
        <v>17.314271496402579</v>
      </c>
      <c r="I117" s="51">
        <v>173051</v>
      </c>
      <c r="J117" s="51">
        <v>255225</v>
      </c>
      <c r="K117" s="47">
        <f t="shared" ref="K117" si="49">I117/J117*100</f>
        <v>67.803310804192378</v>
      </c>
      <c r="L117" s="51">
        <v>0</v>
      </c>
      <c r="M117" s="51">
        <v>0</v>
      </c>
      <c r="N117" s="47">
        <v>0</v>
      </c>
      <c r="O117" s="129">
        <v>102</v>
      </c>
      <c r="P117" s="44">
        <v>65</v>
      </c>
      <c r="Q117" s="129">
        <v>82</v>
      </c>
      <c r="R117" s="45">
        <f t="shared" si="42"/>
        <v>5330</v>
      </c>
    </row>
    <row r="118" spans="1:91" x14ac:dyDescent="0.25">
      <c r="A118" s="85">
        <v>17</v>
      </c>
      <c r="B118" s="81" t="s">
        <v>100</v>
      </c>
      <c r="C118" s="86">
        <v>304945</v>
      </c>
      <c r="D118" s="87">
        <v>200187</v>
      </c>
      <c r="E118" s="47">
        <f t="shared" si="43"/>
        <v>152.33007138325664</v>
      </c>
      <c r="F118" s="86">
        <v>78880</v>
      </c>
      <c r="G118" s="86">
        <v>63232</v>
      </c>
      <c r="H118" s="47">
        <f t="shared" si="44"/>
        <v>124.74696356275304</v>
      </c>
      <c r="I118" s="86">
        <v>238128</v>
      </c>
      <c r="J118" s="86">
        <v>201048</v>
      </c>
      <c r="K118" s="47">
        <f t="shared" si="45"/>
        <v>118.44335681031394</v>
      </c>
      <c r="L118" s="87">
        <v>0</v>
      </c>
      <c r="M118" s="87">
        <v>0</v>
      </c>
      <c r="N118" s="47">
        <v>0</v>
      </c>
      <c r="O118" s="129">
        <v>196</v>
      </c>
      <c r="P118" s="87">
        <v>60</v>
      </c>
      <c r="Q118" s="129">
        <v>188</v>
      </c>
      <c r="R118" s="45">
        <f t="shared" si="42"/>
        <v>11280</v>
      </c>
    </row>
    <row r="119" spans="1:91" x14ac:dyDescent="0.25">
      <c r="A119" s="85">
        <v>18</v>
      </c>
      <c r="B119" s="78" t="s">
        <v>101</v>
      </c>
      <c r="C119" s="51">
        <v>171301</v>
      </c>
      <c r="D119" s="51">
        <v>0</v>
      </c>
      <c r="E119" s="47">
        <v>0</v>
      </c>
      <c r="F119" s="51">
        <v>50914</v>
      </c>
      <c r="G119" s="51">
        <v>0</v>
      </c>
      <c r="H119" s="47">
        <v>0</v>
      </c>
      <c r="I119" s="51">
        <v>174301</v>
      </c>
      <c r="J119" s="51">
        <v>0</v>
      </c>
      <c r="K119" s="47">
        <v>0</v>
      </c>
      <c r="L119" s="51">
        <v>174301</v>
      </c>
      <c r="M119" s="51">
        <v>0</v>
      </c>
      <c r="N119" s="47">
        <v>0</v>
      </c>
      <c r="O119" s="129">
        <v>300</v>
      </c>
      <c r="P119" s="87">
        <v>65</v>
      </c>
      <c r="Q119" s="129">
        <v>410</v>
      </c>
      <c r="R119" s="45">
        <f t="shared" si="42"/>
        <v>26650</v>
      </c>
    </row>
    <row r="120" spans="1:91" x14ac:dyDescent="0.25">
      <c r="A120" s="85">
        <v>19</v>
      </c>
      <c r="B120" s="81" t="s">
        <v>102</v>
      </c>
      <c r="C120" s="163">
        <v>0</v>
      </c>
      <c r="D120" s="163">
        <v>0</v>
      </c>
      <c r="E120" s="163">
        <v>0</v>
      </c>
      <c r="F120" s="163">
        <v>0</v>
      </c>
      <c r="G120" s="163">
        <v>0</v>
      </c>
      <c r="H120" s="163">
        <v>0</v>
      </c>
      <c r="I120" s="163">
        <v>0</v>
      </c>
      <c r="J120" s="163">
        <v>0</v>
      </c>
      <c r="K120" s="163">
        <v>0</v>
      </c>
      <c r="L120" s="163">
        <v>0</v>
      </c>
      <c r="M120" s="163">
        <v>0</v>
      </c>
      <c r="N120" s="86">
        <v>0</v>
      </c>
      <c r="O120" s="163">
        <v>0</v>
      </c>
      <c r="P120" s="44">
        <v>0</v>
      </c>
      <c r="Q120" s="166">
        <v>0</v>
      </c>
      <c r="R120" s="45">
        <f t="shared" si="42"/>
        <v>0</v>
      </c>
    </row>
    <row r="121" spans="1:91" x14ac:dyDescent="0.25">
      <c r="A121" s="85">
        <v>20</v>
      </c>
      <c r="B121" s="81" t="s">
        <v>103</v>
      </c>
      <c r="C121" s="163">
        <v>0</v>
      </c>
      <c r="D121" s="163">
        <v>0</v>
      </c>
      <c r="E121" s="163">
        <v>0</v>
      </c>
      <c r="F121" s="163">
        <v>0</v>
      </c>
      <c r="G121" s="163">
        <v>0</v>
      </c>
      <c r="H121" s="163">
        <v>0</v>
      </c>
      <c r="I121" s="163">
        <v>0</v>
      </c>
      <c r="J121" s="163">
        <v>0</v>
      </c>
      <c r="K121" s="163">
        <v>0</v>
      </c>
      <c r="L121" s="163">
        <v>0</v>
      </c>
      <c r="M121" s="163">
        <v>0</v>
      </c>
      <c r="N121" s="86">
        <v>0</v>
      </c>
      <c r="O121" s="163">
        <v>0</v>
      </c>
      <c r="P121" s="44">
        <v>0</v>
      </c>
      <c r="Q121" s="166">
        <v>0</v>
      </c>
      <c r="R121" s="45">
        <f t="shared" si="42"/>
        <v>0</v>
      </c>
    </row>
    <row r="122" spans="1:91" x14ac:dyDescent="0.25">
      <c r="A122" s="85">
        <v>21</v>
      </c>
      <c r="B122" s="81" t="s">
        <v>104</v>
      </c>
      <c r="C122" s="87">
        <v>12518</v>
      </c>
      <c r="D122" s="87">
        <v>40395</v>
      </c>
      <c r="E122" s="47">
        <f t="shared" si="43"/>
        <v>30.988983785121921</v>
      </c>
      <c r="F122" s="87">
        <v>3483</v>
      </c>
      <c r="G122" s="87">
        <v>12066</v>
      </c>
      <c r="H122" s="47">
        <f t="shared" ref="H122:H123" si="50">F122/G122*100</f>
        <v>28.866235703630032</v>
      </c>
      <c r="I122" s="87">
        <v>12518</v>
      </c>
      <c r="J122" s="87">
        <v>40395</v>
      </c>
      <c r="K122" s="47">
        <f t="shared" ref="K122" si="51">I122/J122*100</f>
        <v>30.988983785121921</v>
      </c>
      <c r="L122" s="87">
        <v>12510</v>
      </c>
      <c r="M122" s="87">
        <v>32955</v>
      </c>
      <c r="N122" s="47">
        <f t="shared" ref="N122" si="52">L122/M122*100</f>
        <v>37.960855712335004</v>
      </c>
      <c r="O122" s="129">
        <v>14</v>
      </c>
      <c r="P122" s="87">
        <v>46</v>
      </c>
      <c r="Q122" s="129">
        <v>14</v>
      </c>
      <c r="R122" s="45">
        <f t="shared" si="42"/>
        <v>644</v>
      </c>
    </row>
    <row r="123" spans="1:91" x14ac:dyDescent="0.25">
      <c r="A123" s="85">
        <v>22</v>
      </c>
      <c r="B123" s="78" t="s">
        <v>105</v>
      </c>
      <c r="C123" s="86">
        <v>8050</v>
      </c>
      <c r="D123" s="86">
        <v>9140</v>
      </c>
      <c r="E123" s="47">
        <f t="shared" si="43"/>
        <v>88.074398249452955</v>
      </c>
      <c r="F123" s="86">
        <v>2520</v>
      </c>
      <c r="G123" s="86">
        <v>2460</v>
      </c>
      <c r="H123" s="47">
        <f t="shared" si="50"/>
        <v>102.4390243902439</v>
      </c>
      <c r="I123" s="86">
        <v>15383</v>
      </c>
      <c r="J123" s="86">
        <v>16412</v>
      </c>
      <c r="K123" s="47">
        <f t="shared" si="45"/>
        <v>93.73019741652449</v>
      </c>
      <c r="L123" s="87">
        <v>0</v>
      </c>
      <c r="M123" s="86">
        <v>0</v>
      </c>
      <c r="N123" s="47">
        <v>0</v>
      </c>
      <c r="O123" s="129">
        <v>13</v>
      </c>
      <c r="P123" s="87">
        <v>63</v>
      </c>
      <c r="Q123" s="129">
        <v>13</v>
      </c>
      <c r="R123" s="45">
        <f t="shared" si="42"/>
        <v>819</v>
      </c>
    </row>
    <row r="124" spans="1:91" x14ac:dyDescent="0.25">
      <c r="A124" s="85">
        <v>23</v>
      </c>
      <c r="B124" s="78" t="s">
        <v>106</v>
      </c>
      <c r="C124" s="86">
        <v>43847</v>
      </c>
      <c r="D124" s="87">
        <v>50877</v>
      </c>
      <c r="E124" s="47">
        <f t="shared" si="43"/>
        <v>86.182361381370754</v>
      </c>
      <c r="F124" s="86">
        <v>16435</v>
      </c>
      <c r="G124" s="86">
        <v>10283</v>
      </c>
      <c r="H124" s="47">
        <f t="shared" si="44"/>
        <v>159.82689876495186</v>
      </c>
      <c r="I124" s="86">
        <v>45186</v>
      </c>
      <c r="J124" s="86">
        <v>52839</v>
      </c>
      <c r="K124" s="47">
        <f t="shared" si="45"/>
        <v>85.516379946630323</v>
      </c>
      <c r="L124" s="87">
        <v>0</v>
      </c>
      <c r="M124" s="87">
        <v>0</v>
      </c>
      <c r="N124" s="47">
        <v>0</v>
      </c>
      <c r="O124" s="129">
        <v>45</v>
      </c>
      <c r="P124" s="87">
        <v>45</v>
      </c>
      <c r="Q124" s="129">
        <v>41</v>
      </c>
      <c r="R124" s="45">
        <f t="shared" si="42"/>
        <v>1845</v>
      </c>
    </row>
    <row r="125" spans="1:91" x14ac:dyDescent="0.25">
      <c r="A125" s="85">
        <v>24</v>
      </c>
      <c r="B125" s="81" t="s">
        <v>107</v>
      </c>
      <c r="C125" s="87">
        <v>10535</v>
      </c>
      <c r="D125" s="87">
        <v>3345</v>
      </c>
      <c r="E125" s="47">
        <f t="shared" si="43"/>
        <v>314.94768310911809</v>
      </c>
      <c r="F125" s="87">
        <v>0</v>
      </c>
      <c r="G125" s="86">
        <v>0</v>
      </c>
      <c r="H125" s="47" t="e">
        <f t="shared" si="44"/>
        <v>#DIV/0!</v>
      </c>
      <c r="I125" s="87">
        <v>45040</v>
      </c>
      <c r="J125" s="87">
        <v>79487</v>
      </c>
      <c r="K125" s="47">
        <f t="shared" si="45"/>
        <v>56.663353755960088</v>
      </c>
      <c r="L125" s="88">
        <v>0</v>
      </c>
      <c r="M125" s="87">
        <v>1428</v>
      </c>
      <c r="N125" s="47">
        <v>0</v>
      </c>
      <c r="O125" s="129">
        <v>17</v>
      </c>
      <c r="P125" s="87">
        <v>55</v>
      </c>
      <c r="Q125" s="129">
        <v>52</v>
      </c>
      <c r="R125" s="45">
        <f t="shared" si="42"/>
        <v>2860</v>
      </c>
    </row>
    <row r="126" spans="1:91" x14ac:dyDescent="0.25">
      <c r="A126" s="85">
        <v>25</v>
      </c>
      <c r="B126" s="81" t="s">
        <v>108</v>
      </c>
      <c r="C126" s="87">
        <v>15110</v>
      </c>
      <c r="D126" s="87">
        <v>17158</v>
      </c>
      <c r="E126" s="47">
        <f t="shared" si="43"/>
        <v>88.06387690873062</v>
      </c>
      <c r="F126" s="87">
        <v>2979</v>
      </c>
      <c r="G126" s="87">
        <v>4143</v>
      </c>
      <c r="H126" s="47">
        <f t="shared" si="44"/>
        <v>71.904417089065902</v>
      </c>
      <c r="I126" s="87">
        <v>14348</v>
      </c>
      <c r="J126" s="87">
        <v>17513</v>
      </c>
      <c r="K126" s="47">
        <f t="shared" si="45"/>
        <v>81.92771084337349</v>
      </c>
      <c r="L126" s="87">
        <v>0</v>
      </c>
      <c r="M126" s="87">
        <v>0</v>
      </c>
      <c r="N126" s="47">
        <v>0</v>
      </c>
      <c r="O126" s="129">
        <v>25</v>
      </c>
      <c r="P126" s="87">
        <v>35</v>
      </c>
      <c r="Q126" s="129">
        <v>19</v>
      </c>
      <c r="R126" s="45">
        <f t="shared" si="42"/>
        <v>665</v>
      </c>
    </row>
    <row r="127" spans="1:91" s="60" customFormat="1" x14ac:dyDescent="0.25">
      <c r="A127" s="315" t="s">
        <v>109</v>
      </c>
      <c r="B127" s="315" t="s">
        <v>109</v>
      </c>
      <c r="C127" s="56">
        <f>SUM(C102:C126)</f>
        <v>1317250</v>
      </c>
      <c r="D127" s="56">
        <f>SUM(D102:D126)</f>
        <v>1257380</v>
      </c>
      <c r="E127" s="57">
        <f>C127/D127*100</f>
        <v>104.76148817382176</v>
      </c>
      <c r="F127" s="56">
        <f>SUM(F102:F126)</f>
        <v>316244</v>
      </c>
      <c r="G127" s="56">
        <f>SUM(G102:G126)</f>
        <v>372757</v>
      </c>
      <c r="H127" s="57">
        <f>F127/G127*100</f>
        <v>84.839184777214101</v>
      </c>
      <c r="I127" s="56">
        <f>SUM(I102:I126)</f>
        <v>1312323</v>
      </c>
      <c r="J127" s="56">
        <f>SUM(J102:J126)</f>
        <v>1256312</v>
      </c>
      <c r="K127" s="57">
        <f>I127/J127*100</f>
        <v>104.4583670298461</v>
      </c>
      <c r="L127" s="56">
        <f>SUM(L102:L126)</f>
        <v>671306</v>
      </c>
      <c r="M127" s="56">
        <f>SUM(M102:M126)</f>
        <v>531129</v>
      </c>
      <c r="N127" s="57">
        <f>L127/M127*100</f>
        <v>126.39227005115518</v>
      </c>
      <c r="O127" s="56">
        <f>SUM(O102:O126)</f>
        <v>1840</v>
      </c>
      <c r="P127" s="57">
        <f>R127/O127</f>
        <v>59.490760869565214</v>
      </c>
      <c r="Q127" s="56">
        <f>SUM(Q102:Q126)</f>
        <v>1826</v>
      </c>
      <c r="R127" s="59">
        <f>SUM(R102:R126)</f>
        <v>109463</v>
      </c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x14ac:dyDescent="0.25">
      <c r="A128" s="85"/>
      <c r="B128" s="81"/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3"/>
      <c r="N128" s="86"/>
      <c r="O128" s="163"/>
      <c r="P128" s="44"/>
      <c r="Q128" s="166"/>
      <c r="R128" s="45"/>
    </row>
    <row r="129" spans="1:91" x14ac:dyDescent="0.25">
      <c r="A129" s="350" t="s">
        <v>177</v>
      </c>
      <c r="B129" s="350"/>
      <c r="C129" s="37">
        <v>3</v>
      </c>
      <c r="D129" s="37">
        <v>4</v>
      </c>
      <c r="E129" s="160">
        <v>5</v>
      </c>
      <c r="F129" s="37">
        <v>6</v>
      </c>
      <c r="G129" s="37">
        <v>7</v>
      </c>
      <c r="H129" s="37">
        <v>8</v>
      </c>
      <c r="I129" s="37">
        <v>9</v>
      </c>
      <c r="J129" s="37">
        <v>10</v>
      </c>
      <c r="K129" s="37">
        <v>11</v>
      </c>
      <c r="L129" s="37">
        <v>12</v>
      </c>
      <c r="M129" s="37">
        <v>13</v>
      </c>
      <c r="N129" s="37">
        <v>14</v>
      </c>
      <c r="O129" s="37">
        <v>15</v>
      </c>
      <c r="P129" s="160">
        <v>16</v>
      </c>
      <c r="Q129" s="37">
        <v>15</v>
      </c>
      <c r="R129" s="45"/>
    </row>
    <row r="130" spans="1:91" x14ac:dyDescent="0.25">
      <c r="A130" s="163">
        <v>1</v>
      </c>
      <c r="B130" s="146" t="s">
        <v>191</v>
      </c>
      <c r="C130" s="163">
        <v>413576</v>
      </c>
      <c r="D130" s="163">
        <v>196842</v>
      </c>
      <c r="E130" s="47">
        <f>C130/D130*100</f>
        <v>210.10556690137267</v>
      </c>
      <c r="F130" s="163">
        <v>141246</v>
      </c>
      <c r="G130" s="163">
        <v>21266</v>
      </c>
      <c r="H130" s="47">
        <f>F130/G130*100</f>
        <v>664.18696510862412</v>
      </c>
      <c r="I130" s="163">
        <v>121371</v>
      </c>
      <c r="J130" s="163">
        <v>180108</v>
      </c>
      <c r="K130" s="47">
        <f>I130/J130*100</f>
        <v>67.387900592977545</v>
      </c>
      <c r="L130" s="163">
        <v>35681</v>
      </c>
      <c r="M130" s="163">
        <v>26407</v>
      </c>
      <c r="N130" s="47">
        <f t="shared" ref="N130" si="53">L130/M130*100</f>
        <v>135.11947589654258</v>
      </c>
      <c r="O130" s="163"/>
      <c r="P130" s="163">
        <v>71</v>
      </c>
      <c r="Q130" s="166">
        <v>72</v>
      </c>
      <c r="R130" s="45">
        <f t="shared" ref="R130:R132" si="54">Q130*P130</f>
        <v>5112</v>
      </c>
    </row>
    <row r="131" spans="1:91" x14ac:dyDescent="0.25">
      <c r="A131" s="163">
        <v>2</v>
      </c>
      <c r="B131" s="146" t="s">
        <v>192</v>
      </c>
      <c r="C131" s="163">
        <v>312296</v>
      </c>
      <c r="D131" s="163">
        <v>0</v>
      </c>
      <c r="E131" s="47">
        <v>0</v>
      </c>
      <c r="F131" s="163">
        <v>131867</v>
      </c>
      <c r="G131" s="163">
        <v>0</v>
      </c>
      <c r="H131" s="47">
        <v>0</v>
      </c>
      <c r="I131" s="163">
        <v>406906</v>
      </c>
      <c r="J131" s="163">
        <v>0</v>
      </c>
      <c r="K131" s="47">
        <v>0</v>
      </c>
      <c r="L131" s="163">
        <v>12487</v>
      </c>
      <c r="M131" s="163">
        <v>0</v>
      </c>
      <c r="N131" s="47">
        <v>0</v>
      </c>
      <c r="O131" s="163">
        <v>32</v>
      </c>
      <c r="P131" s="163">
        <v>85</v>
      </c>
      <c r="Q131" s="166">
        <v>32</v>
      </c>
      <c r="R131" s="45">
        <f t="shared" si="54"/>
        <v>2720</v>
      </c>
    </row>
    <row r="132" spans="1:91" x14ac:dyDescent="0.25">
      <c r="A132" s="163">
        <v>3</v>
      </c>
      <c r="B132" s="146" t="s">
        <v>193</v>
      </c>
      <c r="C132" s="163">
        <v>746098</v>
      </c>
      <c r="D132" s="163">
        <v>755855</v>
      </c>
      <c r="E132" s="47">
        <f>C132/D132*100</f>
        <v>98.70914394956705</v>
      </c>
      <c r="F132" s="163">
        <v>121581</v>
      </c>
      <c r="G132" s="163">
        <v>189515</v>
      </c>
      <c r="H132" s="47">
        <f>F132/G132*100</f>
        <v>64.153760916022478</v>
      </c>
      <c r="I132" s="163">
        <v>725228</v>
      </c>
      <c r="J132" s="163">
        <v>732484</v>
      </c>
      <c r="K132" s="47">
        <f>I132/J132*100</f>
        <v>99.009398157502417</v>
      </c>
      <c r="L132" s="163">
        <v>0</v>
      </c>
      <c r="M132" s="163">
        <v>0</v>
      </c>
      <c r="N132" s="47">
        <v>0</v>
      </c>
      <c r="O132" s="163">
        <v>415</v>
      </c>
      <c r="P132" s="163">
        <v>100</v>
      </c>
      <c r="Q132" s="166">
        <v>415</v>
      </c>
      <c r="R132" s="45">
        <f t="shared" si="54"/>
        <v>41500</v>
      </c>
    </row>
    <row r="133" spans="1:91" x14ac:dyDescent="0.25">
      <c r="A133" s="315" t="s">
        <v>190</v>
      </c>
      <c r="B133" s="315" t="s">
        <v>109</v>
      </c>
      <c r="C133" s="56">
        <f>SUM(C130:C132)</f>
        <v>1471970</v>
      </c>
      <c r="D133" s="56">
        <f>SUM(D130:D132)</f>
        <v>952697</v>
      </c>
      <c r="E133" s="57">
        <f>C133/D133*100</f>
        <v>154.50557732416496</v>
      </c>
      <c r="F133" s="56">
        <f>SUM(F130:F132)</f>
        <v>394694</v>
      </c>
      <c r="G133" s="56">
        <f>SUM(G130:G132)</f>
        <v>210781</v>
      </c>
      <c r="H133" s="57">
        <f>F133/G133*100</f>
        <v>187.25312053742985</v>
      </c>
      <c r="I133" s="56">
        <f>SUM(I130:I132)</f>
        <v>1253505</v>
      </c>
      <c r="J133" s="56">
        <f>SUM(J130:J132)</f>
        <v>912592</v>
      </c>
      <c r="K133" s="57">
        <f>I133/J133*100</f>
        <v>137.3565624068587</v>
      </c>
      <c r="L133" s="56">
        <f>SUM(L130:L132)</f>
        <v>48168</v>
      </c>
      <c r="M133" s="56">
        <f>SUM(M130:M132)</f>
        <v>26407</v>
      </c>
      <c r="N133" s="57">
        <v>0</v>
      </c>
      <c r="O133" s="56">
        <f>SUM(O130:O132)</f>
        <v>447</v>
      </c>
      <c r="P133" s="57">
        <f>R133/O133</f>
        <v>110.36241610738254</v>
      </c>
      <c r="Q133" s="56">
        <f>SUM(Q130:Q132)</f>
        <v>519</v>
      </c>
      <c r="R133" s="45">
        <f>SUM(R130:R132)</f>
        <v>49332</v>
      </c>
    </row>
    <row r="134" spans="1:91" s="145" customFormat="1" x14ac:dyDescent="0.25">
      <c r="A134" s="117"/>
      <c r="B134" s="117"/>
      <c r="C134" s="103"/>
      <c r="D134" s="103"/>
      <c r="E134" s="142"/>
      <c r="F134" s="103"/>
      <c r="G134" s="103"/>
      <c r="H134" s="142"/>
      <c r="I134" s="103"/>
      <c r="J134" s="103"/>
      <c r="K134" s="142"/>
      <c r="L134" s="103"/>
      <c r="M134" s="103"/>
      <c r="N134" s="142"/>
      <c r="O134" s="103"/>
      <c r="P134" s="142"/>
      <c r="Q134" s="103"/>
      <c r="R134" s="14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x14ac:dyDescent="0.25">
      <c r="A135" s="37"/>
      <c r="B135" s="37" t="s">
        <v>20</v>
      </c>
      <c r="C135" s="37">
        <v>3</v>
      </c>
      <c r="D135" s="37">
        <v>4</v>
      </c>
      <c r="E135" s="160">
        <v>5</v>
      </c>
      <c r="F135" s="37">
        <v>6</v>
      </c>
      <c r="G135" s="37">
        <v>7</v>
      </c>
      <c r="H135" s="37">
        <v>8</v>
      </c>
      <c r="I135" s="37">
        <v>9</v>
      </c>
      <c r="J135" s="37">
        <v>10</v>
      </c>
      <c r="K135" s="37">
        <v>11</v>
      </c>
      <c r="L135" s="37">
        <v>12</v>
      </c>
      <c r="M135" s="37">
        <v>13</v>
      </c>
      <c r="N135" s="37">
        <v>14</v>
      </c>
      <c r="O135" s="37">
        <v>15</v>
      </c>
      <c r="P135" s="160">
        <v>16</v>
      </c>
      <c r="Q135" s="37">
        <v>15</v>
      </c>
      <c r="R135" s="39"/>
    </row>
    <row r="136" spans="1:91" x14ac:dyDescent="0.25">
      <c r="A136" s="50">
        <v>1</v>
      </c>
      <c r="B136" s="89" t="s">
        <v>110</v>
      </c>
      <c r="C136" s="90">
        <v>0</v>
      </c>
      <c r="D136" s="91">
        <v>0</v>
      </c>
      <c r="E136" s="47">
        <v>0</v>
      </c>
      <c r="F136" s="90">
        <v>0</v>
      </c>
      <c r="G136" s="51">
        <v>0</v>
      </c>
      <c r="H136" s="47">
        <v>0</v>
      </c>
      <c r="I136" s="51">
        <v>0</v>
      </c>
      <c r="J136" s="91">
        <v>0</v>
      </c>
      <c r="K136" s="47">
        <v>0</v>
      </c>
      <c r="L136" s="90">
        <v>0</v>
      </c>
      <c r="M136" s="91">
        <v>0</v>
      </c>
      <c r="N136" s="47">
        <v>0</v>
      </c>
      <c r="O136" s="165">
        <v>0</v>
      </c>
      <c r="P136" s="92">
        <v>0</v>
      </c>
      <c r="Q136" s="166">
        <v>0</v>
      </c>
      <c r="R136" s="45">
        <f t="shared" ref="R136:R142" si="55">Q136*P136</f>
        <v>0</v>
      </c>
    </row>
    <row r="137" spans="1:91" x14ac:dyDescent="0.25">
      <c r="A137" s="50">
        <v>2</v>
      </c>
      <c r="B137" s="89" t="s">
        <v>167</v>
      </c>
      <c r="C137" s="163">
        <v>124355</v>
      </c>
      <c r="D137" s="163">
        <v>27501</v>
      </c>
      <c r="E137" s="47">
        <f t="shared" ref="E137" si="56">C137/D137*100</f>
        <v>452.18355696156499</v>
      </c>
      <c r="F137" s="163">
        <v>30178</v>
      </c>
      <c r="G137" s="163">
        <v>218</v>
      </c>
      <c r="H137" s="34">
        <f t="shared" ref="H137" si="57">F137/G137*100</f>
        <v>13843.119266055046</v>
      </c>
      <c r="I137" s="163">
        <v>154211</v>
      </c>
      <c r="J137" s="163">
        <v>22767</v>
      </c>
      <c r="K137" s="47">
        <f t="shared" ref="K137:K142" si="58">I137/J137*100</f>
        <v>677.34440198532968</v>
      </c>
      <c r="L137" s="163">
        <v>0</v>
      </c>
      <c r="M137" s="163">
        <v>0</v>
      </c>
      <c r="N137" s="47">
        <v>0</v>
      </c>
      <c r="O137" s="163">
        <v>81</v>
      </c>
      <c r="P137" s="44">
        <v>80</v>
      </c>
      <c r="Q137" s="166">
        <v>85</v>
      </c>
      <c r="R137" s="45">
        <f t="shared" si="55"/>
        <v>6800</v>
      </c>
    </row>
    <row r="138" spans="1:91" x14ac:dyDescent="0.25">
      <c r="A138" s="50">
        <v>3</v>
      </c>
      <c r="B138" s="89" t="s">
        <v>166</v>
      </c>
      <c r="C138" s="163">
        <v>0</v>
      </c>
      <c r="D138" s="163">
        <v>0</v>
      </c>
      <c r="E138" s="163">
        <v>0</v>
      </c>
      <c r="F138" s="163">
        <v>0</v>
      </c>
      <c r="G138" s="163">
        <v>0</v>
      </c>
      <c r="H138" s="163">
        <v>0</v>
      </c>
      <c r="I138" s="163">
        <v>0</v>
      </c>
      <c r="J138" s="163">
        <v>0</v>
      </c>
      <c r="K138" s="163">
        <v>0</v>
      </c>
      <c r="L138" s="163">
        <v>0</v>
      </c>
      <c r="M138" s="163">
        <v>0</v>
      </c>
      <c r="N138" s="86">
        <v>0</v>
      </c>
      <c r="O138" s="163">
        <v>0</v>
      </c>
      <c r="P138" s="44">
        <v>0</v>
      </c>
      <c r="Q138" s="166">
        <v>0</v>
      </c>
      <c r="R138" s="45">
        <f t="shared" si="55"/>
        <v>0</v>
      </c>
    </row>
    <row r="139" spans="1:91" x14ac:dyDescent="0.25">
      <c r="A139" s="50">
        <v>4</v>
      </c>
      <c r="B139" s="89" t="s">
        <v>111</v>
      </c>
      <c r="C139" s="163">
        <v>0</v>
      </c>
      <c r="D139" s="163">
        <v>0</v>
      </c>
      <c r="E139" s="163">
        <v>0</v>
      </c>
      <c r="F139" s="163">
        <v>0</v>
      </c>
      <c r="G139" s="163">
        <v>0</v>
      </c>
      <c r="H139" s="163">
        <v>0</v>
      </c>
      <c r="I139" s="163">
        <v>0</v>
      </c>
      <c r="J139" s="163">
        <v>0</v>
      </c>
      <c r="K139" s="163">
        <v>0</v>
      </c>
      <c r="L139" s="163">
        <v>0</v>
      </c>
      <c r="M139" s="163">
        <v>0</v>
      </c>
      <c r="N139" s="86">
        <v>0</v>
      </c>
      <c r="O139" s="163">
        <v>0</v>
      </c>
      <c r="P139" s="44">
        <v>0</v>
      </c>
      <c r="Q139" s="166">
        <v>0</v>
      </c>
      <c r="R139" s="45">
        <f t="shared" si="55"/>
        <v>0</v>
      </c>
    </row>
    <row r="140" spans="1:91" x14ac:dyDescent="0.25">
      <c r="A140" s="50">
        <v>5</v>
      </c>
      <c r="B140" s="93" t="s">
        <v>112</v>
      </c>
      <c r="C140" s="86">
        <v>2940</v>
      </c>
      <c r="D140" s="86">
        <v>481</v>
      </c>
      <c r="E140" s="47">
        <f t="shared" ref="E140" si="59">C140/D140*100</f>
        <v>611.22661122661123</v>
      </c>
      <c r="F140" s="86">
        <v>2940</v>
      </c>
      <c r="G140" s="86">
        <v>300</v>
      </c>
      <c r="H140" s="47">
        <v>0</v>
      </c>
      <c r="I140" s="86">
        <v>4027</v>
      </c>
      <c r="J140" s="86">
        <v>3907</v>
      </c>
      <c r="K140" s="94">
        <f t="shared" si="58"/>
        <v>103.07141028922446</v>
      </c>
      <c r="L140" s="86">
        <v>0</v>
      </c>
      <c r="M140" s="86">
        <v>0</v>
      </c>
      <c r="N140" s="86">
        <v>0</v>
      </c>
      <c r="O140" s="163">
        <v>7</v>
      </c>
      <c r="P140" s="92">
        <v>45</v>
      </c>
      <c r="Q140" s="166">
        <v>7</v>
      </c>
      <c r="R140" s="45">
        <f t="shared" si="55"/>
        <v>315</v>
      </c>
    </row>
    <row r="141" spans="1:91" s="66" customFormat="1" x14ac:dyDescent="0.25">
      <c r="A141" s="50">
        <v>6</v>
      </c>
      <c r="B141" s="93" t="s">
        <v>113</v>
      </c>
      <c r="C141" s="86">
        <v>0</v>
      </c>
      <c r="D141" s="86">
        <v>0</v>
      </c>
      <c r="E141" s="94">
        <v>0</v>
      </c>
      <c r="F141" s="86">
        <v>0</v>
      </c>
      <c r="G141" s="86">
        <v>0</v>
      </c>
      <c r="H141" s="47">
        <v>0</v>
      </c>
      <c r="I141" s="95">
        <v>0</v>
      </c>
      <c r="J141" s="86">
        <v>0</v>
      </c>
      <c r="K141" s="94">
        <v>0</v>
      </c>
      <c r="L141" s="86">
        <v>0</v>
      </c>
      <c r="M141" s="86">
        <v>0</v>
      </c>
      <c r="N141" s="86">
        <v>0</v>
      </c>
      <c r="O141" s="163">
        <v>4</v>
      </c>
      <c r="P141" s="88">
        <v>60</v>
      </c>
      <c r="Q141" s="166">
        <v>4</v>
      </c>
      <c r="R141" s="45">
        <f t="shared" si="55"/>
        <v>240</v>
      </c>
    </row>
    <row r="142" spans="1:91" x14ac:dyDescent="0.25">
      <c r="A142" s="50">
        <v>7</v>
      </c>
      <c r="B142" s="89" t="s">
        <v>114</v>
      </c>
      <c r="C142" s="51">
        <v>8455</v>
      </c>
      <c r="D142" s="51">
        <v>8320</v>
      </c>
      <c r="E142" s="47">
        <f t="shared" ref="E142" si="60">C142/D142*100</f>
        <v>101.62259615384615</v>
      </c>
      <c r="F142" s="51">
        <v>1058</v>
      </c>
      <c r="G142" s="51">
        <v>2731</v>
      </c>
      <c r="H142" s="47">
        <f t="shared" ref="H142" si="61">F142/G142*100</f>
        <v>38.740388136213845</v>
      </c>
      <c r="I142" s="51">
        <v>8455</v>
      </c>
      <c r="J142" s="51">
        <v>8320</v>
      </c>
      <c r="K142" s="94">
        <f t="shared" si="58"/>
        <v>101.62259615384615</v>
      </c>
      <c r="L142" s="51">
        <v>0</v>
      </c>
      <c r="M142" s="51">
        <v>0</v>
      </c>
      <c r="N142" s="47">
        <v>0</v>
      </c>
      <c r="O142" s="163">
        <v>13</v>
      </c>
      <c r="P142" s="87">
        <v>50</v>
      </c>
      <c r="Q142" s="166">
        <v>13</v>
      </c>
      <c r="R142" s="45">
        <f t="shared" si="55"/>
        <v>650</v>
      </c>
    </row>
    <row r="143" spans="1:91" s="60" customFormat="1" x14ac:dyDescent="0.25">
      <c r="A143" s="315" t="s">
        <v>115</v>
      </c>
      <c r="B143" s="315" t="s">
        <v>115</v>
      </c>
      <c r="C143" s="56">
        <f>SUM(C136:C142)</f>
        <v>135750</v>
      </c>
      <c r="D143" s="56">
        <f>SUM(D136:D142)</f>
        <v>36302</v>
      </c>
      <c r="E143" s="57">
        <f>C143/D143*100</f>
        <v>373.94633904468077</v>
      </c>
      <c r="F143" s="56">
        <f>SUM(F136:F142)</f>
        <v>34176</v>
      </c>
      <c r="G143" s="56">
        <f>SUM(G136:G142)</f>
        <v>3249</v>
      </c>
      <c r="H143" s="57">
        <f>F143/G143*100</f>
        <v>1051.892890120037</v>
      </c>
      <c r="I143" s="56">
        <f>SUM(I136:I142)</f>
        <v>166693</v>
      </c>
      <c r="J143" s="56">
        <f>SUM(J136:J142)</f>
        <v>34994</v>
      </c>
      <c r="K143" s="57">
        <f>I143/J143*100</f>
        <v>476.34737383551465</v>
      </c>
      <c r="L143" s="56">
        <f>SUM(L136:L142)</f>
        <v>0</v>
      </c>
      <c r="M143" s="56">
        <f>SUM(M136:M142)</f>
        <v>0</v>
      </c>
      <c r="N143" s="58">
        <v>0</v>
      </c>
      <c r="O143" s="56">
        <f>SUM(O136:O142)</f>
        <v>105</v>
      </c>
      <c r="P143" s="57">
        <f>R143/O143</f>
        <v>76.238095238095241</v>
      </c>
      <c r="Q143" s="56">
        <f>SUM(Q136:Q142)</f>
        <v>109</v>
      </c>
      <c r="R143" s="59">
        <f>SUM(R136:R142)</f>
        <v>8005</v>
      </c>
    </row>
    <row r="144" spans="1:91" x14ac:dyDescent="0.25">
      <c r="A144" s="163"/>
      <c r="B144" s="163"/>
      <c r="C144" s="163"/>
      <c r="D144" s="163"/>
      <c r="E144" s="163"/>
      <c r="F144" s="163"/>
      <c r="G144" s="163"/>
      <c r="H144" s="163"/>
      <c r="I144" s="163"/>
      <c r="J144" s="163"/>
      <c r="K144" s="34"/>
      <c r="L144" s="163"/>
      <c r="M144" s="163"/>
      <c r="N144" s="163"/>
      <c r="O144" s="163"/>
      <c r="P144" s="62"/>
      <c r="Q144" s="166"/>
      <c r="R144" s="39"/>
    </row>
    <row r="145" spans="1:18" x14ac:dyDescent="0.25">
      <c r="A145" s="167"/>
      <c r="B145" s="168"/>
      <c r="C145" s="165"/>
      <c r="D145" s="165"/>
      <c r="E145" s="165"/>
      <c r="F145" s="165"/>
      <c r="G145" s="165"/>
      <c r="H145" s="165"/>
      <c r="I145" s="165"/>
      <c r="J145" s="165"/>
      <c r="K145" s="34"/>
      <c r="L145" s="165"/>
      <c r="M145" s="165"/>
      <c r="N145" s="165"/>
      <c r="O145" s="165"/>
      <c r="P145" s="62"/>
      <c r="Q145" s="166"/>
      <c r="R145" s="39"/>
    </row>
    <row r="146" spans="1:18" x14ac:dyDescent="0.25">
      <c r="A146" s="167"/>
      <c r="B146" s="168"/>
      <c r="C146" s="165"/>
      <c r="D146" s="165"/>
      <c r="E146" s="165"/>
      <c r="F146" s="165"/>
      <c r="G146" s="165"/>
      <c r="H146" s="165"/>
      <c r="I146" s="165"/>
      <c r="J146" s="165"/>
      <c r="K146" s="34"/>
      <c r="L146" s="165"/>
      <c r="M146" s="165"/>
      <c r="N146" s="165"/>
      <c r="O146" s="165"/>
      <c r="P146" s="62"/>
      <c r="Q146" s="166"/>
      <c r="R146" s="39"/>
    </row>
    <row r="147" spans="1:18" x14ac:dyDescent="0.25">
      <c r="A147" s="316" t="s">
        <v>116</v>
      </c>
      <c r="B147" s="317"/>
      <c r="C147" s="37">
        <v>3</v>
      </c>
      <c r="D147" s="37">
        <v>4</v>
      </c>
      <c r="E147" s="160">
        <v>5</v>
      </c>
      <c r="F147" s="37">
        <v>6</v>
      </c>
      <c r="G147" s="37">
        <v>7</v>
      </c>
      <c r="H147" s="37">
        <v>8</v>
      </c>
      <c r="I147" s="37">
        <v>9</v>
      </c>
      <c r="J147" s="37">
        <v>10</v>
      </c>
      <c r="K147" s="37">
        <v>11</v>
      </c>
      <c r="L147" s="37">
        <v>12</v>
      </c>
      <c r="M147" s="37">
        <v>13</v>
      </c>
      <c r="N147" s="37">
        <v>14</v>
      </c>
      <c r="O147" s="37">
        <v>15</v>
      </c>
      <c r="P147" s="160">
        <v>16</v>
      </c>
      <c r="Q147" s="37">
        <v>15</v>
      </c>
      <c r="R147" s="31"/>
    </row>
    <row r="148" spans="1:18" x14ac:dyDescent="0.25">
      <c r="A148" s="96">
        <v>1</v>
      </c>
      <c r="B148" s="78" t="s">
        <v>117</v>
      </c>
      <c r="C148" s="62">
        <v>46660940</v>
      </c>
      <c r="D148" s="62">
        <v>41819964</v>
      </c>
      <c r="E148" s="47">
        <f t="shared" ref="E148:E149" si="62">C148/D148*100</f>
        <v>111.57575362809973</v>
      </c>
      <c r="F148" s="163">
        <v>10812927</v>
      </c>
      <c r="G148" s="163">
        <v>8493032</v>
      </c>
      <c r="H148" s="47">
        <f>F148/G148*100</f>
        <v>127.31527445086748</v>
      </c>
      <c r="I148" s="96">
        <v>47002168</v>
      </c>
      <c r="J148" s="96">
        <v>42227007</v>
      </c>
      <c r="K148" s="47">
        <f>I148/J148*100</f>
        <v>111.30831034271502</v>
      </c>
      <c r="L148" s="96">
        <v>21567528</v>
      </c>
      <c r="M148" s="96">
        <v>19530953</v>
      </c>
      <c r="N148" s="47">
        <f>L148/M148*100</f>
        <v>110.42742256355847</v>
      </c>
      <c r="O148" s="163">
        <v>2913</v>
      </c>
      <c r="P148" s="62">
        <v>145</v>
      </c>
      <c r="Q148" s="166">
        <v>2913</v>
      </c>
      <c r="R148" s="45">
        <f t="shared" ref="R148:R162" si="63">Q148*P148</f>
        <v>422385</v>
      </c>
    </row>
    <row r="149" spans="1:18" x14ac:dyDescent="0.25">
      <c r="A149" s="96">
        <v>2</v>
      </c>
      <c r="B149" s="78" t="s">
        <v>118</v>
      </c>
      <c r="C149">
        <v>10740135</v>
      </c>
      <c r="D149" s="62">
        <v>9822009</v>
      </c>
      <c r="E149" s="47">
        <f t="shared" si="62"/>
        <v>109.34763957149703</v>
      </c>
      <c r="F149" s="163">
        <v>2359407</v>
      </c>
      <c r="G149" s="163">
        <v>2087015</v>
      </c>
      <c r="H149" s="47">
        <f t="shared" ref="H149:H162" si="64">F149/G149*100</f>
        <v>113.0517509457287</v>
      </c>
      <c r="I149" s="96">
        <v>9559647</v>
      </c>
      <c r="J149" s="96">
        <v>9799532</v>
      </c>
      <c r="K149" s="47">
        <f t="shared" ref="K149:K162" si="65">I149/J149*100</f>
        <v>97.552076976737254</v>
      </c>
      <c r="L149" s="163">
        <v>9559647</v>
      </c>
      <c r="M149" s="163">
        <v>9799532</v>
      </c>
      <c r="N149" s="47">
        <f t="shared" ref="N149:N162" si="66">L149/M149*100</f>
        <v>97.552076976737254</v>
      </c>
      <c r="O149" s="163">
        <v>940</v>
      </c>
      <c r="P149" s="62">
        <v>120</v>
      </c>
      <c r="Q149" s="166">
        <v>934</v>
      </c>
      <c r="R149" s="45">
        <f t="shared" si="63"/>
        <v>112080</v>
      </c>
    </row>
    <row r="150" spans="1:18" s="66" customFormat="1" x14ac:dyDescent="0.25">
      <c r="A150" s="96">
        <v>3</v>
      </c>
      <c r="B150" s="78" t="s">
        <v>119</v>
      </c>
      <c r="C150" s="62">
        <v>10566946</v>
      </c>
      <c r="D150" s="76">
        <v>11491292</v>
      </c>
      <c r="E150" s="47">
        <f t="shared" ref="E150:E162" si="67">C150/D150*100</f>
        <v>91.956117728102299</v>
      </c>
      <c r="F150" s="96">
        <v>2080799</v>
      </c>
      <c r="G150" s="96">
        <v>2781600</v>
      </c>
      <c r="H150" s="47">
        <f t="shared" si="64"/>
        <v>74.80583117630141</v>
      </c>
      <c r="I150" s="96">
        <v>7431702</v>
      </c>
      <c r="J150" s="96">
        <v>10345101</v>
      </c>
      <c r="K150" s="47">
        <f t="shared" si="65"/>
        <v>71.837887324638004</v>
      </c>
      <c r="L150" s="96">
        <v>7431701</v>
      </c>
      <c r="M150" s="96">
        <v>10345181</v>
      </c>
      <c r="N150" s="47">
        <f t="shared" si="66"/>
        <v>71.837322130951591</v>
      </c>
      <c r="O150" s="163">
        <v>1205</v>
      </c>
      <c r="P150" s="76">
        <v>306</v>
      </c>
      <c r="Q150" s="166">
        <v>1205</v>
      </c>
      <c r="R150" s="45">
        <f t="shared" si="63"/>
        <v>368730</v>
      </c>
    </row>
    <row r="151" spans="1:18" x14ac:dyDescent="0.25">
      <c r="A151" s="96">
        <v>4</v>
      </c>
      <c r="B151" s="78" t="s">
        <v>120</v>
      </c>
      <c r="C151" s="62">
        <v>1878846</v>
      </c>
      <c r="D151" s="62">
        <v>2895934</v>
      </c>
      <c r="E151" s="47">
        <f t="shared" si="67"/>
        <v>64.878757595994941</v>
      </c>
      <c r="F151" s="163">
        <v>321996</v>
      </c>
      <c r="G151" s="163">
        <v>632560</v>
      </c>
      <c r="H151" s="47">
        <f t="shared" si="64"/>
        <v>50.903629695206774</v>
      </c>
      <c r="I151" s="163">
        <v>1530136</v>
      </c>
      <c r="J151" s="163">
        <v>2679324</v>
      </c>
      <c r="K151" s="47">
        <f t="shared" si="65"/>
        <v>57.109031979708313</v>
      </c>
      <c r="L151" s="163">
        <v>1530136</v>
      </c>
      <c r="M151" s="163">
        <v>2672324</v>
      </c>
      <c r="N151" s="47">
        <f t="shared" si="66"/>
        <v>57.258625825311604</v>
      </c>
      <c r="O151" s="163">
        <v>551</v>
      </c>
      <c r="P151" s="62">
        <v>150</v>
      </c>
      <c r="Q151" s="166">
        <v>554</v>
      </c>
      <c r="R151" s="45">
        <f t="shared" si="63"/>
        <v>83100</v>
      </c>
    </row>
    <row r="152" spans="1:18" x14ac:dyDescent="0.25">
      <c r="A152" s="96">
        <v>5</v>
      </c>
      <c r="B152" s="78" t="s">
        <v>121</v>
      </c>
      <c r="C152" s="62">
        <v>0</v>
      </c>
      <c r="D152" s="163">
        <v>0</v>
      </c>
      <c r="E152" s="163">
        <v>0</v>
      </c>
      <c r="F152" s="163">
        <v>0</v>
      </c>
      <c r="G152" s="163">
        <v>0</v>
      </c>
      <c r="H152" s="163">
        <v>0</v>
      </c>
      <c r="I152" s="163">
        <v>0</v>
      </c>
      <c r="J152" s="163">
        <v>0</v>
      </c>
      <c r="K152" s="163">
        <v>0</v>
      </c>
      <c r="L152" s="163">
        <v>0</v>
      </c>
      <c r="M152" s="163">
        <v>0</v>
      </c>
      <c r="N152" s="47">
        <v>0</v>
      </c>
      <c r="O152" s="163">
        <v>0</v>
      </c>
      <c r="P152" s="44">
        <v>0</v>
      </c>
      <c r="Q152" s="166">
        <v>0</v>
      </c>
      <c r="R152" s="45">
        <f t="shared" si="63"/>
        <v>0</v>
      </c>
    </row>
    <row r="153" spans="1:18" x14ac:dyDescent="0.25">
      <c r="A153" s="96">
        <v>6</v>
      </c>
      <c r="B153" s="78" t="s">
        <v>122</v>
      </c>
      <c r="C153" s="76">
        <v>8145946</v>
      </c>
      <c r="D153" s="76">
        <v>8931412</v>
      </c>
      <c r="E153" s="47">
        <f t="shared" si="67"/>
        <v>91.205578692372484</v>
      </c>
      <c r="F153" s="96">
        <v>1884744</v>
      </c>
      <c r="G153" s="96">
        <v>1874594</v>
      </c>
      <c r="H153" s="47">
        <f t="shared" si="64"/>
        <v>100.54145057543127</v>
      </c>
      <c r="I153" s="96">
        <v>8264089</v>
      </c>
      <c r="J153" s="96">
        <v>9049540</v>
      </c>
      <c r="K153" s="47">
        <f t="shared" si="65"/>
        <v>91.320542259606569</v>
      </c>
      <c r="L153" s="96">
        <v>8264089</v>
      </c>
      <c r="M153" s="96">
        <v>9049540</v>
      </c>
      <c r="N153" s="47">
        <f t="shared" si="66"/>
        <v>91.320542259606569</v>
      </c>
      <c r="O153" s="163">
        <v>464</v>
      </c>
      <c r="P153" s="76">
        <v>150</v>
      </c>
      <c r="Q153" s="166">
        <v>464</v>
      </c>
      <c r="R153" s="45">
        <f t="shared" si="63"/>
        <v>69600</v>
      </c>
    </row>
    <row r="154" spans="1:18" x14ac:dyDescent="0.25">
      <c r="A154" s="96">
        <v>7</v>
      </c>
      <c r="B154" s="78" t="s">
        <v>123</v>
      </c>
      <c r="C154" s="163">
        <v>0</v>
      </c>
      <c r="D154" s="163">
        <v>0</v>
      </c>
      <c r="E154" s="163">
        <v>0</v>
      </c>
      <c r="F154" s="163">
        <v>0</v>
      </c>
      <c r="G154" s="163">
        <v>0</v>
      </c>
      <c r="H154" s="163">
        <v>0</v>
      </c>
      <c r="I154" s="163">
        <v>0</v>
      </c>
      <c r="J154" s="163">
        <v>0</v>
      </c>
      <c r="K154" s="163">
        <v>0</v>
      </c>
      <c r="L154" s="163">
        <v>0</v>
      </c>
      <c r="M154" s="163">
        <v>0</v>
      </c>
      <c r="N154" s="47">
        <v>0</v>
      </c>
      <c r="O154" s="163">
        <v>0</v>
      </c>
      <c r="P154" s="44">
        <v>0</v>
      </c>
      <c r="Q154" s="166">
        <v>0</v>
      </c>
      <c r="R154" s="45">
        <f t="shared" si="63"/>
        <v>0</v>
      </c>
    </row>
    <row r="155" spans="1:18" x14ac:dyDescent="0.25">
      <c r="A155" s="96">
        <v>8</v>
      </c>
      <c r="B155" s="78" t="s">
        <v>124</v>
      </c>
      <c r="C155" s="163">
        <v>0</v>
      </c>
      <c r="D155" s="163">
        <v>0</v>
      </c>
      <c r="E155" s="163">
        <v>0</v>
      </c>
      <c r="F155" s="163">
        <v>0</v>
      </c>
      <c r="G155" s="163">
        <v>0</v>
      </c>
      <c r="H155" s="163">
        <v>0</v>
      </c>
      <c r="I155" s="163">
        <v>0</v>
      </c>
      <c r="J155" s="163">
        <v>0</v>
      </c>
      <c r="K155" s="163">
        <v>0</v>
      </c>
      <c r="L155" s="163">
        <v>0</v>
      </c>
      <c r="M155" s="163">
        <v>0</v>
      </c>
      <c r="N155" s="47">
        <v>0</v>
      </c>
      <c r="O155" s="163">
        <v>0</v>
      </c>
      <c r="P155" s="44">
        <v>0</v>
      </c>
      <c r="Q155" s="166">
        <v>0</v>
      </c>
      <c r="R155" s="45">
        <f t="shared" si="63"/>
        <v>0</v>
      </c>
    </row>
    <row r="156" spans="1:18" s="66" customFormat="1" x14ac:dyDescent="0.25">
      <c r="A156" s="96">
        <v>9</v>
      </c>
      <c r="B156" s="78" t="s">
        <v>125</v>
      </c>
      <c r="C156" s="76">
        <v>10662310</v>
      </c>
      <c r="D156" s="76">
        <v>6823286</v>
      </c>
      <c r="E156" s="47">
        <f t="shared" si="67"/>
        <v>156.26356567788599</v>
      </c>
      <c r="F156" s="163">
        <v>3050915</v>
      </c>
      <c r="G156" s="163">
        <v>1716211</v>
      </c>
      <c r="H156" s="47">
        <f t="shared" si="64"/>
        <v>177.77039070370716</v>
      </c>
      <c r="I156" s="163">
        <v>10677250</v>
      </c>
      <c r="J156" s="163">
        <v>6606713</v>
      </c>
      <c r="K156" s="47">
        <f t="shared" si="65"/>
        <v>161.61213601983314</v>
      </c>
      <c r="L156" s="163">
        <v>10677250</v>
      </c>
      <c r="M156" s="163">
        <v>6606713</v>
      </c>
      <c r="N156" s="47">
        <f t="shared" si="66"/>
        <v>161.61213601983314</v>
      </c>
      <c r="O156" s="163">
        <v>870</v>
      </c>
      <c r="P156" s="62">
        <v>100</v>
      </c>
      <c r="Q156" s="166">
        <v>870</v>
      </c>
      <c r="R156" s="45">
        <f t="shared" si="63"/>
        <v>87000</v>
      </c>
    </row>
    <row r="157" spans="1:18" x14ac:dyDescent="0.25">
      <c r="A157" s="96">
        <v>10</v>
      </c>
      <c r="B157" s="78" t="s">
        <v>126</v>
      </c>
      <c r="C157" s="76">
        <v>17621740</v>
      </c>
      <c r="D157" s="76">
        <v>18835855</v>
      </c>
      <c r="E157" s="47">
        <f t="shared" si="67"/>
        <v>93.554234729456127</v>
      </c>
      <c r="F157" s="76">
        <v>3481417</v>
      </c>
      <c r="G157" s="76">
        <v>4228566</v>
      </c>
      <c r="H157" s="47">
        <f t="shared" si="64"/>
        <v>82.330913127523615</v>
      </c>
      <c r="I157" s="163">
        <v>16739880</v>
      </c>
      <c r="J157" s="163">
        <v>18464149</v>
      </c>
      <c r="K157" s="47">
        <f t="shared" si="65"/>
        <v>90.661530081890035</v>
      </c>
      <c r="L157" s="163">
        <v>16697340</v>
      </c>
      <c r="M157" s="163">
        <v>18443332</v>
      </c>
      <c r="N157" s="47">
        <f t="shared" si="66"/>
        <v>90.533207340192106</v>
      </c>
      <c r="O157" s="163">
        <v>659</v>
      </c>
      <c r="P157" s="62">
        <v>134</v>
      </c>
      <c r="Q157" s="166">
        <v>659</v>
      </c>
      <c r="R157" s="45">
        <f t="shared" si="63"/>
        <v>88306</v>
      </c>
    </row>
    <row r="158" spans="1:18" x14ac:dyDescent="0.25">
      <c r="A158" s="96">
        <v>11</v>
      </c>
      <c r="B158" s="78" t="s">
        <v>127</v>
      </c>
      <c r="C158" s="62">
        <v>12260208</v>
      </c>
      <c r="D158" s="62">
        <v>13335765</v>
      </c>
      <c r="E158" s="47">
        <f t="shared" si="67"/>
        <v>91.934793392055127</v>
      </c>
      <c r="F158" s="163">
        <v>2937624</v>
      </c>
      <c r="G158" s="163">
        <v>2657185</v>
      </c>
      <c r="H158" s="47">
        <f t="shared" si="64"/>
        <v>110.55398852545079</v>
      </c>
      <c r="I158" s="163">
        <v>12468175</v>
      </c>
      <c r="J158" s="163">
        <v>13272922</v>
      </c>
      <c r="K158" s="47">
        <f t="shared" si="65"/>
        <v>93.936926623994324</v>
      </c>
      <c r="L158" s="178">
        <v>12468175</v>
      </c>
      <c r="M158" s="178">
        <v>13272922</v>
      </c>
      <c r="N158" s="47">
        <f t="shared" si="66"/>
        <v>93.936926623994324</v>
      </c>
      <c r="O158" s="163">
        <v>558</v>
      </c>
      <c r="P158" s="62">
        <v>168</v>
      </c>
      <c r="Q158" s="166">
        <v>558</v>
      </c>
      <c r="R158" s="45">
        <f t="shared" si="63"/>
        <v>93744</v>
      </c>
    </row>
    <row r="159" spans="1:18" x14ac:dyDescent="0.25">
      <c r="A159" s="96">
        <v>12</v>
      </c>
      <c r="B159" s="78" t="s">
        <v>128</v>
      </c>
      <c r="C159" s="51">
        <v>1170</v>
      </c>
      <c r="D159" s="51">
        <v>0</v>
      </c>
      <c r="E159" s="47">
        <v>0</v>
      </c>
      <c r="F159" s="51">
        <v>0</v>
      </c>
      <c r="G159" s="51">
        <v>0</v>
      </c>
      <c r="H159" s="47">
        <v>0</v>
      </c>
      <c r="I159" s="51">
        <v>1016</v>
      </c>
      <c r="J159" s="51"/>
      <c r="K159" s="47">
        <v>0</v>
      </c>
      <c r="L159" s="51">
        <v>0</v>
      </c>
      <c r="M159" s="51">
        <v>0</v>
      </c>
      <c r="N159" s="47">
        <v>0</v>
      </c>
      <c r="O159" s="163">
        <v>9</v>
      </c>
      <c r="P159" s="62">
        <v>45</v>
      </c>
      <c r="Q159" s="166">
        <v>9</v>
      </c>
      <c r="R159" s="45">
        <f t="shared" si="63"/>
        <v>405</v>
      </c>
    </row>
    <row r="160" spans="1:18" x14ac:dyDescent="0.25">
      <c r="A160" s="96">
        <v>13</v>
      </c>
      <c r="B160" s="78" t="s">
        <v>129</v>
      </c>
      <c r="C160" s="163">
        <v>0</v>
      </c>
      <c r="D160" s="163">
        <v>0</v>
      </c>
      <c r="E160" s="163">
        <v>0</v>
      </c>
      <c r="F160" s="163">
        <v>0</v>
      </c>
      <c r="G160" s="163">
        <v>0</v>
      </c>
      <c r="H160" s="163">
        <v>0</v>
      </c>
      <c r="I160" s="163">
        <v>0</v>
      </c>
      <c r="J160" s="163">
        <v>0</v>
      </c>
      <c r="K160" s="163">
        <v>0</v>
      </c>
      <c r="L160" s="163">
        <v>0</v>
      </c>
      <c r="M160" s="163">
        <v>0</v>
      </c>
      <c r="N160" s="47">
        <v>0</v>
      </c>
      <c r="O160" s="163">
        <v>0</v>
      </c>
      <c r="P160" s="44">
        <v>0</v>
      </c>
      <c r="Q160" s="166">
        <v>0</v>
      </c>
      <c r="R160" s="45">
        <f t="shared" si="63"/>
        <v>0</v>
      </c>
    </row>
    <row r="161" spans="1:18" x14ac:dyDescent="0.25">
      <c r="A161" s="96">
        <v>14</v>
      </c>
      <c r="B161" s="78" t="s">
        <v>130</v>
      </c>
      <c r="C161" s="76">
        <v>1684724</v>
      </c>
      <c r="D161" s="76">
        <v>1100294</v>
      </c>
      <c r="E161" s="47">
        <f t="shared" si="67"/>
        <v>153.11580359431207</v>
      </c>
      <c r="F161" s="96">
        <v>363326</v>
      </c>
      <c r="G161" s="96">
        <v>206331</v>
      </c>
      <c r="H161" s="47">
        <f t="shared" si="64"/>
        <v>176.08890569037129</v>
      </c>
      <c r="I161" s="96">
        <v>1590698</v>
      </c>
      <c r="J161" s="96">
        <v>1126922</v>
      </c>
      <c r="K161" s="47">
        <f t="shared" si="65"/>
        <v>141.1542236286096</v>
      </c>
      <c r="L161" s="96">
        <v>0</v>
      </c>
      <c r="M161" s="96">
        <v>0</v>
      </c>
      <c r="N161" s="47">
        <v>0</v>
      </c>
      <c r="O161" s="163"/>
      <c r="P161" s="76">
        <v>58</v>
      </c>
      <c r="Q161" s="166">
        <v>299</v>
      </c>
      <c r="R161" s="45">
        <f t="shared" si="63"/>
        <v>17342</v>
      </c>
    </row>
    <row r="162" spans="1:18" x14ac:dyDescent="0.25">
      <c r="A162" s="96">
        <v>15</v>
      </c>
      <c r="B162" s="78" t="s">
        <v>131</v>
      </c>
      <c r="C162" s="62">
        <v>13059546</v>
      </c>
      <c r="D162" s="62">
        <v>14518064</v>
      </c>
      <c r="E162" s="47">
        <f t="shared" si="67"/>
        <v>89.953770695596873</v>
      </c>
      <c r="F162" s="163">
        <v>2745927</v>
      </c>
      <c r="G162" s="163">
        <v>3060697</v>
      </c>
      <c r="H162" s="47">
        <f t="shared" si="64"/>
        <v>89.715741218421812</v>
      </c>
      <c r="I162" s="163">
        <v>11579992</v>
      </c>
      <c r="J162" s="163">
        <v>13813907</v>
      </c>
      <c r="K162" s="47">
        <f t="shared" si="65"/>
        <v>83.828507025564889</v>
      </c>
      <c r="L162" s="163">
        <v>11531043</v>
      </c>
      <c r="M162" s="163">
        <v>13767844</v>
      </c>
      <c r="N162" s="47">
        <f t="shared" si="66"/>
        <v>83.753440262687462</v>
      </c>
      <c r="O162" s="163">
        <v>648</v>
      </c>
      <c r="P162" s="62">
        <v>130</v>
      </c>
      <c r="Q162" s="166">
        <v>648</v>
      </c>
      <c r="R162" s="45">
        <f t="shared" si="63"/>
        <v>84240</v>
      </c>
    </row>
    <row r="163" spans="1:18" s="60" customFormat="1" x14ac:dyDescent="0.25">
      <c r="A163" s="315" t="s">
        <v>132</v>
      </c>
      <c r="B163" s="315" t="s">
        <v>133</v>
      </c>
      <c r="C163" s="58">
        <f>SUM(C148:C162)</f>
        <v>133282511</v>
      </c>
      <c r="D163" s="58">
        <f>SUM(D148:D162)</f>
        <v>129573875</v>
      </c>
      <c r="E163" s="57">
        <f>C163/D163*100</f>
        <v>102.86217881498104</v>
      </c>
      <c r="F163" s="56">
        <f>SUM(F148:F162)</f>
        <v>30039082</v>
      </c>
      <c r="G163" s="56">
        <f>SUM(G148:G162)</f>
        <v>27737791</v>
      </c>
      <c r="H163" s="57">
        <f>F163/G163*100</f>
        <v>108.29659074149056</v>
      </c>
      <c r="I163" s="56">
        <f>SUM(I148:I162)</f>
        <v>126844753</v>
      </c>
      <c r="J163" s="56">
        <f>SUM(J148:J162)</f>
        <v>127385117</v>
      </c>
      <c r="K163" s="57">
        <f>I163/J163*100</f>
        <v>99.575802878133715</v>
      </c>
      <c r="L163" s="56">
        <f>SUM(L148:L162)</f>
        <v>99726909</v>
      </c>
      <c r="M163" s="56">
        <f>SUM(M148:M162)</f>
        <v>103488341</v>
      </c>
      <c r="N163" s="57">
        <f>L163/M163*100</f>
        <v>96.365356750670102</v>
      </c>
      <c r="O163" s="56">
        <f>SUM(O148:O162)</f>
        <v>8817</v>
      </c>
      <c r="P163" s="57">
        <f>R163/O163</f>
        <v>161.83872065328342</v>
      </c>
      <c r="Q163" s="56">
        <f>SUM(Q148:Q162)</f>
        <v>9113</v>
      </c>
      <c r="R163" s="59">
        <f>SUM(R148:R162)</f>
        <v>1426932</v>
      </c>
    </row>
    <row r="164" spans="1:18" x14ac:dyDescent="0.25">
      <c r="A164" s="37"/>
      <c r="B164" s="37"/>
      <c r="C164" s="96"/>
      <c r="D164" s="96"/>
      <c r="E164" s="97"/>
      <c r="F164" s="96"/>
      <c r="G164" s="96"/>
      <c r="H164" s="97"/>
      <c r="I164" s="96"/>
      <c r="J164" s="96"/>
      <c r="K164" s="34"/>
      <c r="L164" s="96"/>
      <c r="M164" s="96"/>
      <c r="N164" s="97"/>
      <c r="O164" s="98"/>
      <c r="P164" s="76"/>
      <c r="Q164" s="98"/>
      <c r="R164" s="31"/>
    </row>
    <row r="165" spans="1:18" x14ac:dyDescent="0.25">
      <c r="A165" s="99"/>
      <c r="B165" s="99" t="s">
        <v>13</v>
      </c>
      <c r="C165" s="37">
        <v>3</v>
      </c>
      <c r="D165" s="37">
        <v>4</v>
      </c>
      <c r="E165" s="160">
        <v>5</v>
      </c>
      <c r="F165" s="37">
        <v>6</v>
      </c>
      <c r="G165" s="37">
        <v>7</v>
      </c>
      <c r="H165" s="37">
        <v>8</v>
      </c>
      <c r="I165" s="37">
        <v>9</v>
      </c>
      <c r="J165" s="37">
        <v>10</v>
      </c>
      <c r="K165" s="37">
        <v>11</v>
      </c>
      <c r="L165" s="37">
        <v>12</v>
      </c>
      <c r="M165" s="37">
        <v>13</v>
      </c>
      <c r="N165" s="37">
        <v>14</v>
      </c>
      <c r="O165" s="37">
        <v>15</v>
      </c>
      <c r="P165" s="160">
        <v>16</v>
      </c>
      <c r="Q165" s="37">
        <v>15</v>
      </c>
      <c r="R165" s="100"/>
    </row>
    <row r="166" spans="1:18" x14ac:dyDescent="0.25">
      <c r="A166" s="96">
        <v>1</v>
      </c>
      <c r="B166" s="84" t="s">
        <v>134</v>
      </c>
      <c r="C166" s="96">
        <v>18736</v>
      </c>
      <c r="D166" s="96">
        <v>45694</v>
      </c>
      <c r="E166" s="47">
        <f>C166/D166*100</f>
        <v>41.003195167855736</v>
      </c>
      <c r="F166" s="34">
        <v>5523</v>
      </c>
      <c r="G166" s="96">
        <v>6196</v>
      </c>
      <c r="H166" s="47">
        <f>F166/G166*100</f>
        <v>89.138153647514528</v>
      </c>
      <c r="I166" s="96">
        <v>18736</v>
      </c>
      <c r="J166" s="96">
        <v>45694</v>
      </c>
      <c r="K166" s="47">
        <f t="shared" ref="K166:K170" si="68">I166/J166*100</f>
        <v>41.003195167855736</v>
      </c>
      <c r="L166" s="96">
        <v>0</v>
      </c>
      <c r="M166" s="96">
        <v>0</v>
      </c>
      <c r="N166" s="47">
        <v>0</v>
      </c>
      <c r="O166" s="96">
        <v>52</v>
      </c>
      <c r="P166" s="76">
        <v>73</v>
      </c>
      <c r="Q166" s="96">
        <v>45</v>
      </c>
      <c r="R166" s="45">
        <f>Q166*P166</f>
        <v>3285</v>
      </c>
    </row>
    <row r="167" spans="1:18" s="66" customFormat="1" x14ac:dyDescent="0.25">
      <c r="A167" s="96">
        <v>2</v>
      </c>
      <c r="B167" s="84" t="s">
        <v>135</v>
      </c>
      <c r="C167" s="51">
        <v>1926276</v>
      </c>
      <c r="D167" s="51">
        <v>2321345</v>
      </c>
      <c r="E167" s="47">
        <f t="shared" ref="E167:E170" si="69">C167/D167*100</f>
        <v>82.981030394017267</v>
      </c>
      <c r="F167" s="51">
        <v>255781</v>
      </c>
      <c r="G167" s="51">
        <v>571234</v>
      </c>
      <c r="H167" s="47">
        <f t="shared" ref="H167:H170" si="70">F167/G167*100</f>
        <v>44.776921541784972</v>
      </c>
      <c r="I167" s="51">
        <v>2155613</v>
      </c>
      <c r="J167" s="51">
        <v>2324461</v>
      </c>
      <c r="K167" s="47">
        <f t="shared" si="68"/>
        <v>92.736036440275825</v>
      </c>
      <c r="L167" s="51">
        <v>366218</v>
      </c>
      <c r="M167" s="51">
        <v>944433</v>
      </c>
      <c r="N167" s="47">
        <f t="shared" ref="N167:N169" si="71">L167/M167*100</f>
        <v>38.77649340927308</v>
      </c>
      <c r="O167" s="96"/>
      <c r="P167" s="76">
        <v>110</v>
      </c>
      <c r="Q167" s="96">
        <v>504</v>
      </c>
      <c r="R167" s="45">
        <f>Q167*P167</f>
        <v>55440</v>
      </c>
    </row>
    <row r="168" spans="1:18" x14ac:dyDescent="0.25">
      <c r="A168" s="96">
        <v>3</v>
      </c>
      <c r="B168" s="84" t="s">
        <v>136</v>
      </c>
      <c r="C168" s="163">
        <v>0</v>
      </c>
      <c r="D168" s="163">
        <v>0</v>
      </c>
      <c r="E168" s="163">
        <v>0</v>
      </c>
      <c r="F168" s="163">
        <v>0</v>
      </c>
      <c r="G168" s="163">
        <v>0</v>
      </c>
      <c r="H168" s="163">
        <v>0</v>
      </c>
      <c r="I168" s="163">
        <v>0</v>
      </c>
      <c r="J168" s="163">
        <v>0</v>
      </c>
      <c r="K168" s="163">
        <v>0</v>
      </c>
      <c r="L168" s="163">
        <v>0</v>
      </c>
      <c r="M168" s="163">
        <v>0</v>
      </c>
      <c r="N168" s="47">
        <v>0</v>
      </c>
      <c r="O168" s="96">
        <v>0</v>
      </c>
      <c r="P168" s="76">
        <v>0</v>
      </c>
      <c r="Q168" s="96">
        <v>0</v>
      </c>
      <c r="R168" s="45">
        <f>Q168*P168</f>
        <v>0</v>
      </c>
    </row>
    <row r="169" spans="1:18" x14ac:dyDescent="0.25">
      <c r="A169" s="96">
        <v>4</v>
      </c>
      <c r="B169" s="84" t="s">
        <v>137</v>
      </c>
      <c r="C169" s="96">
        <v>1335555</v>
      </c>
      <c r="D169" s="96">
        <v>1405310</v>
      </c>
      <c r="E169" s="47">
        <f t="shared" si="69"/>
        <v>95.036326504472328</v>
      </c>
      <c r="F169" s="96">
        <v>371067</v>
      </c>
      <c r="G169" s="101">
        <v>369986</v>
      </c>
      <c r="H169" s="47">
        <f t="shared" si="70"/>
        <v>100.29217321736499</v>
      </c>
      <c r="I169" s="101">
        <v>1438589</v>
      </c>
      <c r="J169" s="101">
        <v>328834</v>
      </c>
      <c r="K169" s="47">
        <f t="shared" si="68"/>
        <v>437.48182973780087</v>
      </c>
      <c r="L169" s="101">
        <v>918338</v>
      </c>
      <c r="M169" s="101">
        <v>39369</v>
      </c>
      <c r="N169" s="47">
        <f t="shared" si="71"/>
        <v>2332.6424344027023</v>
      </c>
      <c r="O169" s="96">
        <v>286</v>
      </c>
      <c r="P169" s="76">
        <v>32</v>
      </c>
      <c r="Q169" s="96">
        <v>288</v>
      </c>
      <c r="R169" s="45">
        <f>Q169*P169</f>
        <v>9216</v>
      </c>
    </row>
    <row r="170" spans="1:18" x14ac:dyDescent="0.25">
      <c r="A170" s="96">
        <v>5</v>
      </c>
      <c r="B170" s="84" t="s">
        <v>138</v>
      </c>
      <c r="C170" s="96">
        <v>617607</v>
      </c>
      <c r="D170" s="96">
        <v>889834</v>
      </c>
      <c r="E170" s="47">
        <f t="shared" si="69"/>
        <v>69.406990517332446</v>
      </c>
      <c r="F170" s="96">
        <v>493396</v>
      </c>
      <c r="G170" s="96">
        <v>361652</v>
      </c>
      <c r="H170" s="47">
        <f t="shared" si="70"/>
        <v>136.42838972271687</v>
      </c>
      <c r="I170" s="96">
        <v>668648</v>
      </c>
      <c r="J170" s="96">
        <v>6486185</v>
      </c>
      <c r="K170" s="47">
        <f t="shared" si="68"/>
        <v>10.308802477881837</v>
      </c>
      <c r="L170" s="96">
        <v>0</v>
      </c>
      <c r="M170" s="96">
        <v>0</v>
      </c>
      <c r="N170" s="47">
        <v>0</v>
      </c>
      <c r="O170" s="96">
        <v>531</v>
      </c>
      <c r="P170" s="76">
        <v>51</v>
      </c>
      <c r="Q170" s="96">
        <v>531</v>
      </c>
      <c r="R170" s="45">
        <f>Q170*P170</f>
        <v>27081</v>
      </c>
    </row>
    <row r="171" spans="1:18" s="60" customFormat="1" x14ac:dyDescent="0.25">
      <c r="A171" s="315" t="s">
        <v>174</v>
      </c>
      <c r="B171" s="315" t="s">
        <v>139</v>
      </c>
      <c r="C171" s="56">
        <f>SUM(C166:C170)</f>
        <v>3898174</v>
      </c>
      <c r="D171" s="56">
        <f>SUM(D166:D170)</f>
        <v>4662183</v>
      </c>
      <c r="E171" s="57">
        <f>C171/D171*100</f>
        <v>83.61263382411201</v>
      </c>
      <c r="F171" s="56">
        <f>SUM(F166:F170)</f>
        <v>1125767</v>
      </c>
      <c r="G171" s="56">
        <f>SUM(G166:G170)</f>
        <v>1309068</v>
      </c>
      <c r="H171" s="57">
        <f>F171/G171*100</f>
        <v>85.997595235694405</v>
      </c>
      <c r="I171" s="56">
        <f>SUM(I166:I170)</f>
        <v>4281586</v>
      </c>
      <c r="J171" s="56">
        <f>SUM(J166:J170)</f>
        <v>9185174</v>
      </c>
      <c r="K171" s="57">
        <f>I171/J171*100</f>
        <v>46.614097892974051</v>
      </c>
      <c r="L171" s="56">
        <f>SUM(L166:L170)</f>
        <v>1284556</v>
      </c>
      <c r="M171" s="56">
        <f>SUM(M166:M170)</f>
        <v>983802</v>
      </c>
      <c r="N171" s="57">
        <f>L171/M171*100</f>
        <v>130.57058229196525</v>
      </c>
      <c r="O171" s="56">
        <f>SUM(O166:O170)</f>
        <v>869</v>
      </c>
      <c r="P171" s="57">
        <f>R171/O171</f>
        <v>109.3463751438435</v>
      </c>
      <c r="Q171" s="56">
        <f>SUM(Q166:Q170)</f>
        <v>1368</v>
      </c>
      <c r="R171" s="59">
        <f>SUM(R166:R170)</f>
        <v>95022</v>
      </c>
    </row>
    <row r="172" spans="1:18" x14ac:dyDescent="0.25">
      <c r="A172" s="102"/>
      <c r="B172" s="103"/>
      <c r="C172" s="104"/>
      <c r="D172" s="104"/>
      <c r="E172" s="105"/>
      <c r="F172" s="104"/>
      <c r="G172" s="104"/>
      <c r="H172" s="105"/>
      <c r="I172" s="104"/>
      <c r="J172" s="104"/>
      <c r="K172" s="105"/>
      <c r="L172" s="104"/>
      <c r="M172" s="176"/>
      <c r="N172" s="177"/>
      <c r="O172" s="176"/>
      <c r="P172" s="104"/>
      <c r="Q172" s="176"/>
      <c r="R172" s="106"/>
    </row>
    <row r="173" spans="1:18" x14ac:dyDescent="0.25">
      <c r="A173" s="96"/>
      <c r="B173" s="37"/>
      <c r="C173" s="160"/>
      <c r="D173" s="318"/>
      <c r="E173" s="318"/>
      <c r="F173" s="318"/>
      <c r="G173" s="108"/>
      <c r="H173" s="108"/>
      <c r="I173" s="108"/>
      <c r="J173" s="335"/>
      <c r="K173" s="335"/>
      <c r="L173" s="351"/>
      <c r="M173" s="108"/>
      <c r="N173" s="108"/>
      <c r="O173" s="108"/>
      <c r="P173" s="108"/>
      <c r="Q173" s="108"/>
      <c r="R173" s="111"/>
    </row>
    <row r="174" spans="1:18" x14ac:dyDescent="0.25">
      <c r="A174" s="319" t="s">
        <v>140</v>
      </c>
      <c r="B174" s="320"/>
      <c r="C174" s="37">
        <v>3</v>
      </c>
      <c r="D174" s="37">
        <v>4</v>
      </c>
      <c r="E174" s="160">
        <v>5</v>
      </c>
      <c r="F174" s="37">
        <v>6</v>
      </c>
      <c r="G174" s="37">
        <v>7</v>
      </c>
      <c r="H174" s="37">
        <v>8</v>
      </c>
      <c r="I174" s="37">
        <v>9</v>
      </c>
      <c r="J174" s="37">
        <v>10</v>
      </c>
      <c r="K174" s="37">
        <v>11</v>
      </c>
      <c r="L174" s="37">
        <v>12</v>
      </c>
      <c r="M174" s="27">
        <v>13</v>
      </c>
      <c r="N174" s="27">
        <v>14</v>
      </c>
      <c r="O174" s="27">
        <v>15</v>
      </c>
      <c r="P174" s="160">
        <v>16</v>
      </c>
      <c r="Q174" s="27">
        <v>15</v>
      </c>
      <c r="R174" s="23"/>
    </row>
    <row r="175" spans="1:18" x14ac:dyDescent="0.25">
      <c r="A175" s="102">
        <v>1</v>
      </c>
      <c r="B175" s="113" t="s">
        <v>141</v>
      </c>
      <c r="C175" s="96">
        <v>0</v>
      </c>
      <c r="D175" s="96">
        <v>3653</v>
      </c>
      <c r="E175" s="97">
        <v>0</v>
      </c>
      <c r="F175" s="96">
        <v>0</v>
      </c>
      <c r="G175" s="96">
        <v>0</v>
      </c>
      <c r="H175" s="96">
        <v>0</v>
      </c>
      <c r="I175" s="96">
        <v>14140</v>
      </c>
      <c r="J175" s="96">
        <v>13724</v>
      </c>
      <c r="K175" s="97">
        <f t="shared" ref="K175:K184" si="72">I175/J175*100</f>
        <v>103.03118624307781</v>
      </c>
      <c r="L175" s="96">
        <v>0</v>
      </c>
      <c r="M175" s="96">
        <v>0</v>
      </c>
      <c r="N175" s="96">
        <v>0</v>
      </c>
      <c r="O175" s="96">
        <v>69</v>
      </c>
      <c r="P175" s="96">
        <v>95</v>
      </c>
      <c r="Q175" s="96">
        <v>69</v>
      </c>
      <c r="R175" s="45">
        <f t="shared" ref="R175:R184" si="73">Q175*P175</f>
        <v>6555</v>
      </c>
    </row>
    <row r="176" spans="1:18" x14ac:dyDescent="0.25">
      <c r="A176" s="112">
        <v>2</v>
      </c>
      <c r="B176" s="113" t="s">
        <v>142</v>
      </c>
      <c r="C176" s="96">
        <v>465920</v>
      </c>
      <c r="D176" s="96">
        <v>333491</v>
      </c>
      <c r="E176" s="96">
        <f t="shared" ref="E176" si="74">C176/D176*100</f>
        <v>139.70991720916007</v>
      </c>
      <c r="F176" s="96">
        <v>134308</v>
      </c>
      <c r="G176" s="96">
        <v>65598</v>
      </c>
      <c r="H176" s="96">
        <f t="shared" ref="H176" si="75">F176/G176*100</f>
        <v>204.74404707460593</v>
      </c>
      <c r="I176" s="96">
        <v>465920</v>
      </c>
      <c r="J176" s="96">
        <v>333491</v>
      </c>
      <c r="K176" s="96">
        <f t="shared" ref="K176" si="76">I176/J176*100</f>
        <v>139.70991720916007</v>
      </c>
      <c r="L176" s="96">
        <v>465920</v>
      </c>
      <c r="M176" s="96">
        <v>333491</v>
      </c>
      <c r="N176" s="96">
        <f t="shared" ref="N176" si="77">L176/M176*100</f>
        <v>139.70991720916007</v>
      </c>
      <c r="O176" s="96">
        <v>128</v>
      </c>
      <c r="P176" s="96">
        <v>106</v>
      </c>
      <c r="Q176" s="96">
        <v>133</v>
      </c>
      <c r="R176" s="45">
        <f t="shared" si="73"/>
        <v>14098</v>
      </c>
    </row>
    <row r="177" spans="1:18" s="80" customFormat="1" x14ac:dyDescent="0.25">
      <c r="A177" s="102">
        <v>3</v>
      </c>
      <c r="B177" s="113" t="s">
        <v>143</v>
      </c>
      <c r="C177" s="96">
        <v>0</v>
      </c>
      <c r="D177" s="96">
        <v>96335</v>
      </c>
      <c r="E177" s="96">
        <f t="shared" ref="E177:E184" si="78">C177/D177*100</f>
        <v>0</v>
      </c>
      <c r="F177" s="96">
        <v>0</v>
      </c>
      <c r="G177" s="96">
        <v>15556</v>
      </c>
      <c r="H177" s="96">
        <f t="shared" ref="H177:H183" si="79">F177/G177*100</f>
        <v>0</v>
      </c>
      <c r="I177" s="96">
        <v>0</v>
      </c>
      <c r="J177" s="96">
        <v>87798</v>
      </c>
      <c r="K177" s="96">
        <f t="shared" si="72"/>
        <v>0</v>
      </c>
      <c r="L177" s="96">
        <v>0</v>
      </c>
      <c r="M177" s="96">
        <v>71580</v>
      </c>
      <c r="N177" s="96">
        <f t="shared" ref="N177:N184" si="80">L177/M177*100</f>
        <v>0</v>
      </c>
      <c r="O177" s="96">
        <v>59</v>
      </c>
      <c r="P177" s="96">
        <v>33</v>
      </c>
      <c r="Q177" s="96">
        <v>60</v>
      </c>
      <c r="R177" s="45">
        <f t="shared" si="73"/>
        <v>1980</v>
      </c>
    </row>
    <row r="178" spans="1:18" x14ac:dyDescent="0.25">
      <c r="A178" s="112">
        <v>4</v>
      </c>
      <c r="B178" s="113" t="s">
        <v>144</v>
      </c>
      <c r="C178" s="180">
        <v>1073502.2193514998</v>
      </c>
      <c r="D178" s="180">
        <v>1734568.8523106999</v>
      </c>
      <c r="E178" s="114">
        <f t="shared" si="78"/>
        <v>61.888706113997003</v>
      </c>
      <c r="F178" s="180">
        <v>173101.07529959991</v>
      </c>
      <c r="G178" s="180">
        <v>382726.21112539968</v>
      </c>
      <c r="H178" s="114">
        <f t="shared" si="79"/>
        <v>45.228434914504348</v>
      </c>
      <c r="I178" s="180">
        <v>1073502.2193514998</v>
      </c>
      <c r="J178" s="180">
        <v>1734568.8523106999</v>
      </c>
      <c r="K178" s="114">
        <f t="shared" si="72"/>
        <v>61.888706113997003</v>
      </c>
      <c r="L178" s="180">
        <v>173101.07529959991</v>
      </c>
      <c r="M178" s="180">
        <v>382726.21112539968</v>
      </c>
      <c r="N178" s="47">
        <f t="shared" si="80"/>
        <v>45.228434914504348</v>
      </c>
      <c r="O178" s="96">
        <v>220</v>
      </c>
      <c r="P178" s="115">
        <v>135</v>
      </c>
      <c r="Q178" s="96">
        <v>97</v>
      </c>
      <c r="R178" s="45">
        <f t="shared" si="73"/>
        <v>13095</v>
      </c>
    </row>
    <row r="179" spans="1:18" x14ac:dyDescent="0.25">
      <c r="A179" s="102">
        <v>5</v>
      </c>
      <c r="B179" s="113" t="s">
        <v>145</v>
      </c>
      <c r="C179" s="96">
        <v>303454</v>
      </c>
      <c r="D179" s="96">
        <v>1046009</v>
      </c>
      <c r="E179" s="114">
        <f t="shared" si="78"/>
        <v>29.010649047952739</v>
      </c>
      <c r="F179" s="96">
        <v>47151</v>
      </c>
      <c r="G179" s="96">
        <v>399180</v>
      </c>
      <c r="H179" s="114">
        <f t="shared" si="79"/>
        <v>11.811964527280926</v>
      </c>
      <c r="I179" s="96">
        <v>596010</v>
      </c>
      <c r="J179" s="96">
        <v>895620</v>
      </c>
      <c r="K179" s="114">
        <f t="shared" si="72"/>
        <v>66.547196355597237</v>
      </c>
      <c r="L179" s="96">
        <v>596010</v>
      </c>
      <c r="M179" s="96">
        <v>895620</v>
      </c>
      <c r="N179" s="47">
        <f t="shared" si="80"/>
        <v>66.547196355597237</v>
      </c>
      <c r="O179" s="96"/>
      <c r="P179" s="96">
        <v>45</v>
      </c>
      <c r="Q179" s="96">
        <v>17</v>
      </c>
      <c r="R179" s="45">
        <f t="shared" si="73"/>
        <v>765</v>
      </c>
    </row>
    <row r="180" spans="1:18" x14ac:dyDescent="0.25">
      <c r="A180" s="112">
        <v>6</v>
      </c>
      <c r="B180" s="113" t="s">
        <v>146</v>
      </c>
      <c r="C180" s="76">
        <v>0</v>
      </c>
      <c r="D180" s="76">
        <v>0</v>
      </c>
      <c r="E180" s="163">
        <v>0</v>
      </c>
      <c r="F180" s="163">
        <v>0</v>
      </c>
      <c r="G180" s="163">
        <v>0</v>
      </c>
      <c r="H180" s="163">
        <v>0</v>
      </c>
      <c r="I180" s="76">
        <v>0</v>
      </c>
      <c r="J180" s="76">
        <v>0</v>
      </c>
      <c r="K180" s="163">
        <v>0</v>
      </c>
      <c r="L180" s="76">
        <v>0</v>
      </c>
      <c r="M180" s="76">
        <v>0</v>
      </c>
      <c r="N180" s="47">
        <v>0</v>
      </c>
      <c r="O180" s="96">
        <v>0</v>
      </c>
      <c r="P180" s="44">
        <v>0</v>
      </c>
      <c r="Q180" s="96">
        <v>0</v>
      </c>
      <c r="R180" s="45">
        <f t="shared" si="73"/>
        <v>0</v>
      </c>
    </row>
    <row r="181" spans="1:18" x14ac:dyDescent="0.25">
      <c r="A181" s="102">
        <v>7</v>
      </c>
      <c r="B181" s="113" t="s">
        <v>147</v>
      </c>
      <c r="C181" s="76">
        <v>1069684</v>
      </c>
      <c r="D181" s="76">
        <v>1926640</v>
      </c>
      <c r="E181" s="114">
        <f t="shared" si="78"/>
        <v>55.520699248432507</v>
      </c>
      <c r="F181" s="76">
        <v>127316</v>
      </c>
      <c r="G181" s="76">
        <v>481644</v>
      </c>
      <c r="H181" s="47">
        <f t="shared" si="79"/>
        <v>26.433631478851598</v>
      </c>
      <c r="I181" s="76">
        <v>1097105</v>
      </c>
      <c r="J181" s="76">
        <v>1654346</v>
      </c>
      <c r="K181" s="47">
        <f t="shared" si="72"/>
        <v>66.316538378307797</v>
      </c>
      <c r="L181" s="76">
        <v>1086007</v>
      </c>
      <c r="M181" s="76">
        <v>1654346</v>
      </c>
      <c r="N181" s="47">
        <f t="shared" si="80"/>
        <v>65.645699267263311</v>
      </c>
      <c r="O181" s="96">
        <v>57</v>
      </c>
      <c r="P181" s="96">
        <v>76</v>
      </c>
      <c r="Q181" s="96">
        <v>74</v>
      </c>
      <c r="R181" s="45">
        <f t="shared" si="73"/>
        <v>5624</v>
      </c>
    </row>
    <row r="182" spans="1:18" x14ac:dyDescent="0.25">
      <c r="A182" s="112">
        <v>8</v>
      </c>
      <c r="B182" s="113" t="s">
        <v>148</v>
      </c>
      <c r="C182" s="76">
        <v>319035.01783529995</v>
      </c>
      <c r="D182" s="76">
        <v>228971.59673159997</v>
      </c>
      <c r="E182" s="76">
        <f t="shared" si="78"/>
        <v>139.33388349877828</v>
      </c>
      <c r="F182" s="76">
        <v>91049.273219999974</v>
      </c>
      <c r="G182" s="76">
        <v>98591.887124599976</v>
      </c>
      <c r="H182" s="76">
        <f t="shared" si="79"/>
        <v>92.349660682457895</v>
      </c>
      <c r="I182" s="76">
        <v>319035.01783529995</v>
      </c>
      <c r="J182" s="76">
        <v>228971.59673159997</v>
      </c>
      <c r="K182" s="76">
        <f t="shared" si="72"/>
        <v>139.33388349877828</v>
      </c>
      <c r="L182" s="76">
        <v>319035.01783529995</v>
      </c>
      <c r="M182" s="76">
        <v>228971.59673159997</v>
      </c>
      <c r="N182" s="76">
        <f t="shared" si="80"/>
        <v>139.33388349877828</v>
      </c>
      <c r="O182" s="76">
        <v>42</v>
      </c>
      <c r="P182" s="76">
        <v>128</v>
      </c>
      <c r="Q182" s="76">
        <v>38</v>
      </c>
      <c r="R182" s="45">
        <f t="shared" si="73"/>
        <v>4864</v>
      </c>
    </row>
    <row r="183" spans="1:18" x14ac:dyDescent="0.25">
      <c r="A183" s="102">
        <v>9</v>
      </c>
      <c r="B183" s="113" t="s">
        <v>149</v>
      </c>
      <c r="C183" s="76">
        <v>143399</v>
      </c>
      <c r="D183" s="76">
        <v>123945</v>
      </c>
      <c r="E183" s="47">
        <f t="shared" si="78"/>
        <v>115.69567146718302</v>
      </c>
      <c r="F183" s="76">
        <v>39715</v>
      </c>
      <c r="G183" s="76">
        <v>44768</v>
      </c>
      <c r="H183" s="47">
        <f t="shared" si="79"/>
        <v>88.712919942816299</v>
      </c>
      <c r="I183" s="76">
        <v>143399</v>
      </c>
      <c r="J183" s="76">
        <v>123945</v>
      </c>
      <c r="K183" s="47">
        <f t="shared" si="72"/>
        <v>115.69567146718302</v>
      </c>
      <c r="L183" s="76">
        <v>143399</v>
      </c>
      <c r="M183" s="76">
        <v>123945</v>
      </c>
      <c r="N183" s="47">
        <f t="shared" si="80"/>
        <v>115.69567146718302</v>
      </c>
      <c r="O183" s="96">
        <v>9</v>
      </c>
      <c r="P183" s="96">
        <v>50</v>
      </c>
      <c r="Q183" s="96">
        <v>10</v>
      </c>
      <c r="R183" s="45">
        <f t="shared" si="73"/>
        <v>500</v>
      </c>
    </row>
    <row r="184" spans="1:18" x14ac:dyDescent="0.25">
      <c r="A184" s="112">
        <v>10</v>
      </c>
      <c r="B184" s="113" t="s">
        <v>150</v>
      </c>
      <c r="C184" s="76">
        <v>58120</v>
      </c>
      <c r="D184" s="76">
        <v>120611</v>
      </c>
      <c r="E184" s="47">
        <f t="shared" si="78"/>
        <v>48.187976221074365</v>
      </c>
      <c r="F184" s="96">
        <v>0</v>
      </c>
      <c r="G184" s="96">
        <v>0</v>
      </c>
      <c r="H184" s="47">
        <v>0</v>
      </c>
      <c r="I184" s="96">
        <v>58120</v>
      </c>
      <c r="J184" s="96">
        <v>120611</v>
      </c>
      <c r="K184" s="47">
        <f t="shared" si="72"/>
        <v>48.187976221074365</v>
      </c>
      <c r="L184" s="96">
        <v>58120</v>
      </c>
      <c r="M184" s="96">
        <v>120611</v>
      </c>
      <c r="N184" s="47">
        <f t="shared" si="80"/>
        <v>48.187976221074365</v>
      </c>
      <c r="O184" s="96">
        <v>23</v>
      </c>
      <c r="P184" s="96">
        <v>50</v>
      </c>
      <c r="Q184" s="96">
        <v>23</v>
      </c>
      <c r="R184" s="116">
        <f t="shared" si="73"/>
        <v>1150</v>
      </c>
    </row>
    <row r="185" spans="1:18" s="60" customFormat="1" x14ac:dyDescent="0.25">
      <c r="A185" s="315" t="s">
        <v>173</v>
      </c>
      <c r="B185" s="315" t="s">
        <v>139</v>
      </c>
      <c r="C185" s="58">
        <f>SUM(C175:C184)</f>
        <v>3433114.2371867998</v>
      </c>
      <c r="D185" s="58">
        <f>SUM(D175:D184)</f>
        <v>5614224.4490423007</v>
      </c>
      <c r="E185" s="57">
        <f>C185/D185*100</f>
        <v>61.150284751662099</v>
      </c>
      <c r="F185" s="58">
        <f>SUM(F175:F184)</f>
        <v>612640.34851959988</v>
      </c>
      <c r="G185" s="58">
        <f>SUM(G175:G184)</f>
        <v>1488064.0982499996</v>
      </c>
      <c r="H185" s="57">
        <f>F185/G185*100</f>
        <v>41.17029294907929</v>
      </c>
      <c r="I185" s="58">
        <f>SUM(I175:I184)</f>
        <v>3767231.2371867998</v>
      </c>
      <c r="J185" s="58">
        <f>SUM(J175:J184)</f>
        <v>5193075.4490423007</v>
      </c>
      <c r="K185" s="57">
        <f>I185/J185*100</f>
        <v>72.543356516831409</v>
      </c>
      <c r="L185" s="58">
        <f>SUM(L175:L184)</f>
        <v>2841592.0931349001</v>
      </c>
      <c r="M185" s="56">
        <f>SUM(M175:M184)</f>
        <v>3811290.8078569998</v>
      </c>
      <c r="N185" s="57">
        <f>L185/M185*100</f>
        <v>74.557210047497307</v>
      </c>
      <c r="O185" s="58">
        <f>SUM(O175:O184)</f>
        <v>607</v>
      </c>
      <c r="P185" s="57">
        <f>R185/O185</f>
        <v>80.116968698517297</v>
      </c>
      <c r="Q185" s="58">
        <f>SUM(Q175:Q184)</f>
        <v>521</v>
      </c>
      <c r="R185" s="59">
        <f>SUM(R175:R184)</f>
        <v>48631</v>
      </c>
    </row>
    <row r="186" spans="1:18" x14ac:dyDescent="0.25">
      <c r="A186" s="117"/>
      <c r="B186" s="117"/>
      <c r="C186" s="98"/>
      <c r="D186" s="98"/>
      <c r="E186" s="97"/>
      <c r="F186" s="118"/>
      <c r="G186" s="118"/>
      <c r="H186" s="97"/>
      <c r="I186" s="163"/>
      <c r="J186" s="163"/>
      <c r="K186" s="119"/>
      <c r="L186" s="163"/>
      <c r="M186" s="163"/>
      <c r="N186" s="163"/>
      <c r="O186" s="163"/>
      <c r="P186" s="62"/>
      <c r="Q186" s="166"/>
      <c r="R186" s="31"/>
    </row>
    <row r="187" spans="1:18" x14ac:dyDescent="0.25">
      <c r="A187" s="321" t="s">
        <v>151</v>
      </c>
      <c r="B187" s="322"/>
      <c r="C187" s="37">
        <v>3</v>
      </c>
      <c r="D187" s="37">
        <v>4</v>
      </c>
      <c r="E187" s="160">
        <v>5</v>
      </c>
      <c r="F187" s="37">
        <v>6</v>
      </c>
      <c r="G187" s="37">
        <v>7</v>
      </c>
      <c r="H187" s="37">
        <v>8</v>
      </c>
      <c r="I187" s="37">
        <v>9</v>
      </c>
      <c r="J187" s="37">
        <v>10</v>
      </c>
      <c r="K187" s="37">
        <v>11</v>
      </c>
      <c r="L187" s="37">
        <v>12</v>
      </c>
      <c r="M187" s="37">
        <v>13</v>
      </c>
      <c r="N187" s="37">
        <v>14</v>
      </c>
      <c r="O187" s="37">
        <v>15</v>
      </c>
      <c r="P187" s="160">
        <v>16</v>
      </c>
      <c r="Q187" s="37">
        <v>15</v>
      </c>
      <c r="R187" s="31"/>
    </row>
    <row r="188" spans="1:18" x14ac:dyDescent="0.25">
      <c r="A188" s="118">
        <v>1</v>
      </c>
      <c r="B188" s="120" t="s">
        <v>152</v>
      </c>
      <c r="C188" s="76">
        <v>389090.5</v>
      </c>
      <c r="D188" s="76">
        <v>311049.90000000002</v>
      </c>
      <c r="E188" s="97">
        <f t="shared" ref="E188:E199" si="81">C188/D188*100</f>
        <v>125.08941491381285</v>
      </c>
      <c r="F188" s="76">
        <v>64473.8</v>
      </c>
      <c r="G188" s="76">
        <v>54003.7</v>
      </c>
      <c r="H188" s="97">
        <f t="shared" ref="H188:H199" si="82">F188/G188*100</f>
        <v>119.38774565446444</v>
      </c>
      <c r="I188" s="76">
        <v>274555.3</v>
      </c>
      <c r="J188" s="76">
        <v>301505</v>
      </c>
      <c r="K188" s="97">
        <f t="shared" ref="K188:K198" si="83">IF(OR(I188=0,J188=0),0,I188/J188*100)</f>
        <v>91.061607601863983</v>
      </c>
      <c r="L188" s="76">
        <v>0</v>
      </c>
      <c r="M188" s="76">
        <v>0</v>
      </c>
      <c r="N188" s="97">
        <f t="shared" ref="N188:N198" si="84">IF(OR(L188=0,M188=0),0,L188/M188*100)</f>
        <v>0</v>
      </c>
      <c r="O188" s="76">
        <v>333</v>
      </c>
      <c r="P188" s="76">
        <v>255.4</v>
      </c>
      <c r="Q188" s="76">
        <v>321</v>
      </c>
      <c r="R188" s="45">
        <f t="shared" ref="R188:R195" si="85">Q188*P188</f>
        <v>81983.400000000009</v>
      </c>
    </row>
    <row r="189" spans="1:18" x14ac:dyDescent="0.25">
      <c r="A189" s="118">
        <v>2</v>
      </c>
      <c r="B189" s="120" t="s">
        <v>154</v>
      </c>
      <c r="C189" s="76">
        <v>37956</v>
      </c>
      <c r="D189" s="76">
        <v>369804</v>
      </c>
      <c r="E189" s="97">
        <f t="shared" si="81"/>
        <v>10.263815426550281</v>
      </c>
      <c r="F189" s="76">
        <v>9246</v>
      </c>
      <c r="G189" s="76">
        <v>66357</v>
      </c>
      <c r="H189" s="97">
        <f t="shared" si="82"/>
        <v>13.93372213933722</v>
      </c>
      <c r="I189" s="76">
        <v>61839</v>
      </c>
      <c r="J189" s="76">
        <v>345156</v>
      </c>
      <c r="K189" s="97">
        <f t="shared" si="83"/>
        <v>17.916246566769807</v>
      </c>
      <c r="L189" s="76">
        <v>61839</v>
      </c>
      <c r="M189" s="76">
        <v>345156</v>
      </c>
      <c r="N189" s="97">
        <f t="shared" si="84"/>
        <v>17.916246566769807</v>
      </c>
      <c r="O189" s="76">
        <v>49</v>
      </c>
      <c r="P189" s="76">
        <v>121</v>
      </c>
      <c r="Q189" s="76">
        <v>50</v>
      </c>
      <c r="R189" s="45">
        <f t="shared" si="85"/>
        <v>6050</v>
      </c>
    </row>
    <row r="190" spans="1:18" x14ac:dyDescent="0.25">
      <c r="A190" s="118">
        <v>3</v>
      </c>
      <c r="B190" s="120" t="s">
        <v>155</v>
      </c>
      <c r="C190" s="76">
        <v>5689</v>
      </c>
      <c r="D190" s="76">
        <v>4386</v>
      </c>
      <c r="E190" s="97">
        <f t="shared" si="81"/>
        <v>129.70816233470131</v>
      </c>
      <c r="F190" s="76">
        <v>950</v>
      </c>
      <c r="G190" s="76">
        <v>794</v>
      </c>
      <c r="H190" s="97">
        <f t="shared" si="82"/>
        <v>119.64735516372795</v>
      </c>
      <c r="I190" s="76">
        <v>2758</v>
      </c>
      <c r="J190" s="76">
        <v>4386</v>
      </c>
      <c r="K190" s="97">
        <f t="shared" si="83"/>
        <v>62.881896944824447</v>
      </c>
      <c r="L190" s="76">
        <v>0</v>
      </c>
      <c r="M190" s="76">
        <v>0</v>
      </c>
      <c r="N190" s="97">
        <f t="shared" si="84"/>
        <v>0</v>
      </c>
      <c r="O190" s="76">
        <v>29</v>
      </c>
      <c r="P190" s="76">
        <v>40</v>
      </c>
      <c r="Q190" s="76">
        <v>28</v>
      </c>
      <c r="R190" s="45">
        <f t="shared" si="85"/>
        <v>1120</v>
      </c>
    </row>
    <row r="191" spans="1:18" ht="36" x14ac:dyDescent="0.25">
      <c r="A191" s="118">
        <v>4</v>
      </c>
      <c r="B191" s="121" t="s">
        <v>156</v>
      </c>
      <c r="C191" s="76">
        <v>52676</v>
      </c>
      <c r="D191" s="76">
        <v>49620</v>
      </c>
      <c r="E191" s="97">
        <f t="shared" si="81"/>
        <v>106.15880693268845</v>
      </c>
      <c r="F191" s="76">
        <v>11891</v>
      </c>
      <c r="G191" s="76">
        <v>11103</v>
      </c>
      <c r="H191" s="97">
        <f t="shared" si="82"/>
        <v>107.09718094208773</v>
      </c>
      <c r="I191" s="76">
        <v>0</v>
      </c>
      <c r="J191" s="76">
        <v>0</v>
      </c>
      <c r="K191" s="97">
        <f t="shared" si="83"/>
        <v>0</v>
      </c>
      <c r="L191" s="76">
        <v>0</v>
      </c>
      <c r="M191" s="76">
        <v>0</v>
      </c>
      <c r="N191" s="97">
        <f t="shared" si="84"/>
        <v>0</v>
      </c>
      <c r="O191" s="76">
        <v>86</v>
      </c>
      <c r="P191" s="76">
        <v>82</v>
      </c>
      <c r="Q191" s="76">
        <v>87</v>
      </c>
      <c r="R191" s="45">
        <f t="shared" si="85"/>
        <v>7134</v>
      </c>
    </row>
    <row r="192" spans="1:18" x14ac:dyDescent="0.25">
      <c r="A192" s="118">
        <v>5</v>
      </c>
      <c r="B192" s="122" t="s">
        <v>157</v>
      </c>
      <c r="C192" s="76">
        <v>451</v>
      </c>
      <c r="D192" s="76">
        <v>83</v>
      </c>
      <c r="E192" s="97">
        <v>0</v>
      </c>
      <c r="F192" s="76">
        <v>104</v>
      </c>
      <c r="G192" s="76">
        <v>83</v>
      </c>
      <c r="H192" s="97">
        <v>0</v>
      </c>
      <c r="I192" s="76">
        <v>451</v>
      </c>
      <c r="J192" s="76">
        <v>83</v>
      </c>
      <c r="K192" s="97">
        <f t="shared" si="83"/>
        <v>543.37349397590367</v>
      </c>
      <c r="L192" s="76">
        <v>0</v>
      </c>
      <c r="M192" s="76">
        <v>0</v>
      </c>
      <c r="N192" s="97">
        <f t="shared" si="84"/>
        <v>0</v>
      </c>
      <c r="O192" s="76">
        <v>31</v>
      </c>
      <c r="P192" s="76">
        <v>15.9</v>
      </c>
      <c r="Q192" s="76">
        <v>32</v>
      </c>
      <c r="R192" s="45">
        <f t="shared" si="85"/>
        <v>508.8</v>
      </c>
    </row>
    <row r="193" spans="1:18" x14ac:dyDescent="0.25">
      <c r="A193" s="118">
        <v>6</v>
      </c>
      <c r="B193" s="120" t="s">
        <v>158</v>
      </c>
      <c r="C193" s="76">
        <v>5374</v>
      </c>
      <c r="D193" s="76">
        <v>7836</v>
      </c>
      <c r="E193" s="97">
        <f t="shared" si="81"/>
        <v>68.58090862685043</v>
      </c>
      <c r="F193" s="76">
        <v>748</v>
      </c>
      <c r="G193" s="76">
        <v>896</v>
      </c>
      <c r="H193" s="97">
        <f t="shared" si="82"/>
        <v>83.482142857142861</v>
      </c>
      <c r="I193" s="76">
        <v>0</v>
      </c>
      <c r="J193" s="76">
        <v>0</v>
      </c>
      <c r="K193" s="97">
        <f t="shared" si="83"/>
        <v>0</v>
      </c>
      <c r="L193" s="76">
        <v>0</v>
      </c>
      <c r="M193" s="76">
        <v>0</v>
      </c>
      <c r="N193" s="97">
        <f t="shared" si="84"/>
        <v>0</v>
      </c>
      <c r="O193" s="76">
        <v>19</v>
      </c>
      <c r="P193" s="76">
        <v>34</v>
      </c>
      <c r="Q193" s="76">
        <v>19</v>
      </c>
      <c r="R193" s="45">
        <f t="shared" si="85"/>
        <v>646</v>
      </c>
    </row>
    <row r="194" spans="1:18" x14ac:dyDescent="0.25">
      <c r="A194" s="118">
        <v>7</v>
      </c>
      <c r="B194" s="120" t="s">
        <v>159</v>
      </c>
      <c r="C194" s="76">
        <v>24571</v>
      </c>
      <c r="D194" s="76">
        <v>29781</v>
      </c>
      <c r="E194" s="97">
        <f t="shared" si="81"/>
        <v>82.505624391390484</v>
      </c>
      <c r="F194" s="76">
        <v>5804</v>
      </c>
      <c r="G194" s="76">
        <v>7575</v>
      </c>
      <c r="H194" s="97">
        <f t="shared" si="82"/>
        <v>76.620462046204622</v>
      </c>
      <c r="I194" s="76">
        <v>24571</v>
      </c>
      <c r="J194" s="76">
        <v>29781</v>
      </c>
      <c r="K194" s="97">
        <f t="shared" si="83"/>
        <v>82.505624391390484</v>
      </c>
      <c r="L194" s="76">
        <v>0</v>
      </c>
      <c r="M194" s="76">
        <v>0</v>
      </c>
      <c r="N194" s="97">
        <f t="shared" si="84"/>
        <v>0</v>
      </c>
      <c r="O194" s="76">
        <v>84</v>
      </c>
      <c r="P194" s="76">
        <v>54</v>
      </c>
      <c r="Q194" s="76">
        <v>84</v>
      </c>
      <c r="R194" s="45">
        <f t="shared" si="85"/>
        <v>4536</v>
      </c>
    </row>
    <row r="195" spans="1:18" x14ac:dyDescent="0.25">
      <c r="A195" s="118">
        <v>8</v>
      </c>
      <c r="B195" s="120" t="s">
        <v>160</v>
      </c>
      <c r="C195" s="76">
        <v>4794</v>
      </c>
      <c r="D195" s="76">
        <v>1980</v>
      </c>
      <c r="E195" s="97">
        <f t="shared" si="81"/>
        <v>242.12121212121212</v>
      </c>
      <c r="F195" s="76">
        <v>750</v>
      </c>
      <c r="G195" s="76">
        <v>450</v>
      </c>
      <c r="H195" s="97">
        <f t="shared" si="82"/>
        <v>166.66666666666669</v>
      </c>
      <c r="I195" s="76">
        <v>0</v>
      </c>
      <c r="J195" s="76">
        <v>0</v>
      </c>
      <c r="K195" s="97">
        <f t="shared" si="83"/>
        <v>0</v>
      </c>
      <c r="L195" s="76">
        <v>0</v>
      </c>
      <c r="M195" s="76">
        <v>0</v>
      </c>
      <c r="N195" s="97">
        <f t="shared" si="84"/>
        <v>0</v>
      </c>
      <c r="O195" s="76">
        <v>12</v>
      </c>
      <c r="P195" s="76">
        <v>52.5</v>
      </c>
      <c r="Q195" s="76">
        <v>13</v>
      </c>
      <c r="R195" s="45">
        <f t="shared" si="85"/>
        <v>682.5</v>
      </c>
    </row>
    <row r="196" spans="1:18" x14ac:dyDescent="0.25">
      <c r="A196" s="118">
        <v>9</v>
      </c>
      <c r="B196" s="120" t="s">
        <v>161</v>
      </c>
      <c r="C196" s="76">
        <v>25863</v>
      </c>
      <c r="D196" s="76">
        <v>29596</v>
      </c>
      <c r="E196" s="97">
        <f t="shared" si="81"/>
        <v>87.386809028247058</v>
      </c>
      <c r="F196" s="76">
        <v>5136</v>
      </c>
      <c r="G196" s="76">
        <v>5769</v>
      </c>
      <c r="H196" s="97">
        <f t="shared" si="82"/>
        <v>89.027561102444096</v>
      </c>
      <c r="I196" s="76">
        <v>4575</v>
      </c>
      <c r="J196" s="76">
        <v>1000</v>
      </c>
      <c r="K196" s="97">
        <f t="shared" si="83"/>
        <v>457.5</v>
      </c>
      <c r="L196" s="76">
        <v>0</v>
      </c>
      <c r="M196" s="76">
        <v>0</v>
      </c>
      <c r="N196" s="97">
        <v>0</v>
      </c>
      <c r="O196" s="76">
        <v>23</v>
      </c>
      <c r="P196" s="76">
        <v>91</v>
      </c>
      <c r="Q196" s="76">
        <v>23</v>
      </c>
      <c r="R196" s="45"/>
    </row>
    <row r="197" spans="1:18" x14ac:dyDescent="0.25">
      <c r="A197" s="118">
        <v>10</v>
      </c>
      <c r="B197" s="120" t="s">
        <v>162</v>
      </c>
      <c r="C197" s="76">
        <v>8593</v>
      </c>
      <c r="D197" s="76">
        <v>9041</v>
      </c>
      <c r="E197" s="97">
        <f t="shared" si="81"/>
        <v>95.044795929653802</v>
      </c>
      <c r="F197" s="76">
        <v>1857</v>
      </c>
      <c r="G197" s="76">
        <v>4073</v>
      </c>
      <c r="H197" s="97">
        <f t="shared" si="82"/>
        <v>45.592929044930024</v>
      </c>
      <c r="I197" s="76">
        <v>8593</v>
      </c>
      <c r="J197" s="76">
        <v>9041</v>
      </c>
      <c r="K197" s="97">
        <f t="shared" si="83"/>
        <v>95.044795929653802</v>
      </c>
      <c r="L197" s="76">
        <v>0</v>
      </c>
      <c r="M197" s="76">
        <v>0</v>
      </c>
      <c r="N197" s="97">
        <f t="shared" si="84"/>
        <v>0</v>
      </c>
      <c r="O197" s="76">
        <v>29</v>
      </c>
      <c r="P197" s="76">
        <v>55.6</v>
      </c>
      <c r="Q197" s="76">
        <v>30</v>
      </c>
      <c r="R197" s="45">
        <f>Q197*P197</f>
        <v>1668</v>
      </c>
    </row>
    <row r="198" spans="1:18" x14ac:dyDescent="0.25">
      <c r="A198" s="118">
        <v>11</v>
      </c>
      <c r="B198" s="123" t="s">
        <v>163</v>
      </c>
      <c r="C198" s="76">
        <v>1900</v>
      </c>
      <c r="D198" s="76">
        <v>2195</v>
      </c>
      <c r="E198" s="97">
        <f t="shared" si="81"/>
        <v>86.560364464692483</v>
      </c>
      <c r="F198" s="76">
        <v>1359.5</v>
      </c>
      <c r="G198" s="76">
        <v>440</v>
      </c>
      <c r="H198" s="97">
        <f t="shared" si="82"/>
        <v>308.97727272727275</v>
      </c>
      <c r="I198" s="76">
        <v>2227.5</v>
      </c>
      <c r="J198" s="76">
        <v>2270</v>
      </c>
      <c r="K198" s="97">
        <f t="shared" si="83"/>
        <v>98.127753303964766</v>
      </c>
      <c r="L198" s="76">
        <v>499</v>
      </c>
      <c r="M198" s="76">
        <v>803</v>
      </c>
      <c r="N198" s="97">
        <f t="shared" si="84"/>
        <v>62.141967621419681</v>
      </c>
      <c r="O198" s="76">
        <v>26</v>
      </c>
      <c r="P198" s="76">
        <v>51</v>
      </c>
      <c r="Q198" s="76">
        <v>26</v>
      </c>
      <c r="R198" s="45">
        <f>Q198*P198</f>
        <v>1326</v>
      </c>
    </row>
    <row r="199" spans="1:18" s="60" customFormat="1" x14ac:dyDescent="0.25">
      <c r="A199" s="315" t="s">
        <v>173</v>
      </c>
      <c r="B199" s="315" t="s">
        <v>139</v>
      </c>
      <c r="C199" s="124">
        <f>SUM(C188:C198)</f>
        <v>556957.5</v>
      </c>
      <c r="D199" s="124">
        <f>SUM(D188:D198)</f>
        <v>815371.9</v>
      </c>
      <c r="E199" s="57">
        <f t="shared" si="81"/>
        <v>68.30717369583131</v>
      </c>
      <c r="F199" s="124">
        <f>SUM(F188:F198)</f>
        <v>102319.3</v>
      </c>
      <c r="G199" s="124">
        <f>SUM(G188:G198)</f>
        <v>151543.70000000001</v>
      </c>
      <c r="H199" s="57">
        <f t="shared" si="82"/>
        <v>67.518016255377162</v>
      </c>
      <c r="I199" s="124">
        <f>SUM(I188:I198)</f>
        <v>379569.8</v>
      </c>
      <c r="J199" s="124">
        <f>SUM(J188:J198)</f>
        <v>693222</v>
      </c>
      <c r="K199" s="57">
        <f>I199/J199*100</f>
        <v>54.754436529711981</v>
      </c>
      <c r="L199" s="124">
        <f>SUM(L188:L198)</f>
        <v>62338</v>
      </c>
      <c r="M199" s="124">
        <f>SUM(M188:M198)</f>
        <v>345959</v>
      </c>
      <c r="N199" s="57">
        <f>L199/M199*100</f>
        <v>18.018898193138494</v>
      </c>
      <c r="O199" s="124">
        <f>SUM(O188:O198)</f>
        <v>721</v>
      </c>
      <c r="P199" s="57">
        <f>R199/O199</f>
        <v>146.53911234396674</v>
      </c>
      <c r="Q199" s="124">
        <f>SUM(Q188:Q198)</f>
        <v>713</v>
      </c>
      <c r="R199" s="59">
        <f>SUM(R188:R198)</f>
        <v>105654.70000000001</v>
      </c>
    </row>
    <row r="200" spans="1:18" x14ac:dyDescent="0.25">
      <c r="A200" s="125"/>
      <c r="B200" s="37"/>
      <c r="C200" s="125"/>
      <c r="D200" s="125"/>
      <c r="E200" s="125"/>
      <c r="F200" s="125"/>
      <c r="G200" s="125"/>
      <c r="H200" s="125"/>
      <c r="I200" s="125"/>
      <c r="J200" s="125"/>
      <c r="K200" s="125"/>
      <c r="L200" s="125"/>
      <c r="M200" s="125"/>
      <c r="N200" s="125"/>
      <c r="O200" s="125"/>
      <c r="P200" s="125"/>
      <c r="Q200" s="125"/>
      <c r="R200" s="126"/>
    </row>
    <row r="201" spans="1:18" x14ac:dyDescent="0.25">
      <c r="A201" s="323" t="s">
        <v>22</v>
      </c>
      <c r="B201" s="324"/>
      <c r="C201" s="37">
        <v>3</v>
      </c>
      <c r="D201" s="37">
        <v>4</v>
      </c>
      <c r="E201" s="160">
        <v>5</v>
      </c>
      <c r="F201" s="37">
        <v>6</v>
      </c>
      <c r="G201" s="37">
        <v>7</v>
      </c>
      <c r="H201" s="37">
        <v>8</v>
      </c>
      <c r="I201" s="37">
        <v>9</v>
      </c>
      <c r="J201" s="37">
        <v>10</v>
      </c>
      <c r="K201" s="37">
        <v>11</v>
      </c>
      <c r="L201" s="37">
        <v>12</v>
      </c>
      <c r="M201" s="37">
        <v>13</v>
      </c>
      <c r="N201" s="37">
        <v>14</v>
      </c>
      <c r="O201" s="37">
        <v>15</v>
      </c>
      <c r="P201" s="160">
        <v>16</v>
      </c>
      <c r="Q201" s="37">
        <v>15</v>
      </c>
      <c r="R201" s="23"/>
    </row>
    <row r="202" spans="1:18" x14ac:dyDescent="0.25">
      <c r="A202" s="96">
        <v>1</v>
      </c>
      <c r="B202" s="127" t="s">
        <v>164</v>
      </c>
      <c r="C202" s="49">
        <v>33844</v>
      </c>
      <c r="D202" s="49">
        <v>55460</v>
      </c>
      <c r="E202" s="119">
        <f t="shared" ref="E202" si="86">C202/D202*100</f>
        <v>61.024161557879552</v>
      </c>
      <c r="F202" s="49">
        <v>12156</v>
      </c>
      <c r="G202" s="49">
        <v>21161</v>
      </c>
      <c r="H202" s="119">
        <f t="shared" ref="H202:H203" si="87">F202/G202*100</f>
        <v>57.445300316620198</v>
      </c>
      <c r="I202" s="49">
        <v>33844</v>
      </c>
      <c r="J202" s="49">
        <v>52460</v>
      </c>
      <c r="K202" s="119">
        <f t="shared" ref="K202:K203" si="88">I202/J202*100</f>
        <v>64.513915364086927</v>
      </c>
      <c r="L202" s="49">
        <v>33844</v>
      </c>
      <c r="M202" s="49">
        <v>52460</v>
      </c>
      <c r="N202" s="47">
        <f t="shared" ref="N202" si="89">L202/M202*100</f>
        <v>64.513915364086927</v>
      </c>
      <c r="O202" s="34">
        <v>50</v>
      </c>
      <c r="P202" s="96">
        <v>49</v>
      </c>
      <c r="Q202" s="34">
        <v>47</v>
      </c>
      <c r="R202" s="45">
        <f>Q202*P202</f>
        <v>2303</v>
      </c>
    </row>
    <row r="203" spans="1:18" x14ac:dyDescent="0.25">
      <c r="A203" s="96">
        <v>2</v>
      </c>
      <c r="B203" s="127" t="s">
        <v>165</v>
      </c>
      <c r="C203" s="49">
        <v>9556</v>
      </c>
      <c r="D203" s="49">
        <v>54798</v>
      </c>
      <c r="E203" s="119">
        <v>0</v>
      </c>
      <c r="F203" s="49">
        <v>9441</v>
      </c>
      <c r="G203" s="49">
        <v>9056</v>
      </c>
      <c r="H203" s="119">
        <f t="shared" si="87"/>
        <v>104.25132508833923</v>
      </c>
      <c r="I203" s="49">
        <v>9556</v>
      </c>
      <c r="J203" s="49">
        <v>52501</v>
      </c>
      <c r="K203" s="119">
        <f t="shared" si="88"/>
        <v>18.201558065560654</v>
      </c>
      <c r="L203" s="49">
        <v>0</v>
      </c>
      <c r="M203" s="49">
        <v>0</v>
      </c>
      <c r="N203" s="47">
        <v>0</v>
      </c>
      <c r="O203" s="34">
        <v>189</v>
      </c>
      <c r="P203" s="96">
        <v>65</v>
      </c>
      <c r="Q203" s="34">
        <v>190</v>
      </c>
      <c r="R203" s="45">
        <f>Q203*P203</f>
        <v>12350</v>
      </c>
    </row>
    <row r="204" spans="1:18" s="60" customFormat="1" x14ac:dyDescent="0.25">
      <c r="A204" s="315" t="s">
        <v>173</v>
      </c>
      <c r="B204" s="315" t="s">
        <v>139</v>
      </c>
      <c r="C204" s="56">
        <f>SUM(C202:C203)</f>
        <v>43400</v>
      </c>
      <c r="D204" s="56">
        <f>SUM(D202:D203)</f>
        <v>110258</v>
      </c>
      <c r="E204" s="57">
        <f>C204/D204*100</f>
        <v>39.362223149340636</v>
      </c>
      <c r="F204" s="56">
        <f>SUM(F202:F203)</f>
        <v>21597</v>
      </c>
      <c r="G204" s="56">
        <f>SUM(G202:G203)</f>
        <v>30217</v>
      </c>
      <c r="H204" s="57">
        <f>F204/G204*100</f>
        <v>71.473011880729388</v>
      </c>
      <c r="I204" s="57">
        <f>SUM(I202:I203)</f>
        <v>43400</v>
      </c>
      <c r="J204" s="56">
        <f>SUM(J202:J203)</f>
        <v>104961</v>
      </c>
      <c r="K204" s="57">
        <f>I204/J204*100</f>
        <v>41.348691418717429</v>
      </c>
      <c r="L204" s="58">
        <f>SUM(L202:L203)</f>
        <v>33844</v>
      </c>
      <c r="M204" s="56">
        <f>SUM(M202:M203)</f>
        <v>52460</v>
      </c>
      <c r="N204" s="57">
        <f>L204/M204*100</f>
        <v>64.513915364086927</v>
      </c>
      <c r="O204" s="58">
        <f>SUM(O202:O203)</f>
        <v>239</v>
      </c>
      <c r="P204" s="58">
        <f>R204/O204</f>
        <v>61.30962343096234</v>
      </c>
      <c r="Q204" s="58">
        <f>SUM(Q202:Q203)</f>
        <v>237</v>
      </c>
      <c r="R204" s="59">
        <f>SUM(R202:R203)</f>
        <v>14653</v>
      </c>
    </row>
    <row r="205" spans="1:18" x14ac:dyDescent="0.25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6"/>
    </row>
    <row r="206" spans="1:18" x14ac:dyDescent="0.25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6"/>
    </row>
    <row r="207" spans="1:18" x14ac:dyDescent="0.25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6"/>
    </row>
    <row r="208" spans="1:18" x14ac:dyDescent="0.25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6"/>
    </row>
    <row r="209" spans="1:22" x14ac:dyDescent="0.25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6"/>
    </row>
    <row r="210" spans="1:22" x14ac:dyDescent="0.25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6"/>
    </row>
    <row r="211" spans="1:22" x14ac:dyDescent="0.25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6"/>
    </row>
    <row r="212" spans="1:22" x14ac:dyDescent="0.25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</row>
    <row r="213" spans="1:22" x14ac:dyDescent="0.25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</row>
    <row r="214" spans="1:22" x14ac:dyDescent="0.25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</row>
    <row r="215" spans="1:22" x14ac:dyDescent="0.25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</row>
    <row r="216" spans="1:22" x14ac:dyDescent="0.25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</row>
    <row r="217" spans="1:22" x14ac:dyDescent="0.25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</row>
    <row r="218" spans="1:22" x14ac:dyDescent="0.25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</row>
    <row r="219" spans="1:22" x14ac:dyDescent="0.25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</row>
    <row r="220" spans="1:22" x14ac:dyDescent="0.25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</row>
    <row r="221" spans="1:22" x14ac:dyDescent="0.25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</row>
    <row r="222" spans="1:22" x14ac:dyDescent="0.25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</row>
    <row r="223" spans="1:22" x14ac:dyDescent="0.25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</row>
    <row r="224" spans="1:22" x14ac:dyDescent="0.25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</row>
    <row r="225" spans="1:22" x14ac:dyDescent="0.25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</row>
    <row r="226" spans="1:22" x14ac:dyDescent="0.25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</row>
    <row r="227" spans="1:22" x14ac:dyDescent="0.25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</row>
    <row r="228" spans="1:22" x14ac:dyDescent="0.25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</row>
    <row r="229" spans="1:22" x14ac:dyDescent="0.25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</row>
    <row r="230" spans="1:22" x14ac:dyDescent="0.25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</row>
    <row r="231" spans="1:22" x14ac:dyDescent="0.25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</row>
    <row r="232" spans="1:22" x14ac:dyDescent="0.25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</row>
    <row r="233" spans="1:22" x14ac:dyDescent="0.25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</row>
    <row r="234" spans="1:22" x14ac:dyDescent="0.25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</row>
    <row r="235" spans="1:22" x14ac:dyDescent="0.25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</row>
    <row r="236" spans="1:22" x14ac:dyDescent="0.25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</row>
    <row r="237" spans="1:22" x14ac:dyDescent="0.25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</row>
    <row r="238" spans="1:22" x14ac:dyDescent="0.25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</row>
    <row r="239" spans="1:22" x14ac:dyDescent="0.25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</row>
    <row r="240" spans="1:22" x14ac:dyDescent="0.25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</row>
    <row r="241" spans="1:22" x14ac:dyDescent="0.25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</row>
    <row r="242" spans="1:22" x14ac:dyDescent="0.25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</row>
    <row r="243" spans="1:22" x14ac:dyDescent="0.25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</row>
    <row r="244" spans="1:22" x14ac:dyDescent="0.25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</row>
    <row r="245" spans="1:22" x14ac:dyDescent="0.25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</row>
    <row r="246" spans="1:22" x14ac:dyDescent="0.25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</row>
    <row r="247" spans="1:22" x14ac:dyDescent="0.25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</row>
    <row r="248" spans="1:22" x14ac:dyDescent="0.25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</row>
    <row r="249" spans="1:22" x14ac:dyDescent="0.25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</row>
    <row r="250" spans="1:22" x14ac:dyDescent="0.25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</row>
    <row r="251" spans="1:22" x14ac:dyDescent="0.25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</row>
    <row r="252" spans="1:22" x14ac:dyDescent="0.25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</row>
    <row r="253" spans="1:22" x14ac:dyDescent="0.25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</row>
    <row r="254" spans="1:22" x14ac:dyDescent="0.25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</row>
    <row r="255" spans="1:22" x14ac:dyDescent="0.25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</row>
    <row r="256" spans="1:22" x14ac:dyDescent="0.25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</row>
    <row r="257" spans="1:22" x14ac:dyDescent="0.25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</row>
    <row r="258" spans="1:22" x14ac:dyDescent="0.25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</row>
    <row r="259" spans="1:22" s="18" customFormat="1" x14ac:dyDescent="0.25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</row>
    <row r="260" spans="1:22" s="18" customFormat="1" x14ac:dyDescent="0.25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</row>
    <row r="261" spans="1:22" s="18" customFormat="1" x14ac:dyDescent="0.25"/>
    <row r="262" spans="1:22" s="18" customFormat="1" x14ac:dyDescent="0.25"/>
    <row r="263" spans="1:22" s="18" customFormat="1" x14ac:dyDescent="0.25"/>
    <row r="264" spans="1:22" s="18" customFormat="1" x14ac:dyDescent="0.25"/>
    <row r="265" spans="1:22" s="18" customFormat="1" x14ac:dyDescent="0.25"/>
    <row r="266" spans="1:22" s="18" customFormat="1" x14ac:dyDescent="0.25"/>
    <row r="267" spans="1:22" s="18" customFormat="1" x14ac:dyDescent="0.25"/>
    <row r="268" spans="1:22" s="18" customFormat="1" x14ac:dyDescent="0.25"/>
    <row r="269" spans="1:22" s="18" customFormat="1" x14ac:dyDescent="0.25"/>
    <row r="270" spans="1:22" s="18" customFormat="1" x14ac:dyDescent="0.25"/>
    <row r="271" spans="1:22" s="18" customFormat="1" x14ac:dyDescent="0.25"/>
    <row r="272" spans="1:2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</sheetData>
  <mergeCells count="54">
    <mergeCell ref="A199:B199"/>
    <mergeCell ref="A201:B201"/>
    <mergeCell ref="A204:B204"/>
    <mergeCell ref="D173:F173"/>
    <mergeCell ref="J173:L173"/>
    <mergeCell ref="A187:B187"/>
    <mergeCell ref="A185:B185"/>
    <mergeCell ref="A171:B171"/>
    <mergeCell ref="A99:B99"/>
    <mergeCell ref="A101:B101"/>
    <mergeCell ref="A174:B174"/>
    <mergeCell ref="A127:B127"/>
    <mergeCell ref="A129:B129"/>
    <mergeCell ref="A133:B133"/>
    <mergeCell ref="A143:B143"/>
    <mergeCell ref="A147:B147"/>
    <mergeCell ref="A163:B163"/>
    <mergeCell ref="Q40:Q41"/>
    <mergeCell ref="P40:P41"/>
    <mergeCell ref="A84:B84"/>
    <mergeCell ref="A85:B85"/>
    <mergeCell ref="A87:B87"/>
    <mergeCell ref="A75:B75"/>
    <mergeCell ref="A43:B43"/>
    <mergeCell ref="A61:B61"/>
    <mergeCell ref="A63:B63"/>
    <mergeCell ref="A73:B73"/>
    <mergeCell ref="O40:O41"/>
    <mergeCell ref="A40:A41"/>
    <mergeCell ref="B40:B41"/>
    <mergeCell ref="C40:G40"/>
    <mergeCell ref="H40:K40"/>
    <mergeCell ref="A37:Q39"/>
    <mergeCell ref="D6:D10"/>
    <mergeCell ref="E6:E10"/>
    <mergeCell ref="F6:F10"/>
    <mergeCell ref="G6:G10"/>
    <mergeCell ref="H6:H10"/>
    <mergeCell ref="I6:I10"/>
    <mergeCell ref="J6:J10"/>
    <mergeCell ref="K6:K10"/>
    <mergeCell ref="L6:L10"/>
    <mergeCell ref="M6:M10"/>
    <mergeCell ref="N6:N10"/>
    <mergeCell ref="A3:Q4"/>
    <mergeCell ref="A5:A10"/>
    <mergeCell ref="B5:B10"/>
    <mergeCell ref="C5:H5"/>
    <mergeCell ref="I5:K5"/>
    <mergeCell ref="L5:N5"/>
    <mergeCell ref="O5:O10"/>
    <mergeCell ref="P5:P10"/>
    <mergeCell ref="Q5:Q10"/>
    <mergeCell ref="C6:C10"/>
  </mergeCells>
  <pageMargins left="0.16" right="0.2" top="0.75" bottom="0.75" header="0.3" footer="0.3"/>
  <pageSetup paperSize="9" scale="8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M277"/>
  <sheetViews>
    <sheetView topLeftCell="A80" workbookViewId="0">
      <selection activeCell="C180" sqref="C180"/>
    </sheetView>
  </sheetViews>
  <sheetFormatPr defaultRowHeight="15" x14ac:dyDescent="0.25"/>
  <cols>
    <col min="1" max="1" width="3.28515625" customWidth="1"/>
    <col min="2" max="2" width="29.28515625" customWidth="1"/>
    <col min="3" max="3" width="11.42578125" customWidth="1"/>
    <col min="4" max="4" width="11.5703125" customWidth="1"/>
    <col min="5" max="5" width="6.5703125" customWidth="1"/>
    <col min="6" max="6" width="10.140625" customWidth="1"/>
    <col min="7" max="7" width="10.28515625" customWidth="1"/>
    <col min="8" max="8" width="7.140625" customWidth="1"/>
    <col min="9" max="9" width="11.28515625" customWidth="1"/>
    <col min="10" max="10" width="11.42578125" customWidth="1"/>
    <col min="11" max="11" width="6.28515625" customWidth="1"/>
    <col min="12" max="12" width="11.28515625" customWidth="1"/>
    <col min="13" max="13" width="11.42578125" customWidth="1"/>
    <col min="14" max="14" width="7" customWidth="1"/>
    <col min="15" max="15" width="7.28515625" customWidth="1"/>
    <col min="16" max="16" width="6.5703125" customWidth="1"/>
    <col min="17" max="17" width="6.7109375" customWidth="1"/>
    <col min="18" max="18" width="10.28515625" customWidth="1"/>
  </cols>
  <sheetData>
    <row r="3" spans="1:18" x14ac:dyDescent="0.25">
      <c r="A3" s="337" t="s">
        <v>200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</row>
    <row r="4" spans="1:18" x14ac:dyDescent="0.25">
      <c r="A4" s="338"/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1"/>
    </row>
    <row r="5" spans="1:18" x14ac:dyDescent="0.25">
      <c r="A5" s="339" t="s">
        <v>0</v>
      </c>
      <c r="B5" s="340" t="s">
        <v>1</v>
      </c>
      <c r="C5" s="341" t="s">
        <v>172</v>
      </c>
      <c r="D5" s="341"/>
      <c r="E5" s="341"/>
      <c r="F5" s="341"/>
      <c r="G5" s="341"/>
      <c r="H5" s="341"/>
      <c r="I5" s="342" t="s">
        <v>2</v>
      </c>
      <c r="J5" s="343"/>
      <c r="K5" s="344"/>
      <c r="L5" s="345" t="s">
        <v>3</v>
      </c>
      <c r="M5" s="346"/>
      <c r="N5" s="347"/>
      <c r="O5" s="340" t="s">
        <v>4</v>
      </c>
      <c r="P5" s="348" t="s">
        <v>5</v>
      </c>
      <c r="Q5" s="340" t="s">
        <v>6</v>
      </c>
      <c r="R5" s="2"/>
    </row>
    <row r="6" spans="1:18" x14ac:dyDescent="0.25">
      <c r="A6" s="339"/>
      <c r="B6" s="340"/>
      <c r="C6" s="340" t="s">
        <v>7</v>
      </c>
      <c r="D6" s="340" t="s">
        <v>8</v>
      </c>
      <c r="E6" s="349" t="s">
        <v>9</v>
      </c>
      <c r="F6" s="340" t="s">
        <v>10</v>
      </c>
      <c r="G6" s="340" t="s">
        <v>8</v>
      </c>
      <c r="H6" s="349" t="s">
        <v>9</v>
      </c>
      <c r="I6" s="340" t="s">
        <v>11</v>
      </c>
      <c r="J6" s="340" t="s">
        <v>8</v>
      </c>
      <c r="K6" s="349" t="s">
        <v>9</v>
      </c>
      <c r="L6" s="340" t="s">
        <v>11</v>
      </c>
      <c r="M6" s="340" t="s">
        <v>8</v>
      </c>
      <c r="N6" s="349" t="s">
        <v>9</v>
      </c>
      <c r="O6" s="340"/>
      <c r="P6" s="348"/>
      <c r="Q6" s="340"/>
      <c r="R6" s="2"/>
    </row>
    <row r="7" spans="1:18" x14ac:dyDescent="0.25">
      <c r="A7" s="339"/>
      <c r="B7" s="340"/>
      <c r="C7" s="340"/>
      <c r="D7" s="340"/>
      <c r="E7" s="349"/>
      <c r="F7" s="340"/>
      <c r="G7" s="340"/>
      <c r="H7" s="349"/>
      <c r="I7" s="340"/>
      <c r="J7" s="340"/>
      <c r="K7" s="349"/>
      <c r="L7" s="340"/>
      <c r="M7" s="340"/>
      <c r="N7" s="349"/>
      <c r="O7" s="340"/>
      <c r="P7" s="348"/>
      <c r="Q7" s="340"/>
      <c r="R7" s="2"/>
    </row>
    <row r="8" spans="1:18" x14ac:dyDescent="0.25">
      <c r="A8" s="339"/>
      <c r="B8" s="340"/>
      <c r="C8" s="340"/>
      <c r="D8" s="340"/>
      <c r="E8" s="349"/>
      <c r="F8" s="340"/>
      <c r="G8" s="340"/>
      <c r="H8" s="349"/>
      <c r="I8" s="340"/>
      <c r="J8" s="340"/>
      <c r="K8" s="349"/>
      <c r="L8" s="340"/>
      <c r="M8" s="340"/>
      <c r="N8" s="349"/>
      <c r="O8" s="340"/>
      <c r="P8" s="348"/>
      <c r="Q8" s="340"/>
      <c r="R8" s="2"/>
    </row>
    <row r="9" spans="1:18" x14ac:dyDescent="0.25">
      <c r="A9" s="339"/>
      <c r="B9" s="340"/>
      <c r="C9" s="340"/>
      <c r="D9" s="340"/>
      <c r="E9" s="349"/>
      <c r="F9" s="340"/>
      <c r="G9" s="340"/>
      <c r="H9" s="349"/>
      <c r="I9" s="340"/>
      <c r="J9" s="340"/>
      <c r="K9" s="349"/>
      <c r="L9" s="340"/>
      <c r="M9" s="340"/>
      <c r="N9" s="349"/>
      <c r="O9" s="340"/>
      <c r="P9" s="348"/>
      <c r="Q9" s="340"/>
      <c r="R9" s="2"/>
    </row>
    <row r="10" spans="1:18" x14ac:dyDescent="0.25">
      <c r="A10" s="339"/>
      <c r="B10" s="340"/>
      <c r="C10" s="340"/>
      <c r="D10" s="340"/>
      <c r="E10" s="349"/>
      <c r="F10" s="340"/>
      <c r="G10" s="340"/>
      <c r="H10" s="349"/>
      <c r="I10" s="340"/>
      <c r="J10" s="340"/>
      <c r="K10" s="349"/>
      <c r="L10" s="340"/>
      <c r="M10" s="340"/>
      <c r="N10" s="349"/>
      <c r="O10" s="340"/>
      <c r="P10" s="348"/>
      <c r="Q10" s="340"/>
      <c r="R10" s="2"/>
    </row>
    <row r="11" spans="1:18" ht="31.5" customHeight="1" x14ac:dyDescent="0.25">
      <c r="A11" s="183">
        <v>1</v>
      </c>
      <c r="B11" s="183">
        <v>2</v>
      </c>
      <c r="C11" s="184">
        <v>3</v>
      </c>
      <c r="D11" s="184">
        <v>4</v>
      </c>
      <c r="E11" s="5">
        <v>5</v>
      </c>
      <c r="F11" s="184">
        <v>6</v>
      </c>
      <c r="G11" s="184">
        <v>7</v>
      </c>
      <c r="H11" s="184">
        <v>8</v>
      </c>
      <c r="I11" s="184">
        <v>11</v>
      </c>
      <c r="J11" s="184">
        <v>12</v>
      </c>
      <c r="K11" s="184">
        <v>13</v>
      </c>
      <c r="L11" s="184">
        <v>17</v>
      </c>
      <c r="M11" s="184">
        <v>18</v>
      </c>
      <c r="N11" s="184">
        <v>19</v>
      </c>
      <c r="O11" s="184">
        <v>20</v>
      </c>
      <c r="P11" s="5">
        <v>21</v>
      </c>
      <c r="Q11" s="184">
        <v>22</v>
      </c>
      <c r="R11" s="6"/>
    </row>
    <row r="12" spans="1:18" ht="31.5" customHeight="1" x14ac:dyDescent="0.25">
      <c r="A12" s="7">
        <v>1</v>
      </c>
      <c r="B12" s="141" t="s">
        <v>178</v>
      </c>
      <c r="C12" s="5">
        <f t="shared" ref="C12:P12" si="0">C160</f>
        <v>162936741</v>
      </c>
      <c r="D12" s="5">
        <f t="shared" si="0"/>
        <v>156039527</v>
      </c>
      <c r="E12" s="9">
        <f t="shared" si="0"/>
        <v>104.42017105063385</v>
      </c>
      <c r="F12" s="5">
        <f t="shared" si="0"/>
        <v>29395855</v>
      </c>
      <c r="G12" s="10">
        <f t="shared" si="0"/>
        <v>26465700</v>
      </c>
      <c r="H12" s="11">
        <f t="shared" si="0"/>
        <v>111.07151898495033</v>
      </c>
      <c r="I12" s="10">
        <f t="shared" si="0"/>
        <v>156772310</v>
      </c>
      <c r="J12" s="10">
        <f t="shared" si="0"/>
        <v>152975628</v>
      </c>
      <c r="K12" s="11">
        <f t="shared" si="0"/>
        <v>102.48188685324435</v>
      </c>
      <c r="L12" s="5">
        <f t="shared" si="0"/>
        <v>124214351</v>
      </c>
      <c r="M12" s="5">
        <f t="shared" si="0"/>
        <v>124491038</v>
      </c>
      <c r="N12" s="9">
        <f t="shared" si="0"/>
        <v>99.777745447025666</v>
      </c>
      <c r="O12" s="5">
        <f t="shared" si="0"/>
        <v>7059</v>
      </c>
      <c r="P12" s="9">
        <f t="shared" si="0"/>
        <v>199.72517353732823</v>
      </c>
      <c r="Q12" s="5">
        <f>Q160</f>
        <v>8817</v>
      </c>
      <c r="R12" s="12">
        <f t="shared" ref="R12:R22" si="1">O12*P12</f>
        <v>1409860</v>
      </c>
    </row>
    <row r="13" spans="1:18" ht="31.5" customHeight="1" x14ac:dyDescent="0.25">
      <c r="A13" s="7">
        <v>2</v>
      </c>
      <c r="B13" s="141" t="s">
        <v>179</v>
      </c>
      <c r="C13" s="5">
        <f t="shared" ref="C13:P13" si="2">C168</f>
        <v>5178993</v>
      </c>
      <c r="D13" s="5">
        <f t="shared" si="2"/>
        <v>6182100</v>
      </c>
      <c r="E13" s="9">
        <f t="shared" si="2"/>
        <v>83.774008831950312</v>
      </c>
      <c r="F13" s="5">
        <f t="shared" si="2"/>
        <v>1280819</v>
      </c>
      <c r="G13" s="10">
        <f t="shared" si="2"/>
        <v>1472773</v>
      </c>
      <c r="H13" s="11">
        <f t="shared" si="2"/>
        <v>86.966491102158997</v>
      </c>
      <c r="I13" s="10">
        <f t="shared" si="2"/>
        <v>5479707</v>
      </c>
      <c r="J13" s="10">
        <f t="shared" si="2"/>
        <v>5502490</v>
      </c>
      <c r="K13" s="11">
        <f t="shared" si="2"/>
        <v>99.585951087598517</v>
      </c>
      <c r="L13" s="5">
        <f t="shared" si="2"/>
        <v>2114760</v>
      </c>
      <c r="M13" s="5">
        <f t="shared" si="2"/>
        <v>1796491</v>
      </c>
      <c r="N13" s="9">
        <f t="shared" si="2"/>
        <v>117.71614775693283</v>
      </c>
      <c r="O13" s="5">
        <f t="shared" si="2"/>
        <v>960</v>
      </c>
      <c r="P13" s="9">
        <f t="shared" si="2"/>
        <v>41.859375</v>
      </c>
      <c r="Q13" s="5">
        <f>Q168</f>
        <v>869</v>
      </c>
      <c r="R13" s="12">
        <f t="shared" si="1"/>
        <v>40185</v>
      </c>
    </row>
    <row r="14" spans="1:18" ht="31.5" customHeight="1" x14ac:dyDescent="0.25">
      <c r="A14" s="7">
        <v>3</v>
      </c>
      <c r="B14" s="141" t="s">
        <v>180</v>
      </c>
      <c r="C14" s="5">
        <f t="shared" ref="C14:P14" si="3">C182</f>
        <v>4723349</v>
      </c>
      <c r="D14" s="5">
        <f t="shared" si="3"/>
        <v>6657183</v>
      </c>
      <c r="E14" s="9">
        <f t="shared" si="3"/>
        <v>70.951166582021258</v>
      </c>
      <c r="F14" s="5">
        <f t="shared" si="3"/>
        <v>914645</v>
      </c>
      <c r="G14" s="10">
        <f t="shared" si="3"/>
        <v>1087727</v>
      </c>
      <c r="H14" s="11">
        <f t="shared" si="3"/>
        <v>84.087735249745563</v>
      </c>
      <c r="I14" s="10">
        <f t="shared" si="3"/>
        <v>4972171</v>
      </c>
      <c r="J14" s="10">
        <f t="shared" si="3"/>
        <v>6407631</v>
      </c>
      <c r="K14" s="11">
        <f t="shared" si="3"/>
        <v>77.597648803434524</v>
      </c>
      <c r="L14" s="5">
        <f t="shared" si="3"/>
        <v>4943257</v>
      </c>
      <c r="M14" s="5">
        <f t="shared" si="3"/>
        <v>6373390</v>
      </c>
      <c r="N14" s="9">
        <f t="shared" si="3"/>
        <v>77.560874197248239</v>
      </c>
      <c r="O14" s="5">
        <f t="shared" si="3"/>
        <v>565</v>
      </c>
      <c r="P14" s="9">
        <f t="shared" si="3"/>
        <v>127.3787610619469</v>
      </c>
      <c r="Q14" s="5">
        <f>Q182</f>
        <v>607</v>
      </c>
      <c r="R14" s="12">
        <f t="shared" si="1"/>
        <v>71969</v>
      </c>
    </row>
    <row r="15" spans="1:18" ht="31.5" customHeight="1" x14ac:dyDescent="0.25">
      <c r="A15" s="7">
        <v>4</v>
      </c>
      <c r="B15" s="141" t="s">
        <v>181</v>
      </c>
      <c r="C15" s="5">
        <f t="shared" ref="C15:Q15" si="4">C58</f>
        <v>1844102</v>
      </c>
      <c r="D15" s="10">
        <f t="shared" si="4"/>
        <v>1239727</v>
      </c>
      <c r="E15" s="11">
        <f t="shared" si="4"/>
        <v>148.75065236136666</v>
      </c>
      <c r="F15" s="10">
        <f t="shared" si="4"/>
        <v>475207</v>
      </c>
      <c r="G15" s="10">
        <f t="shared" si="4"/>
        <v>285033</v>
      </c>
      <c r="H15" s="11">
        <f t="shared" si="4"/>
        <v>166.71999382527639</v>
      </c>
      <c r="I15" s="10">
        <f t="shared" si="4"/>
        <v>1253507</v>
      </c>
      <c r="J15" s="10">
        <f t="shared" si="4"/>
        <v>1286570</v>
      </c>
      <c r="K15" s="11">
        <f t="shared" si="4"/>
        <v>97.430143715460488</v>
      </c>
      <c r="L15" s="10">
        <f t="shared" si="4"/>
        <v>565186</v>
      </c>
      <c r="M15" s="10">
        <f t="shared" si="4"/>
        <v>712524</v>
      </c>
      <c r="N15" s="11">
        <f t="shared" si="4"/>
        <v>79.321678989058626</v>
      </c>
      <c r="O15" s="10">
        <f t="shared" si="4"/>
        <v>801</v>
      </c>
      <c r="P15" s="11">
        <f t="shared" si="4"/>
        <v>81.367041198501866</v>
      </c>
      <c r="Q15" s="10">
        <f t="shared" si="4"/>
        <v>792</v>
      </c>
      <c r="R15" s="12">
        <f t="shared" si="1"/>
        <v>65174.999999999993</v>
      </c>
    </row>
    <row r="16" spans="1:18" ht="31.5" customHeight="1" x14ac:dyDescent="0.25">
      <c r="A16" s="7">
        <v>5</v>
      </c>
      <c r="B16" s="141" t="s">
        <v>182</v>
      </c>
      <c r="C16" s="5">
        <f t="shared" ref="C16:Q16" si="5">C70</f>
        <v>836558</v>
      </c>
      <c r="D16" s="10">
        <f t="shared" si="5"/>
        <v>817046</v>
      </c>
      <c r="E16" s="11">
        <f t="shared" si="5"/>
        <v>102.38811523463795</v>
      </c>
      <c r="F16" s="10">
        <f t="shared" si="5"/>
        <v>205972</v>
      </c>
      <c r="G16" s="10">
        <f t="shared" si="5"/>
        <v>131484</v>
      </c>
      <c r="H16" s="11">
        <f t="shared" si="5"/>
        <v>156.65175990995101</v>
      </c>
      <c r="I16" s="10">
        <f t="shared" si="5"/>
        <v>873083</v>
      </c>
      <c r="J16" s="10">
        <f t="shared" si="5"/>
        <v>814007</v>
      </c>
      <c r="K16" s="11">
        <f t="shared" si="5"/>
        <v>107.25743144714971</v>
      </c>
      <c r="L16" s="10">
        <f t="shared" si="5"/>
        <v>730135</v>
      </c>
      <c r="M16" s="10">
        <f t="shared" si="5"/>
        <v>507691</v>
      </c>
      <c r="N16" s="11">
        <f t="shared" si="5"/>
        <v>143.81484012913367</v>
      </c>
      <c r="O16" s="10">
        <f t="shared" si="5"/>
        <v>585</v>
      </c>
      <c r="P16" s="11">
        <f t="shared" si="5"/>
        <v>57.841025641025638</v>
      </c>
      <c r="Q16" s="10">
        <f t="shared" si="5"/>
        <v>428</v>
      </c>
      <c r="R16" s="12">
        <f t="shared" si="1"/>
        <v>33837</v>
      </c>
    </row>
    <row r="17" spans="1:18" ht="31.5" customHeight="1" x14ac:dyDescent="0.25">
      <c r="A17" s="7">
        <v>6</v>
      </c>
      <c r="B17" s="141" t="s">
        <v>183</v>
      </c>
      <c r="C17" s="5">
        <f t="shared" ref="C17:Q17" si="6">C81</f>
        <v>732971</v>
      </c>
      <c r="D17" s="10">
        <f t="shared" si="6"/>
        <v>560735</v>
      </c>
      <c r="E17" s="11">
        <f t="shared" si="6"/>
        <v>130.71611367223377</v>
      </c>
      <c r="F17" s="10">
        <f t="shared" si="6"/>
        <v>153069</v>
      </c>
      <c r="G17" s="10">
        <f t="shared" si="6"/>
        <v>103570</v>
      </c>
      <c r="H17" s="11">
        <f t="shared" si="6"/>
        <v>147.79279714202954</v>
      </c>
      <c r="I17" s="10">
        <f t="shared" si="6"/>
        <v>734831</v>
      </c>
      <c r="J17" s="10">
        <f t="shared" si="6"/>
        <v>582811</v>
      </c>
      <c r="K17" s="11">
        <f t="shared" si="6"/>
        <v>126.08392772270942</v>
      </c>
      <c r="L17" s="10">
        <f t="shared" si="6"/>
        <v>340927</v>
      </c>
      <c r="M17" s="10">
        <f t="shared" si="6"/>
        <v>259098</v>
      </c>
      <c r="N17" s="11">
        <f t="shared" si="6"/>
        <v>131.58225845047048</v>
      </c>
      <c r="O17" s="10">
        <f t="shared" si="6"/>
        <v>559</v>
      </c>
      <c r="P17" s="11">
        <f t="shared" si="6"/>
        <v>36.529516994633276</v>
      </c>
      <c r="Q17" s="10">
        <f t="shared" si="6"/>
        <v>546</v>
      </c>
      <c r="R17" s="12">
        <f t="shared" si="1"/>
        <v>20420</v>
      </c>
    </row>
    <row r="18" spans="1:18" ht="31.5" customHeight="1" x14ac:dyDescent="0.25">
      <c r="A18" s="7">
        <v>7</v>
      </c>
      <c r="B18" s="141" t="s">
        <v>184</v>
      </c>
      <c r="C18" s="5">
        <f t="shared" ref="C18:Q18" si="7">C96</f>
        <v>3215673</v>
      </c>
      <c r="D18" s="10">
        <f t="shared" si="7"/>
        <v>2966920</v>
      </c>
      <c r="E18" s="11">
        <f t="shared" si="7"/>
        <v>108.38421662869237</v>
      </c>
      <c r="F18" s="10">
        <f t="shared" si="7"/>
        <v>751798</v>
      </c>
      <c r="G18" s="10">
        <f t="shared" si="7"/>
        <v>618644</v>
      </c>
      <c r="H18" s="11">
        <f t="shared" si="7"/>
        <v>121.52352564641377</v>
      </c>
      <c r="I18" s="10">
        <f t="shared" si="7"/>
        <v>5250544</v>
      </c>
      <c r="J18" s="10">
        <f t="shared" si="7"/>
        <v>5152218</v>
      </c>
      <c r="K18" s="11">
        <f t="shared" si="7"/>
        <v>101.90842080051736</v>
      </c>
      <c r="L18" s="10">
        <f t="shared" si="7"/>
        <v>1270417</v>
      </c>
      <c r="M18" s="10">
        <f t="shared" si="7"/>
        <v>1130261</v>
      </c>
      <c r="N18" s="11">
        <f t="shared" si="7"/>
        <v>112.40032169560837</v>
      </c>
      <c r="O18" s="10">
        <f t="shared" si="7"/>
        <v>4034</v>
      </c>
      <c r="P18" s="11">
        <f t="shared" si="7"/>
        <v>29.695339613287061</v>
      </c>
      <c r="Q18" s="10">
        <f t="shared" si="7"/>
        <v>1232</v>
      </c>
      <c r="R18" s="12">
        <f t="shared" si="1"/>
        <v>119791</v>
      </c>
    </row>
    <row r="19" spans="1:18" ht="31.5" customHeight="1" x14ac:dyDescent="0.25">
      <c r="A19" s="7">
        <v>8</v>
      </c>
      <c r="B19" s="141" t="s">
        <v>177</v>
      </c>
      <c r="C19" s="5">
        <f t="shared" ref="C19:L19" si="8">C130</f>
        <v>1943531</v>
      </c>
      <c r="D19" s="10">
        <f t="shared" si="8"/>
        <v>1263408</v>
      </c>
      <c r="E19" s="11">
        <f t="shared" si="8"/>
        <v>153.83241201575422</v>
      </c>
      <c r="F19" s="10">
        <f t="shared" si="8"/>
        <v>471561</v>
      </c>
      <c r="G19" s="10">
        <f t="shared" si="8"/>
        <v>340711</v>
      </c>
      <c r="H19" s="11">
        <f t="shared" si="8"/>
        <v>138.40498252184403</v>
      </c>
      <c r="I19" s="10">
        <f t="shared" si="8"/>
        <v>1966430</v>
      </c>
      <c r="J19" s="10">
        <f t="shared" si="8"/>
        <v>1096758</v>
      </c>
      <c r="K19" s="11">
        <f t="shared" si="8"/>
        <v>179.29479429372753</v>
      </c>
      <c r="L19" s="10">
        <f t="shared" si="8"/>
        <v>159407</v>
      </c>
      <c r="M19" s="10">
        <f>M130</f>
        <v>13484</v>
      </c>
      <c r="N19" s="11">
        <f>N130</f>
        <v>0</v>
      </c>
      <c r="O19" s="10">
        <f>O130</f>
        <v>528</v>
      </c>
      <c r="P19" s="11">
        <f>P130</f>
        <v>83.75</v>
      </c>
      <c r="Q19" s="10">
        <f>Q130</f>
        <v>447</v>
      </c>
      <c r="R19" s="12"/>
    </row>
    <row r="20" spans="1:18" ht="31.5" customHeight="1" x14ac:dyDescent="0.25">
      <c r="A20" s="7">
        <v>9</v>
      </c>
      <c r="B20" s="141" t="s">
        <v>185</v>
      </c>
      <c r="C20" s="5">
        <f t="shared" ref="C20:Q20" si="9">C124</f>
        <v>1623265</v>
      </c>
      <c r="D20" s="10">
        <f t="shared" si="9"/>
        <v>1622646</v>
      </c>
      <c r="E20" s="11">
        <f t="shared" si="9"/>
        <v>100.03814756884744</v>
      </c>
      <c r="F20" s="10">
        <f t="shared" si="9"/>
        <v>314567</v>
      </c>
      <c r="G20" s="10">
        <f t="shared" si="9"/>
        <v>348076</v>
      </c>
      <c r="H20" s="11">
        <f t="shared" si="9"/>
        <v>90.373079442420618</v>
      </c>
      <c r="I20" s="10">
        <f t="shared" si="9"/>
        <v>1586152</v>
      </c>
      <c r="J20" s="10">
        <f t="shared" si="9"/>
        <v>1497243</v>
      </c>
      <c r="K20" s="11">
        <f t="shared" si="9"/>
        <v>105.93818104342448</v>
      </c>
      <c r="L20" s="10">
        <f t="shared" si="9"/>
        <v>805074</v>
      </c>
      <c r="M20" s="10">
        <f t="shared" si="9"/>
        <v>650510</v>
      </c>
      <c r="N20" s="11">
        <f t="shared" si="9"/>
        <v>123.76043412092051</v>
      </c>
      <c r="O20" s="10">
        <f t="shared" si="9"/>
        <v>1727</v>
      </c>
      <c r="P20" s="11">
        <f t="shared" si="9"/>
        <v>66.5848291835553</v>
      </c>
      <c r="Q20" s="10">
        <f t="shared" si="9"/>
        <v>1840</v>
      </c>
      <c r="R20" s="12">
        <f t="shared" si="1"/>
        <v>114992</v>
      </c>
    </row>
    <row r="21" spans="1:18" ht="31.5" customHeight="1" x14ac:dyDescent="0.25">
      <c r="A21" s="7">
        <v>10</v>
      </c>
      <c r="B21" s="141" t="s">
        <v>186</v>
      </c>
      <c r="C21" s="5">
        <f t="shared" ref="C21:Q21" si="10">C140</f>
        <v>158683</v>
      </c>
      <c r="D21" s="10">
        <f t="shared" si="10"/>
        <v>52866</v>
      </c>
      <c r="E21" s="11">
        <f t="shared" si="10"/>
        <v>300.16078386864905</v>
      </c>
      <c r="F21" s="10">
        <f t="shared" si="10"/>
        <v>23991</v>
      </c>
      <c r="G21" s="10">
        <f t="shared" si="10"/>
        <v>16544</v>
      </c>
      <c r="H21" s="11">
        <f t="shared" si="10"/>
        <v>145.01329787234042</v>
      </c>
      <c r="I21" s="10">
        <f t="shared" si="10"/>
        <v>191799</v>
      </c>
      <c r="J21" s="10">
        <f t="shared" si="10"/>
        <v>52127</v>
      </c>
      <c r="K21" s="11">
        <f t="shared" si="10"/>
        <v>367.94559441364362</v>
      </c>
      <c r="L21" s="10">
        <f>L140</f>
        <v>10139</v>
      </c>
      <c r="M21" s="10">
        <f t="shared" si="10"/>
        <v>16258</v>
      </c>
      <c r="N21" s="11">
        <f t="shared" si="10"/>
        <v>0</v>
      </c>
      <c r="O21" s="10">
        <f t="shared" si="10"/>
        <v>100</v>
      </c>
      <c r="P21" s="11">
        <f t="shared" si="10"/>
        <v>76.849999999999994</v>
      </c>
      <c r="Q21" s="10">
        <f t="shared" si="10"/>
        <v>105</v>
      </c>
      <c r="R21" s="12">
        <f t="shared" si="1"/>
        <v>7684.9999999999991</v>
      </c>
    </row>
    <row r="22" spans="1:18" ht="31.5" customHeight="1" x14ac:dyDescent="0.25">
      <c r="A22" s="7">
        <v>11</v>
      </c>
      <c r="B22" s="141" t="s">
        <v>187</v>
      </c>
      <c r="C22" s="5">
        <f t="shared" ref="C22:P22" si="11">C196</f>
        <v>654673.1</v>
      </c>
      <c r="D22" s="10">
        <f t="shared" si="11"/>
        <v>971598.1</v>
      </c>
      <c r="E22" s="11">
        <f t="shared" si="11"/>
        <v>67.381060131756115</v>
      </c>
      <c r="F22" s="10">
        <f t="shared" si="11"/>
        <v>103635.6</v>
      </c>
      <c r="G22" s="10">
        <f t="shared" si="11"/>
        <v>165226.20000000001</v>
      </c>
      <c r="H22" s="11">
        <f t="shared" si="11"/>
        <v>62.723466375187463</v>
      </c>
      <c r="I22" s="10">
        <f t="shared" si="11"/>
        <v>516895.1</v>
      </c>
      <c r="J22" s="10">
        <f t="shared" si="11"/>
        <v>901423.9</v>
      </c>
      <c r="K22" s="11">
        <f t="shared" si="11"/>
        <v>57.342067366973517</v>
      </c>
      <c r="L22" s="10">
        <f t="shared" si="11"/>
        <v>65818</v>
      </c>
      <c r="M22" s="10">
        <f t="shared" si="11"/>
        <v>353691</v>
      </c>
      <c r="N22" s="11">
        <f t="shared" si="11"/>
        <v>18.608898727985729</v>
      </c>
      <c r="O22" s="10">
        <f t="shared" si="11"/>
        <v>713</v>
      </c>
      <c r="P22" s="11">
        <f t="shared" si="11"/>
        <v>152.07924263674613</v>
      </c>
      <c r="Q22" s="10">
        <f>Q196</f>
        <v>721</v>
      </c>
      <c r="R22" s="12">
        <f t="shared" si="1"/>
        <v>108432.49999999999</v>
      </c>
    </row>
    <row r="23" spans="1:18" ht="31.5" customHeight="1" x14ac:dyDescent="0.25">
      <c r="A23" s="7">
        <v>12</v>
      </c>
      <c r="B23" s="141" t="s">
        <v>188</v>
      </c>
      <c r="C23" s="5">
        <f t="shared" ref="C23:P23" si="12">C201</f>
        <v>148048</v>
      </c>
      <c r="D23" s="10">
        <f t="shared" si="12"/>
        <v>171788</v>
      </c>
      <c r="E23" s="11">
        <f t="shared" si="12"/>
        <v>86.180641255500973</v>
      </c>
      <c r="F23" s="10">
        <f t="shared" si="12"/>
        <v>104648</v>
      </c>
      <c r="G23" s="10">
        <f t="shared" si="12"/>
        <v>64530</v>
      </c>
      <c r="H23" s="11">
        <f>H201</f>
        <v>162.1695335502867</v>
      </c>
      <c r="I23" s="10">
        <f t="shared" si="12"/>
        <v>154147</v>
      </c>
      <c r="J23" s="10">
        <f t="shared" si="12"/>
        <v>178902</v>
      </c>
      <c r="K23" s="11">
        <f t="shared" si="12"/>
        <v>86.162815396138669</v>
      </c>
      <c r="L23" s="10">
        <f t="shared" si="12"/>
        <v>18396</v>
      </c>
      <c r="M23" s="10">
        <f t="shared" si="12"/>
        <v>70507</v>
      </c>
      <c r="N23" s="11">
        <f t="shared" si="12"/>
        <v>26.091026422908364</v>
      </c>
      <c r="O23" s="10">
        <f>O201</f>
        <v>237</v>
      </c>
      <c r="P23" s="11">
        <f t="shared" si="12"/>
        <v>61.540084388185655</v>
      </c>
      <c r="Q23" s="10">
        <f>Q201</f>
        <v>239</v>
      </c>
      <c r="R23" s="12"/>
    </row>
    <row r="24" spans="1:18" s="16" customFormat="1" ht="31.5" customHeight="1" x14ac:dyDescent="0.25">
      <c r="A24" s="182"/>
      <c r="B24" s="182" t="s">
        <v>189</v>
      </c>
      <c r="C24" s="13">
        <f>SUM(C12:C23)</f>
        <v>183996587.09999999</v>
      </c>
      <c r="D24" s="13">
        <f>SUM(D12:D23)</f>
        <v>178545544.09999999</v>
      </c>
      <c r="E24" s="14">
        <f>C24/D24*100</f>
        <v>103.05302662549056</v>
      </c>
      <c r="F24" s="13">
        <f>SUM(F12:F23)</f>
        <v>34195767.600000001</v>
      </c>
      <c r="G24" s="13">
        <f>SUM(G12:G23)</f>
        <v>31100018.199999999</v>
      </c>
      <c r="H24" s="14">
        <f>F24/G24*100</f>
        <v>109.95417230977698</v>
      </c>
      <c r="I24" s="13">
        <f>SUM(I12:I23)</f>
        <v>179751576.09999999</v>
      </c>
      <c r="J24" s="13">
        <f>SUM(J12:J23)</f>
        <v>176447808.90000001</v>
      </c>
      <c r="K24" s="14">
        <f>I24/J24*100</f>
        <v>101.87237643844722</v>
      </c>
      <c r="L24" s="13">
        <f>SUM(L12:L23)</f>
        <v>135237867</v>
      </c>
      <c r="M24" s="13">
        <f>SUM(M12:M23)</f>
        <v>136374943</v>
      </c>
      <c r="N24" s="14">
        <f>L24/M24*100</f>
        <v>99.166213400360505</v>
      </c>
      <c r="O24" s="13">
        <f>SUM(O12:O23)</f>
        <v>17868</v>
      </c>
      <c r="P24" s="14">
        <f>R24/O24</f>
        <v>111.50360980523841</v>
      </c>
      <c r="Q24" s="13">
        <f>SUM(Q12:Q23)</f>
        <v>16643</v>
      </c>
      <c r="R24" s="15">
        <f>SUM(R12:R23)</f>
        <v>1992346.5</v>
      </c>
    </row>
    <row r="25" spans="1:18" x14ac:dyDescent="0.2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7"/>
      <c r="Q25" s="17"/>
      <c r="R25" s="18"/>
    </row>
    <row r="26" spans="1:18" s="22" customFormat="1" x14ac:dyDescent="0.25">
      <c r="A26" s="19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20"/>
      <c r="Q26" s="20"/>
      <c r="R26" s="21"/>
    </row>
    <row r="27" spans="1:18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ht="19.5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18" x14ac:dyDescent="0.25">
      <c r="A31" s="18"/>
      <c r="B31" s="18"/>
      <c r="C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spans="1:18" x14ac:dyDescent="0.25">
      <c r="A32" s="18"/>
      <c r="B32" s="18"/>
      <c r="C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</row>
    <row r="33" spans="1:18" x14ac:dyDescent="0.25">
      <c r="A33" s="18"/>
      <c r="B33" s="18"/>
      <c r="C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</row>
    <row r="34" spans="1:18" s="24" customFormat="1" ht="14.25" x14ac:dyDescent="0.2">
      <c r="A34" s="325" t="s">
        <v>201</v>
      </c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23"/>
    </row>
    <row r="35" spans="1:18" s="24" customFormat="1" ht="14.25" x14ac:dyDescent="0.2">
      <c r="A35" s="325"/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23"/>
    </row>
    <row r="36" spans="1:18" s="24" customFormat="1" x14ac:dyDescent="0.2">
      <c r="A36" s="326"/>
      <c r="B36" s="326"/>
      <c r="C36" s="326"/>
      <c r="D36" s="326"/>
      <c r="E36" s="326"/>
      <c r="F36" s="326"/>
      <c r="G36" s="326"/>
      <c r="H36" s="326"/>
      <c r="I36" s="326"/>
      <c r="J36" s="326"/>
      <c r="K36" s="326"/>
      <c r="L36" s="326"/>
      <c r="M36" s="326"/>
      <c r="N36" s="326"/>
      <c r="O36" s="326"/>
      <c r="P36" s="326"/>
      <c r="Q36" s="326"/>
      <c r="R36" s="25"/>
    </row>
    <row r="37" spans="1:18" x14ac:dyDescent="0.25">
      <c r="A37" s="327" t="s">
        <v>0</v>
      </c>
      <c r="B37" s="329" t="s">
        <v>24</v>
      </c>
      <c r="C37" s="331" t="s">
        <v>172</v>
      </c>
      <c r="D37" s="331"/>
      <c r="E37" s="331"/>
      <c r="F37" s="331"/>
      <c r="G37" s="331"/>
      <c r="H37" s="331" t="s">
        <v>2</v>
      </c>
      <c r="I37" s="331"/>
      <c r="J37" s="331"/>
      <c r="K37" s="331"/>
      <c r="L37" s="187"/>
      <c r="M37" s="187" t="s">
        <v>3</v>
      </c>
      <c r="N37" s="27"/>
      <c r="O37" s="329" t="s">
        <v>25</v>
      </c>
      <c r="P37" s="332" t="s">
        <v>26</v>
      </c>
      <c r="Q37" s="329" t="s">
        <v>27</v>
      </c>
      <c r="R37" s="28"/>
    </row>
    <row r="38" spans="1:18" ht="60" x14ac:dyDescent="0.25">
      <c r="A38" s="328"/>
      <c r="B38" s="330"/>
      <c r="C38" s="186" t="s">
        <v>7</v>
      </c>
      <c r="D38" s="186" t="s">
        <v>28</v>
      </c>
      <c r="E38" s="30" t="s">
        <v>29</v>
      </c>
      <c r="F38" s="186" t="s">
        <v>10</v>
      </c>
      <c r="G38" s="186" t="s">
        <v>30</v>
      </c>
      <c r="H38" s="30" t="s">
        <v>29</v>
      </c>
      <c r="I38" s="186" t="s">
        <v>11</v>
      </c>
      <c r="J38" s="186" t="s">
        <v>28</v>
      </c>
      <c r="K38" s="30" t="s">
        <v>29</v>
      </c>
      <c r="L38" s="186" t="s">
        <v>11</v>
      </c>
      <c r="M38" s="186" t="s">
        <v>28</v>
      </c>
      <c r="N38" s="30" t="s">
        <v>29</v>
      </c>
      <c r="O38" s="330"/>
      <c r="P38" s="333"/>
      <c r="Q38" s="330"/>
      <c r="R38" s="31"/>
    </row>
    <row r="39" spans="1:18" x14ac:dyDescent="0.25">
      <c r="A39" s="32"/>
      <c r="B39" s="33" t="s">
        <v>31</v>
      </c>
      <c r="C39" s="32"/>
      <c r="D39" s="32"/>
      <c r="E39" s="32"/>
      <c r="F39" s="32"/>
      <c r="G39" s="32"/>
      <c r="H39" s="32"/>
      <c r="I39" s="32"/>
      <c r="J39" s="32"/>
      <c r="K39" s="34"/>
      <c r="L39" s="32"/>
      <c r="M39" s="32"/>
      <c r="N39" s="32"/>
      <c r="O39" s="32"/>
      <c r="P39" s="35"/>
      <c r="Q39" s="35"/>
      <c r="R39" s="36"/>
    </row>
    <row r="40" spans="1:18" x14ac:dyDescent="0.25">
      <c r="A40" s="319" t="s">
        <v>32</v>
      </c>
      <c r="B40" s="320"/>
      <c r="C40" s="37">
        <v>3</v>
      </c>
      <c r="D40" s="37">
        <v>4</v>
      </c>
      <c r="E40" s="185">
        <v>5</v>
      </c>
      <c r="F40" s="37">
        <v>6</v>
      </c>
      <c r="G40" s="37">
        <v>7</v>
      </c>
      <c r="H40" s="37">
        <v>8</v>
      </c>
      <c r="I40" s="37">
        <v>9</v>
      </c>
      <c r="J40" s="37">
        <v>10</v>
      </c>
      <c r="K40" s="37">
        <v>11</v>
      </c>
      <c r="L40" s="37">
        <v>12</v>
      </c>
      <c r="M40" s="37">
        <v>13</v>
      </c>
      <c r="N40" s="37">
        <v>14</v>
      </c>
      <c r="O40" s="37">
        <v>15</v>
      </c>
      <c r="P40" s="185">
        <v>16</v>
      </c>
      <c r="Q40" s="37">
        <v>17</v>
      </c>
      <c r="R40" s="39"/>
    </row>
    <row r="41" spans="1:18" x14ac:dyDescent="0.25">
      <c r="A41" s="40">
        <v>1</v>
      </c>
      <c r="B41" s="41" t="s">
        <v>33</v>
      </c>
      <c r="C41" s="42">
        <v>89133</v>
      </c>
      <c r="D41" s="42">
        <v>80274</v>
      </c>
      <c r="E41" s="43">
        <f t="shared" ref="E41:E58" si="13">C41/D41*100</f>
        <v>111.03595186486284</v>
      </c>
      <c r="F41" s="42">
        <v>19837</v>
      </c>
      <c r="G41" s="42">
        <v>14996</v>
      </c>
      <c r="H41" s="43">
        <f>F41/G41*100</f>
        <v>132.2819418511603</v>
      </c>
      <c r="I41" s="42">
        <v>73300</v>
      </c>
      <c r="J41" s="42">
        <v>80274</v>
      </c>
      <c r="K41" s="43">
        <f>I41/J41*100</f>
        <v>91.312255524827464</v>
      </c>
      <c r="L41" s="42">
        <v>3649</v>
      </c>
      <c r="M41" s="42">
        <v>0</v>
      </c>
      <c r="N41" s="43" t="e">
        <f t="shared" ref="N41:N44" si="14">L41/M41*100</f>
        <v>#DIV/0!</v>
      </c>
      <c r="O41" s="188">
        <v>91</v>
      </c>
      <c r="P41" s="44">
        <v>76</v>
      </c>
      <c r="Q41" s="188">
        <v>89</v>
      </c>
      <c r="R41" s="45">
        <f t="shared" ref="R41:R57" si="15">Q41*P41</f>
        <v>6764</v>
      </c>
    </row>
    <row r="42" spans="1:18" x14ac:dyDescent="0.25">
      <c r="A42" s="40">
        <v>2</v>
      </c>
      <c r="B42" s="41" t="s">
        <v>34</v>
      </c>
      <c r="C42" s="42">
        <v>0</v>
      </c>
      <c r="D42" s="42">
        <v>0</v>
      </c>
      <c r="E42" s="43">
        <v>0</v>
      </c>
      <c r="F42" s="42">
        <v>0</v>
      </c>
      <c r="G42" s="42">
        <v>0</v>
      </c>
      <c r="H42" s="43">
        <v>0</v>
      </c>
      <c r="I42" s="42">
        <v>0</v>
      </c>
      <c r="J42" s="42">
        <v>0</v>
      </c>
      <c r="K42" s="43">
        <v>0</v>
      </c>
      <c r="L42" s="42">
        <v>0</v>
      </c>
      <c r="M42" s="42">
        <v>0</v>
      </c>
      <c r="N42" s="43">
        <v>0</v>
      </c>
      <c r="O42" s="188">
        <v>0</v>
      </c>
      <c r="P42" s="44">
        <v>0</v>
      </c>
      <c r="Q42" s="188">
        <v>0</v>
      </c>
      <c r="R42" s="45">
        <f t="shared" si="15"/>
        <v>0</v>
      </c>
    </row>
    <row r="43" spans="1:18" x14ac:dyDescent="0.25">
      <c r="A43" s="40">
        <v>3</v>
      </c>
      <c r="B43" s="41" t="s">
        <v>35</v>
      </c>
      <c r="C43" s="42">
        <v>37111</v>
      </c>
      <c r="D43" s="42">
        <v>33984</v>
      </c>
      <c r="E43" s="43">
        <f t="shared" si="13"/>
        <v>109.20138888888889</v>
      </c>
      <c r="F43" s="42">
        <v>12986</v>
      </c>
      <c r="G43" s="42">
        <v>2402</v>
      </c>
      <c r="H43" s="43">
        <f t="shared" ref="H43:H46" si="16">F43/G43*100</f>
        <v>540.63280599500422</v>
      </c>
      <c r="I43" s="42">
        <v>74317</v>
      </c>
      <c r="J43" s="42">
        <v>40127</v>
      </c>
      <c r="K43" s="43">
        <f t="shared" ref="K43:K58" si="17">I43/J43*100</f>
        <v>185.20447578936876</v>
      </c>
      <c r="L43" s="42">
        <v>0</v>
      </c>
      <c r="M43" s="42">
        <v>8933</v>
      </c>
      <c r="N43" s="43">
        <f t="shared" si="14"/>
        <v>0</v>
      </c>
      <c r="O43" s="188">
        <v>33</v>
      </c>
      <c r="P43" s="44">
        <v>60</v>
      </c>
      <c r="Q43" s="188">
        <v>33</v>
      </c>
      <c r="R43" s="45">
        <f t="shared" si="15"/>
        <v>1980</v>
      </c>
    </row>
    <row r="44" spans="1:18" x14ac:dyDescent="0.25">
      <c r="A44" s="40">
        <v>4</v>
      </c>
      <c r="B44" s="41" t="s">
        <v>36</v>
      </c>
      <c r="C44" s="42">
        <v>6700</v>
      </c>
      <c r="D44" s="42">
        <v>10190</v>
      </c>
      <c r="E44" s="43">
        <f t="shared" si="13"/>
        <v>65.750736015701676</v>
      </c>
      <c r="F44" s="42">
        <v>1520</v>
      </c>
      <c r="G44" s="42">
        <v>2900</v>
      </c>
      <c r="H44" s="43">
        <f t="shared" si="16"/>
        <v>52.413793103448278</v>
      </c>
      <c r="I44" s="42">
        <v>13452</v>
      </c>
      <c r="J44" s="42">
        <v>17839</v>
      </c>
      <c r="K44" s="43">
        <f t="shared" si="17"/>
        <v>75.407814339368798</v>
      </c>
      <c r="L44" s="42">
        <v>13452</v>
      </c>
      <c r="M44" s="42">
        <f>16830+1009</f>
        <v>17839</v>
      </c>
      <c r="N44" s="43">
        <f t="shared" si="14"/>
        <v>75.407814339368798</v>
      </c>
      <c r="O44" s="188">
        <v>20</v>
      </c>
      <c r="P44" s="44">
        <v>60</v>
      </c>
      <c r="Q44" s="188">
        <v>20</v>
      </c>
      <c r="R44" s="45">
        <f t="shared" si="15"/>
        <v>1200</v>
      </c>
    </row>
    <row r="45" spans="1:18" x14ac:dyDescent="0.25">
      <c r="A45" s="40">
        <v>5</v>
      </c>
      <c r="B45" s="41" t="s">
        <v>37</v>
      </c>
      <c r="C45" s="48">
        <v>26718</v>
      </c>
      <c r="D45" s="48">
        <v>58008</v>
      </c>
      <c r="E45" s="43">
        <f t="shared" si="13"/>
        <v>46.059164253206454</v>
      </c>
      <c r="F45" s="48">
        <v>3766</v>
      </c>
      <c r="G45" s="48">
        <v>11563</v>
      </c>
      <c r="H45" s="43">
        <f t="shared" si="16"/>
        <v>32.569402404220362</v>
      </c>
      <c r="I45" s="48">
        <v>29593</v>
      </c>
      <c r="J45" s="48">
        <v>57883</v>
      </c>
      <c r="K45" s="43">
        <f t="shared" si="17"/>
        <v>51.125546360762229</v>
      </c>
      <c r="L45" s="48">
        <v>5496</v>
      </c>
      <c r="M45" s="48">
        <v>3796</v>
      </c>
      <c r="N45" s="43">
        <f t="shared" ref="N45:N46" si="18">L45/M45*100</f>
        <v>144.78398314014754</v>
      </c>
      <c r="O45" s="188">
        <v>54</v>
      </c>
      <c r="P45" s="44">
        <v>55</v>
      </c>
      <c r="Q45" s="188">
        <v>53</v>
      </c>
      <c r="R45" s="45">
        <f t="shared" si="15"/>
        <v>2915</v>
      </c>
    </row>
    <row r="46" spans="1:18" x14ac:dyDescent="0.25">
      <c r="A46" s="40">
        <v>6</v>
      </c>
      <c r="B46" s="41" t="s">
        <v>38</v>
      </c>
      <c r="C46" s="49">
        <v>40481</v>
      </c>
      <c r="D46" s="42">
        <v>64836</v>
      </c>
      <c r="E46" s="43">
        <f t="shared" si="13"/>
        <v>62.435992349929052</v>
      </c>
      <c r="F46" s="42">
        <v>12914</v>
      </c>
      <c r="G46" s="42">
        <v>23847</v>
      </c>
      <c r="H46" s="43">
        <f t="shared" si="16"/>
        <v>54.153562292950895</v>
      </c>
      <c r="I46" s="42">
        <v>38424</v>
      </c>
      <c r="J46" s="42">
        <v>51650</v>
      </c>
      <c r="K46" s="43">
        <f t="shared" si="17"/>
        <v>74.393030009680544</v>
      </c>
      <c r="L46" s="42">
        <v>531</v>
      </c>
      <c r="M46" s="42">
        <v>8484</v>
      </c>
      <c r="N46" s="43">
        <f t="shared" si="18"/>
        <v>6.2588401697312586</v>
      </c>
      <c r="O46" s="188">
        <v>64</v>
      </c>
      <c r="P46" s="44">
        <v>70</v>
      </c>
      <c r="Q46" s="188">
        <v>60</v>
      </c>
      <c r="R46" s="45">
        <f t="shared" si="15"/>
        <v>4200</v>
      </c>
    </row>
    <row r="47" spans="1:18" x14ac:dyDescent="0.25">
      <c r="A47" s="40">
        <v>7</v>
      </c>
      <c r="B47" s="41" t="s">
        <v>39</v>
      </c>
      <c r="C47" s="42">
        <v>0</v>
      </c>
      <c r="D47" s="42">
        <v>0</v>
      </c>
      <c r="E47" s="43">
        <v>0</v>
      </c>
      <c r="F47" s="42">
        <v>0</v>
      </c>
      <c r="G47" s="42">
        <v>0</v>
      </c>
      <c r="H47" s="43">
        <v>0</v>
      </c>
      <c r="I47" s="42">
        <v>0</v>
      </c>
      <c r="J47" s="42">
        <v>0</v>
      </c>
      <c r="K47" s="43">
        <v>0</v>
      </c>
      <c r="L47" s="42">
        <v>0</v>
      </c>
      <c r="M47" s="42">
        <v>0</v>
      </c>
      <c r="N47" s="43">
        <v>0</v>
      </c>
      <c r="O47" s="188">
        <v>0</v>
      </c>
      <c r="P47" s="44">
        <v>0</v>
      </c>
      <c r="Q47" s="188">
        <v>0</v>
      </c>
      <c r="R47" s="45">
        <f t="shared" si="15"/>
        <v>0</v>
      </c>
    </row>
    <row r="48" spans="1:18" x14ac:dyDescent="0.25">
      <c r="A48" s="40">
        <v>8</v>
      </c>
      <c r="B48" s="41" t="s">
        <v>41</v>
      </c>
      <c r="C48" s="51">
        <v>43038</v>
      </c>
      <c r="D48" s="42">
        <v>55812</v>
      </c>
      <c r="E48" s="43">
        <f t="shared" si="13"/>
        <v>77.112448935712749</v>
      </c>
      <c r="F48" s="42">
        <v>9840</v>
      </c>
      <c r="G48" s="42">
        <v>13120</v>
      </c>
      <c r="H48" s="43">
        <f t="shared" ref="H48:H58" si="19">F48/G48*100</f>
        <v>75</v>
      </c>
      <c r="I48" s="42">
        <v>39407</v>
      </c>
      <c r="J48" s="42">
        <v>52569</v>
      </c>
      <c r="K48" s="43">
        <f t="shared" si="17"/>
        <v>74.96243032966197</v>
      </c>
      <c r="L48" s="42">
        <v>0</v>
      </c>
      <c r="M48" s="42">
        <v>0</v>
      </c>
      <c r="N48" s="43">
        <v>0</v>
      </c>
      <c r="O48" s="188">
        <v>44</v>
      </c>
      <c r="P48" s="44">
        <v>61</v>
      </c>
      <c r="Q48" s="188">
        <v>47</v>
      </c>
      <c r="R48" s="45">
        <f t="shared" si="15"/>
        <v>2867</v>
      </c>
    </row>
    <row r="49" spans="1:18" x14ac:dyDescent="0.25">
      <c r="A49" s="40">
        <v>9</v>
      </c>
      <c r="B49" s="41" t="s">
        <v>42</v>
      </c>
      <c r="C49" s="51">
        <v>115043</v>
      </c>
      <c r="D49" s="42">
        <v>118352</v>
      </c>
      <c r="E49" s="52">
        <f t="shared" si="13"/>
        <v>97.204103014735693</v>
      </c>
      <c r="F49" s="42">
        <v>17869</v>
      </c>
      <c r="G49" s="42">
        <v>21983</v>
      </c>
      <c r="H49" s="43">
        <f t="shared" si="19"/>
        <v>81.285538825456044</v>
      </c>
      <c r="I49" s="42">
        <v>97149</v>
      </c>
      <c r="J49" s="53">
        <v>103079</v>
      </c>
      <c r="K49" s="43">
        <f t="shared" si="17"/>
        <v>94.247130841393485</v>
      </c>
      <c r="L49" s="42">
        <v>0</v>
      </c>
      <c r="M49" s="42">
        <v>0</v>
      </c>
      <c r="N49" s="43">
        <v>0</v>
      </c>
      <c r="O49" s="188">
        <v>75</v>
      </c>
      <c r="P49" s="44">
        <v>105</v>
      </c>
      <c r="Q49" s="188">
        <v>77</v>
      </c>
      <c r="R49" s="45">
        <f t="shared" si="15"/>
        <v>8085</v>
      </c>
    </row>
    <row r="50" spans="1:18" x14ac:dyDescent="0.25">
      <c r="A50" s="40">
        <v>10</v>
      </c>
      <c r="B50" s="41" t="s">
        <v>43</v>
      </c>
      <c r="C50" s="51">
        <v>633538</v>
      </c>
      <c r="D50" s="42">
        <v>540242</v>
      </c>
      <c r="E50" s="43">
        <f t="shared" si="13"/>
        <v>117.26929783319326</v>
      </c>
      <c r="F50" s="51">
        <v>84984</v>
      </c>
      <c r="G50" s="42">
        <v>127552</v>
      </c>
      <c r="H50" s="43">
        <f t="shared" si="19"/>
        <v>66.626944305067738</v>
      </c>
      <c r="I50" s="42">
        <v>417245</v>
      </c>
      <c r="J50" s="42">
        <v>565779</v>
      </c>
      <c r="K50" s="43">
        <f t="shared" si="17"/>
        <v>73.74699308387197</v>
      </c>
      <c r="L50" s="42">
        <v>415199</v>
      </c>
      <c r="M50" s="42">
        <v>564542</v>
      </c>
      <c r="N50" s="43">
        <f t="shared" ref="N50:N52" si="20">L50/M50*100</f>
        <v>73.546166627106572</v>
      </c>
      <c r="O50" s="188">
        <v>204</v>
      </c>
      <c r="P50" s="44">
        <v>84</v>
      </c>
      <c r="Q50" s="188">
        <v>190</v>
      </c>
      <c r="R50" s="45">
        <f t="shared" si="15"/>
        <v>15960</v>
      </c>
    </row>
    <row r="51" spans="1:18" x14ac:dyDescent="0.25">
      <c r="A51" s="40">
        <v>11</v>
      </c>
      <c r="B51" s="41" t="s">
        <v>44</v>
      </c>
      <c r="C51" s="51">
        <v>16216</v>
      </c>
      <c r="D51" s="42">
        <v>14362</v>
      </c>
      <c r="E51" s="43">
        <f t="shared" si="13"/>
        <v>112.90906558975074</v>
      </c>
      <c r="F51" s="42">
        <v>15026</v>
      </c>
      <c r="G51" s="42">
        <v>7573</v>
      </c>
      <c r="H51" s="43">
        <f t="shared" si="19"/>
        <v>198.41542321404992</v>
      </c>
      <c r="I51" s="42">
        <v>21891</v>
      </c>
      <c r="J51" s="42">
        <v>29344</v>
      </c>
      <c r="K51" s="43">
        <f t="shared" si="17"/>
        <v>74.601281352235546</v>
      </c>
      <c r="L51" s="42">
        <v>21891</v>
      </c>
      <c r="M51" s="42">
        <v>29344</v>
      </c>
      <c r="N51" s="43">
        <f t="shared" si="20"/>
        <v>74.601281352235546</v>
      </c>
      <c r="O51" s="188">
        <v>24</v>
      </c>
      <c r="P51" s="44">
        <v>67</v>
      </c>
      <c r="Q51" s="188">
        <v>24</v>
      </c>
      <c r="R51" s="45">
        <f t="shared" si="15"/>
        <v>1608</v>
      </c>
    </row>
    <row r="52" spans="1:18" x14ac:dyDescent="0.25">
      <c r="A52" s="40">
        <v>12</v>
      </c>
      <c r="B52" s="41" t="s">
        <v>45</v>
      </c>
      <c r="C52" s="42">
        <v>47012</v>
      </c>
      <c r="D52" s="42">
        <v>40155</v>
      </c>
      <c r="E52" s="43">
        <f t="shared" si="13"/>
        <v>117.07632922425601</v>
      </c>
      <c r="F52" s="54">
        <v>8256</v>
      </c>
      <c r="G52" s="54">
        <v>6733</v>
      </c>
      <c r="H52" s="43">
        <f t="shared" si="19"/>
        <v>122.61993167978613</v>
      </c>
      <c r="I52" s="54">
        <v>46356</v>
      </c>
      <c r="J52" s="54">
        <v>42667</v>
      </c>
      <c r="K52" s="43">
        <f t="shared" si="17"/>
        <v>108.6460262029203</v>
      </c>
      <c r="L52" s="55">
        <v>45016</v>
      </c>
      <c r="M52" s="54">
        <v>37775</v>
      </c>
      <c r="N52" s="43">
        <f t="shared" si="20"/>
        <v>119.16876240900068</v>
      </c>
      <c r="O52" s="188">
        <v>23</v>
      </c>
      <c r="P52" s="44">
        <v>111</v>
      </c>
      <c r="Q52" s="188">
        <v>26</v>
      </c>
      <c r="R52" s="45">
        <f t="shared" si="15"/>
        <v>2886</v>
      </c>
    </row>
    <row r="53" spans="1:18" x14ac:dyDescent="0.25">
      <c r="A53" s="40">
        <v>13</v>
      </c>
      <c r="B53" s="41" t="s">
        <v>46</v>
      </c>
      <c r="C53" s="49">
        <v>190552</v>
      </c>
      <c r="D53" s="49">
        <v>178734</v>
      </c>
      <c r="E53" s="43">
        <f t="shared" si="13"/>
        <v>106.61206038022983</v>
      </c>
      <c r="F53" s="49">
        <v>29052</v>
      </c>
      <c r="G53" s="49">
        <v>28416</v>
      </c>
      <c r="H53" s="43">
        <f t="shared" si="19"/>
        <v>102.23817567567568</v>
      </c>
      <c r="I53" s="42">
        <v>189556</v>
      </c>
      <c r="J53" s="42">
        <v>178734</v>
      </c>
      <c r="K53" s="43">
        <f t="shared" si="17"/>
        <v>106.05480770306713</v>
      </c>
      <c r="L53" s="49">
        <v>3429</v>
      </c>
      <c r="M53" s="49">
        <v>0</v>
      </c>
      <c r="N53" s="43">
        <v>0</v>
      </c>
      <c r="O53" s="188">
        <v>78</v>
      </c>
      <c r="P53" s="44">
        <v>115</v>
      </c>
      <c r="Q53" s="188">
        <v>80</v>
      </c>
      <c r="R53" s="45">
        <f t="shared" si="15"/>
        <v>9200</v>
      </c>
    </row>
    <row r="54" spans="1:18" x14ac:dyDescent="0.25">
      <c r="A54" s="40">
        <v>14</v>
      </c>
      <c r="B54" s="41" t="s">
        <v>47</v>
      </c>
      <c r="C54" s="188">
        <v>9999</v>
      </c>
      <c r="D54" s="188">
        <v>22378</v>
      </c>
      <c r="E54" s="47">
        <f t="shared" si="13"/>
        <v>44.682277236571636</v>
      </c>
      <c r="F54" s="188">
        <v>1884</v>
      </c>
      <c r="G54" s="188">
        <v>5685</v>
      </c>
      <c r="H54" s="47">
        <f t="shared" si="19"/>
        <v>33.13984168865435</v>
      </c>
      <c r="I54" s="188">
        <v>11898</v>
      </c>
      <c r="J54" s="188">
        <v>21128</v>
      </c>
      <c r="K54" s="47">
        <f t="shared" si="17"/>
        <v>56.313896251419912</v>
      </c>
      <c r="L54" s="188">
        <v>0</v>
      </c>
      <c r="M54" s="188">
        <v>8026</v>
      </c>
      <c r="N54" s="43">
        <v>0</v>
      </c>
      <c r="O54" s="188">
        <v>13</v>
      </c>
      <c r="P54" s="44">
        <v>80</v>
      </c>
      <c r="Q54" s="188">
        <v>13</v>
      </c>
      <c r="R54" s="45">
        <f t="shared" si="15"/>
        <v>1040</v>
      </c>
    </row>
    <row r="55" spans="1:18" x14ac:dyDescent="0.25">
      <c r="A55" s="40">
        <v>15</v>
      </c>
      <c r="B55" s="41" t="s">
        <v>48</v>
      </c>
      <c r="C55" s="42">
        <v>117450</v>
      </c>
      <c r="D55" s="53">
        <v>20473</v>
      </c>
      <c r="E55" s="47">
        <f t="shared" si="13"/>
        <v>573.68241098031558</v>
      </c>
      <c r="F55" s="42">
        <v>69182</v>
      </c>
      <c r="G55" s="42">
        <v>18263</v>
      </c>
      <c r="H55" s="47">
        <f t="shared" si="19"/>
        <v>378.80961506871819</v>
      </c>
      <c r="I55" s="42">
        <v>146133</v>
      </c>
      <c r="J55" s="42">
        <v>43570</v>
      </c>
      <c r="K55" s="47">
        <f t="shared" si="17"/>
        <v>335.39820977736974</v>
      </c>
      <c r="L55" s="42">
        <v>56523</v>
      </c>
      <c r="M55" s="42">
        <v>33785</v>
      </c>
      <c r="N55" s="43">
        <v>0</v>
      </c>
      <c r="O55" s="188">
        <v>62</v>
      </c>
      <c r="P55" s="44">
        <v>85</v>
      </c>
      <c r="Q55" s="188">
        <v>64</v>
      </c>
      <c r="R55" s="45">
        <f t="shared" si="15"/>
        <v>5440</v>
      </c>
    </row>
    <row r="56" spans="1:18" x14ac:dyDescent="0.25">
      <c r="A56" s="40">
        <v>16</v>
      </c>
      <c r="B56" s="41" t="s">
        <v>49</v>
      </c>
      <c r="C56" s="42">
        <v>9111</v>
      </c>
      <c r="D56" s="53">
        <v>1927</v>
      </c>
      <c r="E56" s="47">
        <v>0</v>
      </c>
      <c r="F56" s="42">
        <v>8091</v>
      </c>
      <c r="G56" s="42">
        <v>0</v>
      </c>
      <c r="H56" s="47">
        <v>0</v>
      </c>
      <c r="I56" s="42">
        <v>9111</v>
      </c>
      <c r="J56" s="42">
        <v>1927</v>
      </c>
      <c r="K56" s="43">
        <v>0</v>
      </c>
      <c r="L56" s="42">
        <v>0</v>
      </c>
      <c r="M56" s="42">
        <v>0</v>
      </c>
      <c r="N56" s="43">
        <v>0</v>
      </c>
      <c r="O56" s="188">
        <v>3</v>
      </c>
      <c r="P56" s="44">
        <v>40</v>
      </c>
      <c r="Q56" s="188">
        <v>3</v>
      </c>
      <c r="R56" s="45">
        <f t="shared" si="15"/>
        <v>120</v>
      </c>
    </row>
    <row r="57" spans="1:18" x14ac:dyDescent="0.25">
      <c r="A57" s="40">
        <v>17</v>
      </c>
      <c r="B57" s="41" t="s">
        <v>169</v>
      </c>
      <c r="C57" s="188">
        <v>462000</v>
      </c>
      <c r="D57" s="188">
        <v>0</v>
      </c>
      <c r="E57" s="47">
        <v>0</v>
      </c>
      <c r="F57" s="188">
        <v>180000</v>
      </c>
      <c r="G57" s="188">
        <v>0</v>
      </c>
      <c r="H57" s="47">
        <v>0</v>
      </c>
      <c r="I57" s="188">
        <v>45675</v>
      </c>
      <c r="J57" s="188">
        <v>0</v>
      </c>
      <c r="K57" s="43">
        <v>0</v>
      </c>
      <c r="L57" s="188">
        <v>0</v>
      </c>
      <c r="M57" s="188">
        <v>0</v>
      </c>
      <c r="N57" s="47">
        <v>0</v>
      </c>
      <c r="O57" s="189">
        <v>13</v>
      </c>
      <c r="P57" s="44">
        <v>70</v>
      </c>
      <c r="Q57" s="188">
        <v>13</v>
      </c>
      <c r="R57" s="45">
        <f t="shared" si="15"/>
        <v>910</v>
      </c>
    </row>
    <row r="58" spans="1:18" s="60" customFormat="1" x14ac:dyDescent="0.25">
      <c r="A58" s="315" t="s">
        <v>50</v>
      </c>
      <c r="B58" s="315"/>
      <c r="C58" s="56">
        <f>SUM(C41:C57)</f>
        <v>1844102</v>
      </c>
      <c r="D58" s="56">
        <f>SUM(D41:D57)</f>
        <v>1239727</v>
      </c>
      <c r="E58" s="57">
        <f t="shared" si="13"/>
        <v>148.75065236136666</v>
      </c>
      <c r="F58" s="56">
        <f>SUM(F41:F57)</f>
        <v>475207</v>
      </c>
      <c r="G58" s="56">
        <f>SUM(G41:G56)</f>
        <v>285033</v>
      </c>
      <c r="H58" s="57">
        <f t="shared" si="19"/>
        <v>166.71999382527639</v>
      </c>
      <c r="I58" s="56">
        <f>SUM(I41:I57)</f>
        <v>1253507</v>
      </c>
      <c r="J58" s="56">
        <f>SUM(J41:J57)</f>
        <v>1286570</v>
      </c>
      <c r="K58" s="57">
        <f t="shared" si="17"/>
        <v>97.430143715460488</v>
      </c>
      <c r="L58" s="56">
        <f>SUM(L41:L57)</f>
        <v>565186</v>
      </c>
      <c r="M58" s="56">
        <f>SUM(M41:M57)</f>
        <v>712524</v>
      </c>
      <c r="N58" s="57">
        <f>L58/M58*100</f>
        <v>79.321678989058626</v>
      </c>
      <c r="O58" s="56">
        <f>SUM(O41:O57)</f>
        <v>801</v>
      </c>
      <c r="P58" s="57">
        <f>R58/O58</f>
        <v>81.367041198501866</v>
      </c>
      <c r="Q58" s="56">
        <f>SUM(Q41:Q57)</f>
        <v>792</v>
      </c>
      <c r="R58" s="56">
        <f>SUM(R41:R57)</f>
        <v>65175</v>
      </c>
    </row>
    <row r="59" spans="1:18" x14ac:dyDescent="0.25">
      <c r="A59" s="188"/>
      <c r="B59" s="61"/>
      <c r="C59" s="188"/>
      <c r="D59" s="188"/>
      <c r="E59" s="188"/>
      <c r="F59" s="188"/>
      <c r="G59" s="188"/>
      <c r="H59" s="188"/>
      <c r="I59" s="188"/>
      <c r="J59" s="188"/>
      <c r="K59" s="34"/>
      <c r="L59" s="188"/>
      <c r="M59" s="188"/>
      <c r="N59" s="188"/>
      <c r="O59" s="188"/>
      <c r="P59" s="62"/>
      <c r="Q59" s="188"/>
      <c r="R59" s="39"/>
    </row>
    <row r="60" spans="1:18" x14ac:dyDescent="0.25">
      <c r="A60" s="319" t="s">
        <v>51</v>
      </c>
      <c r="B60" s="320"/>
      <c r="C60" s="37">
        <v>3</v>
      </c>
      <c r="D60" s="37">
        <v>4</v>
      </c>
      <c r="E60" s="185">
        <v>5</v>
      </c>
      <c r="F60" s="37">
        <v>6</v>
      </c>
      <c r="G60" s="37">
        <v>7</v>
      </c>
      <c r="H60" s="37">
        <v>8</v>
      </c>
      <c r="I60" s="37">
        <v>9</v>
      </c>
      <c r="J60" s="37">
        <v>10</v>
      </c>
      <c r="K60" s="37">
        <v>11</v>
      </c>
      <c r="L60" s="37">
        <v>12</v>
      </c>
      <c r="M60" s="37">
        <v>13</v>
      </c>
      <c r="N60" s="37">
        <v>14</v>
      </c>
      <c r="O60" s="37">
        <v>15</v>
      </c>
      <c r="P60" s="185">
        <v>16</v>
      </c>
      <c r="Q60" s="37">
        <v>15</v>
      </c>
      <c r="R60" s="39"/>
    </row>
    <row r="61" spans="1:18" s="66" customFormat="1" x14ac:dyDescent="0.25">
      <c r="A61" s="44">
        <v>1</v>
      </c>
      <c r="B61" s="63" t="s">
        <v>52</v>
      </c>
      <c r="C61" s="64">
        <v>286583</v>
      </c>
      <c r="D61" s="65">
        <v>203744</v>
      </c>
      <c r="E61" s="43">
        <f t="shared" ref="E61:E68" si="21">C61/D61*100</f>
        <v>140.65837521595728</v>
      </c>
      <c r="F61" s="65">
        <v>60859</v>
      </c>
      <c r="G61" s="68">
        <v>29535</v>
      </c>
      <c r="H61" s="43">
        <f>F61/G61*100</f>
        <v>206.05722024716439</v>
      </c>
      <c r="I61" s="65">
        <v>278672</v>
      </c>
      <c r="J61" s="65">
        <v>194378</v>
      </c>
      <c r="K61" s="43">
        <f t="shared" ref="K61:K68" si="22">I61/J61*100</f>
        <v>143.36601878813445</v>
      </c>
      <c r="L61" s="65">
        <f>288466+73487</f>
        <v>361953</v>
      </c>
      <c r="M61" s="65">
        <f>148697+67184</f>
        <v>215881</v>
      </c>
      <c r="N61" s="43">
        <f>L61/M61*100</f>
        <v>167.66320333887651</v>
      </c>
      <c r="O61" s="68">
        <v>158</v>
      </c>
      <c r="P61" s="65">
        <v>75</v>
      </c>
      <c r="Q61" s="68">
        <v>158</v>
      </c>
      <c r="R61" s="45">
        <f t="shared" ref="R61:R69" si="23">Q61*P61</f>
        <v>11850</v>
      </c>
    </row>
    <row r="62" spans="1:18" x14ac:dyDescent="0.25">
      <c r="A62" s="67">
        <v>2</v>
      </c>
      <c r="B62" s="63" t="s">
        <v>53</v>
      </c>
      <c r="C62" s="42">
        <v>84128</v>
      </c>
      <c r="D62" s="42">
        <v>50332</v>
      </c>
      <c r="E62" s="43">
        <f t="shared" si="21"/>
        <v>167.14614956687595</v>
      </c>
      <c r="F62" s="68">
        <v>50519</v>
      </c>
      <c r="G62" s="68">
        <v>5497</v>
      </c>
      <c r="H62" s="43">
        <f t="shared" ref="H62:H68" si="24">F62/G62*100</f>
        <v>919.02856103329088</v>
      </c>
      <c r="I62" s="68">
        <v>45346</v>
      </c>
      <c r="J62" s="68">
        <v>41876</v>
      </c>
      <c r="K62" s="43">
        <f t="shared" si="22"/>
        <v>108.28636928073358</v>
      </c>
      <c r="L62" s="68">
        <v>0</v>
      </c>
      <c r="M62" s="68">
        <v>3908</v>
      </c>
      <c r="N62" s="43">
        <v>0</v>
      </c>
      <c r="O62" s="68">
        <v>130</v>
      </c>
      <c r="P62" s="68">
        <v>105</v>
      </c>
      <c r="Q62" s="68">
        <v>133</v>
      </c>
      <c r="R62" s="45">
        <f t="shared" si="23"/>
        <v>13965</v>
      </c>
    </row>
    <row r="63" spans="1:18" x14ac:dyDescent="0.25">
      <c r="A63" s="67">
        <v>3</v>
      </c>
      <c r="B63" s="63" t="s">
        <v>54</v>
      </c>
      <c r="C63" s="68">
        <v>102783</v>
      </c>
      <c r="D63" s="68">
        <v>208930</v>
      </c>
      <c r="E63" s="43">
        <f t="shared" si="21"/>
        <v>49.194945675585124</v>
      </c>
      <c r="F63" s="68">
        <v>18151</v>
      </c>
      <c r="G63" s="68">
        <v>42616</v>
      </c>
      <c r="H63" s="43">
        <f t="shared" si="24"/>
        <v>42.591984231274637</v>
      </c>
      <c r="I63" s="68">
        <v>102783</v>
      </c>
      <c r="J63" s="68">
        <v>208930</v>
      </c>
      <c r="K63" s="43">
        <f t="shared" si="22"/>
        <v>49.194945675585124</v>
      </c>
      <c r="L63" s="68">
        <v>0</v>
      </c>
      <c r="M63" s="68">
        <v>0</v>
      </c>
      <c r="N63" s="43">
        <v>0</v>
      </c>
      <c r="O63" s="68">
        <v>119</v>
      </c>
      <c r="P63" s="68">
        <v>50</v>
      </c>
      <c r="Q63" s="68"/>
      <c r="R63" s="45">
        <f t="shared" si="23"/>
        <v>0</v>
      </c>
    </row>
    <row r="64" spans="1:18" x14ac:dyDescent="0.25">
      <c r="A64" s="44">
        <v>4</v>
      </c>
      <c r="B64" s="63" t="s">
        <v>55</v>
      </c>
      <c r="C64" s="68">
        <v>163281</v>
      </c>
      <c r="D64" s="68">
        <v>149398</v>
      </c>
      <c r="E64" s="43">
        <f t="shared" si="21"/>
        <v>109.29262774602068</v>
      </c>
      <c r="F64" s="68">
        <v>15708</v>
      </c>
      <c r="G64" s="68">
        <v>22370</v>
      </c>
      <c r="H64" s="43">
        <f t="shared" si="24"/>
        <v>70.219043361645063</v>
      </c>
      <c r="I64" s="48">
        <v>174509</v>
      </c>
      <c r="J64" s="48">
        <v>140781</v>
      </c>
      <c r="K64" s="43">
        <f>I64/J64*100</f>
        <v>123.95777839339115</v>
      </c>
      <c r="L64" s="68">
        <v>96603</v>
      </c>
      <c r="M64" s="68">
        <f>57568+2313</f>
        <v>59881</v>
      </c>
      <c r="N64" s="43">
        <f t="shared" ref="N64:N66" si="25">L64/M64*100</f>
        <v>161.32496117299311</v>
      </c>
      <c r="O64" s="68">
        <v>64</v>
      </c>
      <c r="P64" s="68">
        <v>57</v>
      </c>
      <c r="Q64" s="68">
        <v>65</v>
      </c>
      <c r="R64" s="45">
        <f t="shared" si="23"/>
        <v>3705</v>
      </c>
    </row>
    <row r="65" spans="1:18" x14ac:dyDescent="0.25">
      <c r="A65" s="67">
        <v>5</v>
      </c>
      <c r="B65" s="63" t="s">
        <v>56</v>
      </c>
      <c r="C65" s="188">
        <v>0</v>
      </c>
      <c r="D65" s="188">
        <v>0</v>
      </c>
      <c r="E65" s="43">
        <v>0</v>
      </c>
      <c r="F65" s="188">
        <v>0</v>
      </c>
      <c r="G65" s="188">
        <v>0</v>
      </c>
      <c r="H65" s="43">
        <v>0</v>
      </c>
      <c r="I65" s="188">
        <v>0</v>
      </c>
      <c r="J65" s="188">
        <v>0</v>
      </c>
      <c r="K65" s="43">
        <v>0</v>
      </c>
      <c r="L65" s="188">
        <v>0</v>
      </c>
      <c r="M65" s="188">
        <v>0</v>
      </c>
      <c r="N65" s="43">
        <v>0</v>
      </c>
      <c r="O65" s="68"/>
      <c r="P65" s="44">
        <v>80</v>
      </c>
      <c r="Q65" s="68"/>
      <c r="R65" s="45">
        <f t="shared" si="23"/>
        <v>0</v>
      </c>
    </row>
    <row r="66" spans="1:18" x14ac:dyDescent="0.25">
      <c r="A66" s="67">
        <v>6</v>
      </c>
      <c r="B66" s="63" t="s">
        <v>57</v>
      </c>
      <c r="C66" s="68">
        <v>28027</v>
      </c>
      <c r="D66" s="68">
        <v>35900</v>
      </c>
      <c r="E66" s="43">
        <f t="shared" si="21"/>
        <v>78.069637883008355</v>
      </c>
      <c r="F66" s="68">
        <v>6535</v>
      </c>
      <c r="G66" s="68">
        <v>5784</v>
      </c>
      <c r="H66" s="43">
        <f t="shared" si="24"/>
        <v>112.98409405255879</v>
      </c>
      <c r="I66" s="68">
        <v>28050</v>
      </c>
      <c r="J66" s="68">
        <v>36628</v>
      </c>
      <c r="K66" s="43">
        <f t="shared" si="22"/>
        <v>76.580757890138699</v>
      </c>
      <c r="L66" s="68">
        <v>27915</v>
      </c>
      <c r="M66" s="68">
        <v>36628</v>
      </c>
      <c r="N66" s="43">
        <f t="shared" si="25"/>
        <v>76.212187397619317</v>
      </c>
      <c r="O66" s="68">
        <v>39</v>
      </c>
      <c r="P66" s="68">
        <v>41</v>
      </c>
      <c r="Q66" s="68">
        <v>37</v>
      </c>
      <c r="R66" s="45">
        <f t="shared" si="23"/>
        <v>1517</v>
      </c>
    </row>
    <row r="67" spans="1:18" x14ac:dyDescent="0.25">
      <c r="A67" s="44">
        <v>7</v>
      </c>
      <c r="B67" s="63" t="s">
        <v>58</v>
      </c>
      <c r="C67" s="42">
        <v>18656</v>
      </c>
      <c r="D67" s="42">
        <v>56942</v>
      </c>
      <c r="E67" s="43">
        <f t="shared" si="21"/>
        <v>32.763162516244599</v>
      </c>
      <c r="F67" s="42">
        <v>0</v>
      </c>
      <c r="G67" s="42">
        <v>15682</v>
      </c>
      <c r="H67" s="43">
        <f t="shared" si="24"/>
        <v>0</v>
      </c>
      <c r="I67" s="42">
        <v>27996</v>
      </c>
      <c r="J67" s="42">
        <v>60147</v>
      </c>
      <c r="K67" s="43">
        <f t="shared" si="22"/>
        <v>46.545962392139259</v>
      </c>
      <c r="L67" s="69">
        <v>27937</v>
      </c>
      <c r="M67" s="42">
        <v>60126</v>
      </c>
      <c r="N67" s="43">
        <f>L67/M67*100</f>
        <v>46.464092073312713</v>
      </c>
      <c r="O67" s="68">
        <v>40</v>
      </c>
      <c r="P67" s="68">
        <v>55</v>
      </c>
      <c r="Q67" s="68"/>
      <c r="R67" s="45">
        <f t="shared" si="23"/>
        <v>0</v>
      </c>
    </row>
    <row r="68" spans="1:18" s="66" customFormat="1" x14ac:dyDescent="0.25">
      <c r="A68" s="67">
        <v>8</v>
      </c>
      <c r="B68" s="63" t="s">
        <v>59</v>
      </c>
      <c r="C68" s="42">
        <v>153100</v>
      </c>
      <c r="D68" s="42">
        <v>111800</v>
      </c>
      <c r="E68" s="43">
        <f t="shared" si="21"/>
        <v>136.94096601073343</v>
      </c>
      <c r="F68" s="42">
        <v>54200</v>
      </c>
      <c r="G68" s="42">
        <v>10000</v>
      </c>
      <c r="H68" s="43">
        <f t="shared" si="24"/>
        <v>542</v>
      </c>
      <c r="I68" s="42">
        <v>215727</v>
      </c>
      <c r="J68" s="42">
        <v>131267</v>
      </c>
      <c r="K68" s="43">
        <f t="shared" si="22"/>
        <v>164.34214235108595</v>
      </c>
      <c r="L68" s="42">
        <v>215727</v>
      </c>
      <c r="M68" s="42">
        <v>131267</v>
      </c>
      <c r="N68" s="43">
        <f t="shared" ref="N68" si="26">L68/M68*100</f>
        <v>164.34214235108595</v>
      </c>
      <c r="O68" s="68">
        <v>35</v>
      </c>
      <c r="P68" s="65">
        <v>80</v>
      </c>
      <c r="Q68" s="68">
        <v>35</v>
      </c>
      <c r="R68" s="45">
        <f t="shared" si="23"/>
        <v>2800</v>
      </c>
    </row>
    <row r="69" spans="1:18" s="66" customFormat="1" x14ac:dyDescent="0.25">
      <c r="A69" s="67">
        <v>9</v>
      </c>
      <c r="B69" s="63" t="s">
        <v>60</v>
      </c>
      <c r="C69" s="189">
        <v>0</v>
      </c>
      <c r="D69" s="189">
        <v>0</v>
      </c>
      <c r="E69" s="43">
        <v>0</v>
      </c>
      <c r="F69" s="189">
        <v>0</v>
      </c>
      <c r="G69" s="189">
        <v>0</v>
      </c>
      <c r="H69" s="43">
        <v>0</v>
      </c>
      <c r="I69" s="189">
        <v>0</v>
      </c>
      <c r="J69" s="189">
        <v>0</v>
      </c>
      <c r="K69" s="43">
        <v>0</v>
      </c>
      <c r="L69" s="189">
        <v>0</v>
      </c>
      <c r="M69" s="189">
        <v>0</v>
      </c>
      <c r="N69" s="47">
        <v>0</v>
      </c>
      <c r="O69" s="68"/>
      <c r="P69" s="44">
        <v>0</v>
      </c>
      <c r="Q69" s="68">
        <v>0</v>
      </c>
      <c r="R69" s="45">
        <f t="shared" si="23"/>
        <v>0</v>
      </c>
    </row>
    <row r="70" spans="1:18" s="60" customFormat="1" x14ac:dyDescent="0.25">
      <c r="A70" s="334" t="s">
        <v>61</v>
      </c>
      <c r="B70" s="334"/>
      <c r="C70" s="70">
        <f>SUM(C61:C69)</f>
        <v>836558</v>
      </c>
      <c r="D70" s="70">
        <f>SUM(D61:D69)</f>
        <v>817046</v>
      </c>
      <c r="E70" s="71">
        <f>C70/D70*100</f>
        <v>102.38811523463795</v>
      </c>
      <c r="F70" s="70">
        <f>SUM(F61:F69)</f>
        <v>205972</v>
      </c>
      <c r="G70" s="70">
        <f>SUM(G61:G69)</f>
        <v>131484</v>
      </c>
      <c r="H70" s="71">
        <f>F70/G70*100</f>
        <v>156.65175990995101</v>
      </c>
      <c r="I70" s="72">
        <f>SUM(I61:I69)</f>
        <v>873083</v>
      </c>
      <c r="J70" s="70">
        <f>SUM(J61:J69)</f>
        <v>814007</v>
      </c>
      <c r="K70" s="71">
        <f>I70/J70*100</f>
        <v>107.25743144714971</v>
      </c>
      <c r="L70" s="70">
        <f>SUM(L61:L69)</f>
        <v>730135</v>
      </c>
      <c r="M70" s="70">
        <f>SUM(M61:M69)</f>
        <v>507691</v>
      </c>
      <c r="N70" s="71">
        <f>L70/M70*100</f>
        <v>143.81484012913367</v>
      </c>
      <c r="O70" s="72">
        <f>SUM(O61:O69)</f>
        <v>585</v>
      </c>
      <c r="P70" s="71">
        <f>R70/O70</f>
        <v>57.841025641025638</v>
      </c>
      <c r="Q70" s="72">
        <f>SUM(Q61:Q69)</f>
        <v>428</v>
      </c>
      <c r="R70" s="59">
        <f>SUM(R61:R69)</f>
        <v>33837</v>
      </c>
    </row>
    <row r="71" spans="1:18" x14ac:dyDescent="0.25">
      <c r="A71" s="39"/>
      <c r="B71" s="73"/>
      <c r="C71" s="39"/>
      <c r="D71" s="39"/>
      <c r="E71" s="39"/>
      <c r="F71" s="39"/>
      <c r="G71" s="39"/>
      <c r="H71" s="39"/>
      <c r="I71" s="39"/>
      <c r="J71" s="39"/>
      <c r="K71" s="74"/>
      <c r="L71" s="39"/>
      <c r="M71" s="39"/>
      <c r="N71" s="39"/>
      <c r="O71" s="39"/>
      <c r="P71" s="75"/>
      <c r="Q71" s="39"/>
      <c r="R71" s="39"/>
    </row>
    <row r="72" spans="1:18" x14ac:dyDescent="0.25">
      <c r="A72" s="319" t="s">
        <v>62</v>
      </c>
      <c r="B72" s="320"/>
      <c r="C72" s="37">
        <v>3</v>
      </c>
      <c r="D72" s="37">
        <v>4</v>
      </c>
      <c r="E72" s="185">
        <v>5</v>
      </c>
      <c r="F72" s="37">
        <v>6</v>
      </c>
      <c r="G72" s="37">
        <v>7</v>
      </c>
      <c r="H72" s="37">
        <v>8</v>
      </c>
      <c r="I72" s="37">
        <v>9</v>
      </c>
      <c r="J72" s="37">
        <v>10</v>
      </c>
      <c r="K72" s="37">
        <v>11</v>
      </c>
      <c r="L72" s="37">
        <v>12</v>
      </c>
      <c r="M72" s="37">
        <v>13</v>
      </c>
      <c r="N72" s="37">
        <v>14</v>
      </c>
      <c r="O72" s="37">
        <v>15</v>
      </c>
      <c r="P72" s="185">
        <v>16</v>
      </c>
      <c r="Q72" s="37">
        <v>15</v>
      </c>
      <c r="R72" s="39"/>
    </row>
    <row r="73" spans="1:18" x14ac:dyDescent="0.25">
      <c r="A73" s="40">
        <v>1</v>
      </c>
      <c r="B73" s="41" t="s">
        <v>63</v>
      </c>
      <c r="C73" s="188">
        <v>49420</v>
      </c>
      <c r="D73" s="188">
        <v>1755</v>
      </c>
      <c r="E73" s="47">
        <f t="shared" ref="E73:E80" si="27">C73/D73*100</f>
        <v>2815.9544159544157</v>
      </c>
      <c r="F73" s="188">
        <v>433</v>
      </c>
      <c r="G73" s="188">
        <v>57</v>
      </c>
      <c r="H73" s="47">
        <f t="shared" ref="H73:H80" si="28">F73/G73*100</f>
        <v>759.64912280701753</v>
      </c>
      <c r="I73" s="188">
        <v>111798</v>
      </c>
      <c r="J73" s="188">
        <v>77032</v>
      </c>
      <c r="K73" s="47">
        <f>I73/J73*100</f>
        <v>145.13189323917334</v>
      </c>
      <c r="L73" s="188">
        <v>53172</v>
      </c>
      <c r="M73" s="188">
        <v>0</v>
      </c>
      <c r="N73" s="47">
        <v>0</v>
      </c>
      <c r="O73" s="188">
        <v>179</v>
      </c>
      <c r="P73" s="62">
        <v>55</v>
      </c>
      <c r="Q73" s="188">
        <v>175</v>
      </c>
      <c r="R73" s="45">
        <f t="shared" ref="R73:R80" si="29">Q73*P73</f>
        <v>9625</v>
      </c>
    </row>
    <row r="74" spans="1:18" x14ac:dyDescent="0.25">
      <c r="A74" s="40">
        <v>2</v>
      </c>
      <c r="B74" s="41" t="s">
        <v>40</v>
      </c>
      <c r="C74" s="51">
        <v>271150</v>
      </c>
      <c r="D74" s="51">
        <v>171369</v>
      </c>
      <c r="E74" s="47">
        <f t="shared" si="27"/>
        <v>158.22581680467295</v>
      </c>
      <c r="F74" s="51">
        <v>66806</v>
      </c>
      <c r="G74" s="51">
        <v>29763</v>
      </c>
      <c r="H74" s="47">
        <f t="shared" si="28"/>
        <v>224.45989987568456</v>
      </c>
      <c r="I74" s="51">
        <v>239655</v>
      </c>
      <c r="J74" s="51">
        <v>142982</v>
      </c>
      <c r="K74" s="47">
        <f t="shared" ref="K74:K80" si="30">I74/J74*100</f>
        <v>167.61200710578953</v>
      </c>
      <c r="L74" s="51">
        <v>239655</v>
      </c>
      <c r="M74" s="51">
        <f>54+142928</f>
        <v>142982</v>
      </c>
      <c r="N74" s="47">
        <f t="shared" ref="N74" si="31">L74/M74*100</f>
        <v>167.61200710578953</v>
      </c>
      <c r="O74" s="188">
        <v>24</v>
      </c>
      <c r="P74" s="44">
        <v>68</v>
      </c>
      <c r="Q74" s="188">
        <v>23</v>
      </c>
      <c r="R74" s="45">
        <f t="shared" si="29"/>
        <v>1564</v>
      </c>
    </row>
    <row r="75" spans="1:18" x14ac:dyDescent="0.25">
      <c r="A75" s="40">
        <v>3</v>
      </c>
      <c r="B75" s="41" t="s">
        <v>64</v>
      </c>
      <c r="C75" s="188">
        <v>26018</v>
      </c>
      <c r="D75" s="188">
        <v>5279</v>
      </c>
      <c r="E75" s="47">
        <f t="shared" si="27"/>
        <v>492.8584959272589</v>
      </c>
      <c r="F75" s="188">
        <v>2233</v>
      </c>
      <c r="G75" s="188">
        <v>1435</v>
      </c>
      <c r="H75" s="47">
        <f t="shared" si="28"/>
        <v>155.60975609756099</v>
      </c>
      <c r="I75" s="188">
        <v>24634</v>
      </c>
      <c r="J75" s="188">
        <v>5345</v>
      </c>
      <c r="K75" s="47">
        <f t="shared" si="30"/>
        <v>460.87932647333957</v>
      </c>
      <c r="L75" s="188">
        <v>460</v>
      </c>
      <c r="M75" s="188">
        <v>0</v>
      </c>
      <c r="N75" s="47">
        <v>0</v>
      </c>
      <c r="O75" s="188">
        <v>42</v>
      </c>
      <c r="P75" s="62">
        <v>45</v>
      </c>
      <c r="Q75" s="188">
        <v>33</v>
      </c>
      <c r="R75" s="45">
        <f t="shared" si="29"/>
        <v>1485</v>
      </c>
    </row>
    <row r="76" spans="1:18" x14ac:dyDescent="0.25">
      <c r="A76" s="40">
        <v>4</v>
      </c>
      <c r="B76" s="41" t="s">
        <v>65</v>
      </c>
      <c r="C76" s="188">
        <v>12799</v>
      </c>
      <c r="D76" s="188">
        <v>11888</v>
      </c>
      <c r="E76" s="47">
        <f t="shared" si="27"/>
        <v>107.66318977119784</v>
      </c>
      <c r="F76" s="188">
        <v>2747</v>
      </c>
      <c r="G76" s="188">
        <v>1556</v>
      </c>
      <c r="H76" s="47">
        <f t="shared" si="28"/>
        <v>176.54241645244215</v>
      </c>
      <c r="I76" s="188">
        <v>3718</v>
      </c>
      <c r="J76" s="188">
        <v>7759</v>
      </c>
      <c r="K76" s="47">
        <f t="shared" si="30"/>
        <v>47.918546204407789</v>
      </c>
      <c r="L76" s="188">
        <v>3325</v>
      </c>
      <c r="M76" s="188">
        <v>0</v>
      </c>
      <c r="N76" s="47">
        <v>0</v>
      </c>
      <c r="O76" s="188">
        <v>73</v>
      </c>
      <c r="P76" s="76">
        <v>50</v>
      </c>
      <c r="Q76" s="188">
        <v>71</v>
      </c>
      <c r="R76" s="45">
        <f t="shared" si="29"/>
        <v>3550</v>
      </c>
    </row>
    <row r="77" spans="1:18" x14ac:dyDescent="0.25">
      <c r="A77" s="40">
        <v>5</v>
      </c>
      <c r="B77" s="41" t="s">
        <v>66</v>
      </c>
      <c r="C77" s="188">
        <v>11182</v>
      </c>
      <c r="D77" s="188">
        <v>29897</v>
      </c>
      <c r="E77" s="47">
        <f t="shared" si="27"/>
        <v>37.401745994581397</v>
      </c>
      <c r="F77" s="188">
        <v>3283</v>
      </c>
      <c r="G77" s="188">
        <v>4694</v>
      </c>
      <c r="H77" s="47">
        <f t="shared" si="28"/>
        <v>69.940349382190021</v>
      </c>
      <c r="I77" s="188">
        <v>11894</v>
      </c>
      <c r="J77" s="188">
        <v>33416</v>
      </c>
      <c r="K77" s="47">
        <f t="shared" si="30"/>
        <v>35.593727555661957</v>
      </c>
      <c r="L77" s="188">
        <v>2033</v>
      </c>
      <c r="M77" s="188">
        <v>0</v>
      </c>
      <c r="N77" s="47">
        <v>0</v>
      </c>
      <c r="O77" s="188">
        <v>64</v>
      </c>
      <c r="P77" s="62">
        <v>48</v>
      </c>
      <c r="Q77" s="188">
        <v>61</v>
      </c>
      <c r="R77" s="45">
        <f t="shared" si="29"/>
        <v>2928</v>
      </c>
    </row>
    <row r="78" spans="1:18" x14ac:dyDescent="0.25">
      <c r="A78" s="40">
        <v>6</v>
      </c>
      <c r="B78" s="41" t="s">
        <v>67</v>
      </c>
      <c r="C78" s="188">
        <v>1708</v>
      </c>
      <c r="D78" s="188">
        <v>2642</v>
      </c>
      <c r="E78" s="47">
        <f t="shared" si="27"/>
        <v>64.647993943981831</v>
      </c>
      <c r="F78" s="188">
        <v>467</v>
      </c>
      <c r="G78" s="188">
        <v>1592</v>
      </c>
      <c r="H78" s="47">
        <f t="shared" si="28"/>
        <v>29.334170854271356</v>
      </c>
      <c r="I78" s="188">
        <v>1816</v>
      </c>
      <c r="J78" s="188">
        <v>2792</v>
      </c>
      <c r="K78" s="47">
        <f t="shared" si="30"/>
        <v>65.042979942693407</v>
      </c>
      <c r="L78" s="188">
        <v>22</v>
      </c>
      <c r="M78" s="188">
        <v>146</v>
      </c>
      <c r="N78" s="47">
        <f t="shared" ref="N78:N79" si="32">L78/M78*100</f>
        <v>15.068493150684931</v>
      </c>
      <c r="O78" s="188">
        <v>8</v>
      </c>
      <c r="P78" s="62">
        <v>52</v>
      </c>
      <c r="Q78" s="188">
        <v>9</v>
      </c>
      <c r="R78" s="45">
        <f t="shared" si="29"/>
        <v>468</v>
      </c>
    </row>
    <row r="79" spans="1:18" x14ac:dyDescent="0.25">
      <c r="A79" s="40">
        <v>7</v>
      </c>
      <c r="B79" s="41" t="s">
        <v>168</v>
      </c>
      <c r="C79" s="188">
        <v>357978</v>
      </c>
      <c r="D79" s="188">
        <v>334647</v>
      </c>
      <c r="E79" s="47">
        <f t="shared" si="27"/>
        <v>106.97182404145265</v>
      </c>
      <c r="F79" s="188">
        <v>77100</v>
      </c>
      <c r="G79" s="188">
        <v>64473</v>
      </c>
      <c r="H79" s="47">
        <f t="shared" si="28"/>
        <v>119.58494253408402</v>
      </c>
      <c r="I79" s="188">
        <v>338328</v>
      </c>
      <c r="J79" s="188">
        <v>309902</v>
      </c>
      <c r="K79" s="47">
        <f t="shared" si="30"/>
        <v>109.17257713728856</v>
      </c>
      <c r="L79" s="188">
        <v>42260</v>
      </c>
      <c r="M79" s="188">
        <v>115970</v>
      </c>
      <c r="N79" s="47">
        <f t="shared" si="32"/>
        <v>36.440458739329138</v>
      </c>
      <c r="O79" s="188">
        <v>149</v>
      </c>
      <c r="P79" s="44"/>
      <c r="Q79" s="188">
        <v>154</v>
      </c>
      <c r="R79" s="45">
        <f t="shared" si="29"/>
        <v>0</v>
      </c>
    </row>
    <row r="80" spans="1:18" x14ac:dyDescent="0.25">
      <c r="A80" s="40">
        <v>8</v>
      </c>
      <c r="B80" s="41" t="s">
        <v>68</v>
      </c>
      <c r="C80" s="188">
        <v>2716</v>
      </c>
      <c r="D80" s="188">
        <v>3258</v>
      </c>
      <c r="E80" s="47">
        <f t="shared" si="27"/>
        <v>83.364027010435848</v>
      </c>
      <c r="F80" s="188">
        <v>0</v>
      </c>
      <c r="G80" s="188">
        <v>0</v>
      </c>
      <c r="H80" s="47" t="e">
        <f t="shared" si="28"/>
        <v>#DIV/0!</v>
      </c>
      <c r="I80" s="188">
        <v>2988</v>
      </c>
      <c r="J80" s="188">
        <v>3583</v>
      </c>
      <c r="K80" s="47">
        <f t="shared" si="30"/>
        <v>83.393804074797657</v>
      </c>
      <c r="L80" s="188">
        <v>0</v>
      </c>
      <c r="M80" s="188">
        <v>0</v>
      </c>
      <c r="N80" s="47">
        <v>0</v>
      </c>
      <c r="O80" s="188">
        <v>20</v>
      </c>
      <c r="P80" s="62">
        <v>40</v>
      </c>
      <c r="Q80" s="188">
        <v>20</v>
      </c>
      <c r="R80" s="45">
        <f t="shared" si="29"/>
        <v>800</v>
      </c>
    </row>
    <row r="81" spans="1:18" s="60" customFormat="1" x14ac:dyDescent="0.25">
      <c r="A81" s="315" t="s">
        <v>69</v>
      </c>
      <c r="B81" s="315" t="s">
        <v>69</v>
      </c>
      <c r="C81" s="56">
        <f>SUM(C73:C80)</f>
        <v>732971</v>
      </c>
      <c r="D81" s="56">
        <f>SUM(D73:D80)</f>
        <v>560735</v>
      </c>
      <c r="E81" s="57">
        <f>C81/D81*100</f>
        <v>130.71611367223377</v>
      </c>
      <c r="F81" s="56">
        <f>SUM(F73:F80)</f>
        <v>153069</v>
      </c>
      <c r="G81" s="56">
        <f>SUM(G73:G80)</f>
        <v>103570</v>
      </c>
      <c r="H81" s="57">
        <f>F81/G81*100</f>
        <v>147.79279714202954</v>
      </c>
      <c r="I81" s="56">
        <f>SUM(I73:I80)</f>
        <v>734831</v>
      </c>
      <c r="J81" s="56">
        <f>SUM(J73:J80)</f>
        <v>582811</v>
      </c>
      <c r="K81" s="57">
        <f>I81/J81*100</f>
        <v>126.08392772270942</v>
      </c>
      <c r="L81" s="56">
        <f>SUM(L73:L80)</f>
        <v>340927</v>
      </c>
      <c r="M81" s="56">
        <f>SUM(M73:M80)</f>
        <v>259098</v>
      </c>
      <c r="N81" s="58">
        <f>L81/M81*100</f>
        <v>131.58225845047048</v>
      </c>
      <c r="O81" s="56">
        <f>SUM(O73:O80)</f>
        <v>559</v>
      </c>
      <c r="P81" s="57">
        <f>R81/O81</f>
        <v>36.529516994633276</v>
      </c>
      <c r="Q81" s="56">
        <f>SUM(Q73:Q80)</f>
        <v>546</v>
      </c>
      <c r="R81" s="59">
        <f>SUM(R73:R80)</f>
        <v>20420</v>
      </c>
    </row>
    <row r="82" spans="1:18" s="60" customFormat="1" x14ac:dyDescent="0.25">
      <c r="A82" s="315" t="s">
        <v>70</v>
      </c>
      <c r="B82" s="315" t="s">
        <v>70</v>
      </c>
      <c r="C82" s="56">
        <f>C58+C70+C81</f>
        <v>3413631</v>
      </c>
      <c r="D82" s="56">
        <f>D58+D70+D81</f>
        <v>2617508</v>
      </c>
      <c r="E82" s="57">
        <f>C82/D82*100</f>
        <v>130.41530341072502</v>
      </c>
      <c r="F82" s="56">
        <f>F58+F70+F81</f>
        <v>834248</v>
      </c>
      <c r="G82" s="56">
        <f>G58+G70+G81</f>
        <v>520087</v>
      </c>
      <c r="H82" s="57">
        <f>F82/G82*100</f>
        <v>160.40547062318419</v>
      </c>
      <c r="I82" s="56">
        <f>I58+I70+I81</f>
        <v>2861421</v>
      </c>
      <c r="J82" s="56">
        <f>J58+J70+J81</f>
        <v>2683388</v>
      </c>
      <c r="K82" s="57">
        <f>I82/J82*100</f>
        <v>106.63463502110019</v>
      </c>
      <c r="L82" s="56">
        <f>L58+L70+L81</f>
        <v>1636248</v>
      </c>
      <c r="M82" s="56">
        <f>M58+M70+M81</f>
        <v>1479313</v>
      </c>
      <c r="N82" s="57">
        <f>L82/M82*100</f>
        <v>110.60864063250982</v>
      </c>
      <c r="O82" s="56">
        <f>O58+O70+O81</f>
        <v>1945</v>
      </c>
      <c r="P82" s="57">
        <f>R82/O82</f>
        <v>61.404627249357326</v>
      </c>
      <c r="Q82" s="56">
        <f>Q58+Q70+Q81</f>
        <v>1766</v>
      </c>
      <c r="R82" s="59">
        <f>R58+R70+R81</f>
        <v>119432</v>
      </c>
    </row>
    <row r="83" spans="1:18" x14ac:dyDescent="0.25">
      <c r="A83" s="188"/>
      <c r="B83" s="61"/>
      <c r="C83" s="188"/>
      <c r="D83" s="188"/>
      <c r="E83" s="188"/>
      <c r="F83" s="188"/>
      <c r="G83" s="188"/>
      <c r="H83" s="188"/>
      <c r="I83" s="188"/>
      <c r="J83" s="188"/>
      <c r="K83" s="34"/>
      <c r="L83" s="188"/>
      <c r="M83" s="188"/>
      <c r="N83" s="188"/>
      <c r="O83" s="188"/>
      <c r="P83" s="62"/>
      <c r="Q83" s="188"/>
      <c r="R83" s="39"/>
    </row>
    <row r="84" spans="1:18" x14ac:dyDescent="0.25">
      <c r="A84" s="316" t="s">
        <v>18</v>
      </c>
      <c r="B84" s="317"/>
      <c r="C84" s="37">
        <v>3</v>
      </c>
      <c r="D84" s="37">
        <v>4</v>
      </c>
      <c r="E84" s="185">
        <v>5</v>
      </c>
      <c r="F84" s="37">
        <v>6</v>
      </c>
      <c r="G84" s="37">
        <v>7</v>
      </c>
      <c r="H84" s="37">
        <v>8</v>
      </c>
      <c r="I84" s="37">
        <v>9</v>
      </c>
      <c r="J84" s="37">
        <v>10</v>
      </c>
      <c r="K84" s="37">
        <v>11</v>
      </c>
      <c r="L84" s="37">
        <v>12</v>
      </c>
      <c r="M84" s="37">
        <v>13</v>
      </c>
      <c r="N84" s="37">
        <v>14</v>
      </c>
      <c r="O84" s="37">
        <v>15</v>
      </c>
      <c r="P84" s="185">
        <v>16</v>
      </c>
      <c r="Q84" s="37">
        <v>15</v>
      </c>
      <c r="R84" s="39"/>
    </row>
    <row r="85" spans="1:18" x14ac:dyDescent="0.25">
      <c r="A85" s="77">
        <v>1</v>
      </c>
      <c r="B85" s="78" t="s">
        <v>71</v>
      </c>
      <c r="C85" s="51">
        <v>10757</v>
      </c>
      <c r="D85" s="51">
        <v>22375</v>
      </c>
      <c r="E85" s="47">
        <f>C85/D85*100</f>
        <v>48.075977653631284</v>
      </c>
      <c r="F85" s="51">
        <v>232</v>
      </c>
      <c r="G85" s="51">
        <v>365</v>
      </c>
      <c r="H85" s="47">
        <f>F85/G85*100</f>
        <v>63.561643835616444</v>
      </c>
      <c r="I85" s="51">
        <v>8184</v>
      </c>
      <c r="J85" s="51">
        <v>22414</v>
      </c>
      <c r="K85" s="47">
        <f>I85/J85*100</f>
        <v>36.512893727134824</v>
      </c>
      <c r="L85" s="188">
        <v>0</v>
      </c>
      <c r="M85" s="51">
        <v>0</v>
      </c>
      <c r="N85" s="47">
        <v>0</v>
      </c>
      <c r="O85" s="188">
        <v>2783</v>
      </c>
      <c r="P85" s="51">
        <v>113</v>
      </c>
      <c r="Q85" s="188"/>
      <c r="R85" s="45">
        <f t="shared" ref="R85:R95" si="33">Q85*P85</f>
        <v>0</v>
      </c>
    </row>
    <row r="86" spans="1:18" s="80" customFormat="1" x14ac:dyDescent="0.25">
      <c r="A86" s="79">
        <v>2</v>
      </c>
      <c r="B86" s="78" t="s">
        <v>72</v>
      </c>
      <c r="C86" s="51">
        <v>273373</v>
      </c>
      <c r="D86" s="51">
        <v>336577</v>
      </c>
      <c r="E86" s="47">
        <f>C86/D86*100</f>
        <v>81.221533259848414</v>
      </c>
      <c r="F86" s="51">
        <v>59330</v>
      </c>
      <c r="G86" s="51">
        <v>54102</v>
      </c>
      <c r="H86" s="47">
        <f t="shared" ref="H86:H95" si="34">F86/G86*100</f>
        <v>109.66322871612878</v>
      </c>
      <c r="I86" s="51">
        <v>314599</v>
      </c>
      <c r="J86" s="51">
        <v>316018</v>
      </c>
      <c r="K86" s="47">
        <f>I86/J86*100</f>
        <v>99.550974944465182</v>
      </c>
      <c r="L86" s="51">
        <v>310602</v>
      </c>
      <c r="M86" s="51">
        <v>316495</v>
      </c>
      <c r="N86" s="47">
        <f t="shared" ref="N86:N95" si="35">L86/M86*100</f>
        <v>98.138043255027725</v>
      </c>
      <c r="O86" s="188">
        <v>562</v>
      </c>
      <c r="P86" s="51">
        <v>85</v>
      </c>
      <c r="Q86" s="188">
        <v>562</v>
      </c>
      <c r="R86" s="45">
        <f t="shared" si="33"/>
        <v>47770</v>
      </c>
    </row>
    <row r="87" spans="1:18" x14ac:dyDescent="0.25">
      <c r="A87" s="77">
        <v>3</v>
      </c>
      <c r="B87" s="78" t="s">
        <v>73</v>
      </c>
      <c r="C87" s="51">
        <v>245045</v>
      </c>
      <c r="D87" s="51">
        <v>330401</v>
      </c>
      <c r="E87" s="47">
        <f>C87/D87*100</f>
        <v>74.165937754425684</v>
      </c>
      <c r="F87" s="51">
        <v>85237</v>
      </c>
      <c r="G87" s="51">
        <v>36903</v>
      </c>
      <c r="H87" s="47">
        <f t="shared" si="34"/>
        <v>230.97580142535836</v>
      </c>
      <c r="I87" s="51">
        <v>745350</v>
      </c>
      <c r="J87" s="51">
        <v>529675</v>
      </c>
      <c r="K87" s="47">
        <f>I87/J87*100</f>
        <v>140.71836503516306</v>
      </c>
      <c r="L87" s="51">
        <v>192588</v>
      </c>
      <c r="M87" s="51">
        <v>112613</v>
      </c>
      <c r="N87" s="47">
        <f t="shared" si="35"/>
        <v>171.01755569960838</v>
      </c>
      <c r="O87" s="188">
        <v>21</v>
      </c>
      <c r="P87" s="51">
        <v>306</v>
      </c>
      <c r="Q87" s="188">
        <v>21</v>
      </c>
      <c r="R87" s="45">
        <f t="shared" si="33"/>
        <v>6426</v>
      </c>
    </row>
    <row r="88" spans="1:18" x14ac:dyDescent="0.25">
      <c r="A88" s="79">
        <v>4</v>
      </c>
      <c r="B88" s="78" t="s">
        <v>74</v>
      </c>
      <c r="C88" s="51">
        <v>405450</v>
      </c>
      <c r="D88" s="51">
        <v>389050</v>
      </c>
      <c r="E88" s="47">
        <f t="shared" ref="E88:E94" si="36">C88/D88*100</f>
        <v>104.21539647860172</v>
      </c>
      <c r="F88" s="51">
        <v>70821</v>
      </c>
      <c r="G88" s="51">
        <v>58548</v>
      </c>
      <c r="H88" s="47">
        <f t="shared" si="34"/>
        <v>120.96228735396596</v>
      </c>
      <c r="I88" s="51">
        <v>397734</v>
      </c>
      <c r="J88" s="51">
        <v>378425</v>
      </c>
      <c r="K88" s="47">
        <f t="shared" ref="K88:K95" si="37">I88/J88*100</f>
        <v>105.1024641606659</v>
      </c>
      <c r="L88" s="188">
        <v>255714</v>
      </c>
      <c r="M88" s="51">
        <v>216601</v>
      </c>
      <c r="N88" s="47">
        <f t="shared" si="35"/>
        <v>118.05762669609096</v>
      </c>
      <c r="O88" s="188">
        <v>196</v>
      </c>
      <c r="P88" s="51">
        <v>35</v>
      </c>
      <c r="Q88" s="188">
        <v>173</v>
      </c>
      <c r="R88" s="45">
        <f t="shared" si="33"/>
        <v>6055</v>
      </c>
    </row>
    <row r="89" spans="1:18" x14ac:dyDescent="0.25">
      <c r="A89" s="77">
        <v>5</v>
      </c>
      <c r="B89" s="78" t="s">
        <v>75</v>
      </c>
      <c r="C89" s="62">
        <v>152387</v>
      </c>
      <c r="D89" s="62">
        <v>122253</v>
      </c>
      <c r="E89" s="47">
        <f t="shared" si="36"/>
        <v>124.64888387197041</v>
      </c>
      <c r="F89" s="62">
        <v>33716</v>
      </c>
      <c r="G89" s="62">
        <v>26102</v>
      </c>
      <c r="H89" s="47">
        <f t="shared" si="34"/>
        <v>129.17017853038081</v>
      </c>
      <c r="I89" s="62">
        <v>150128</v>
      </c>
      <c r="J89" s="62">
        <v>118223</v>
      </c>
      <c r="K89" s="47">
        <f t="shared" si="37"/>
        <v>126.98713448313781</v>
      </c>
      <c r="L89" s="188">
        <v>66994</v>
      </c>
      <c r="M89" s="62">
        <v>0</v>
      </c>
      <c r="N89" s="47">
        <v>0</v>
      </c>
      <c r="O89" s="188">
        <v>87</v>
      </c>
      <c r="P89" s="62">
        <v>46</v>
      </c>
      <c r="Q89" s="188">
        <v>89</v>
      </c>
      <c r="R89" s="45">
        <f t="shared" si="33"/>
        <v>4094</v>
      </c>
    </row>
    <row r="90" spans="1:18" x14ac:dyDescent="0.25">
      <c r="A90" s="79">
        <v>6</v>
      </c>
      <c r="B90" s="78" t="s">
        <v>76</v>
      </c>
      <c r="C90" s="189">
        <v>0</v>
      </c>
      <c r="D90" s="189">
        <v>0</v>
      </c>
      <c r="E90" s="43">
        <v>0</v>
      </c>
      <c r="F90" s="189">
        <v>0</v>
      </c>
      <c r="G90" s="189">
        <v>0</v>
      </c>
      <c r="H90" s="43">
        <v>0</v>
      </c>
      <c r="I90" s="189">
        <v>0</v>
      </c>
      <c r="J90" s="189">
        <v>0</v>
      </c>
      <c r="K90" s="43">
        <v>0</v>
      </c>
      <c r="L90" s="189">
        <v>0</v>
      </c>
      <c r="M90" s="189">
        <v>0</v>
      </c>
      <c r="N90" s="47">
        <v>0</v>
      </c>
      <c r="O90" s="188">
        <v>0</v>
      </c>
      <c r="P90" s="44">
        <v>0</v>
      </c>
      <c r="Q90" s="188">
        <v>0</v>
      </c>
      <c r="R90" s="45">
        <f t="shared" si="33"/>
        <v>0</v>
      </c>
    </row>
    <row r="91" spans="1:18" x14ac:dyDescent="0.25">
      <c r="A91" s="77">
        <v>7</v>
      </c>
      <c r="B91" s="78" t="s">
        <v>77</v>
      </c>
      <c r="C91" s="51">
        <v>406</v>
      </c>
      <c r="D91" s="62">
        <v>839</v>
      </c>
      <c r="E91" s="47">
        <f t="shared" si="36"/>
        <v>48.390941597139452</v>
      </c>
      <c r="F91" s="51">
        <v>101</v>
      </c>
      <c r="G91" s="62">
        <v>429</v>
      </c>
      <c r="H91" s="47">
        <f t="shared" ref="H91:H92" si="38">F91/G91*100</f>
        <v>23.543123543123542</v>
      </c>
      <c r="I91" s="51">
        <v>406</v>
      </c>
      <c r="J91" s="62">
        <v>839</v>
      </c>
      <c r="K91" s="47">
        <f t="shared" ref="K91:K92" si="39">I91/J91*100</f>
        <v>48.390941597139452</v>
      </c>
      <c r="L91" s="188">
        <v>0</v>
      </c>
      <c r="M91" s="62">
        <v>0</v>
      </c>
      <c r="N91" s="47">
        <v>0</v>
      </c>
      <c r="O91" s="188">
        <v>12</v>
      </c>
      <c r="P91" s="51">
        <v>73</v>
      </c>
      <c r="Q91" s="188">
        <v>12</v>
      </c>
      <c r="R91" s="45">
        <f t="shared" si="33"/>
        <v>876</v>
      </c>
    </row>
    <row r="92" spans="1:18" x14ac:dyDescent="0.25">
      <c r="A92" s="79">
        <v>8</v>
      </c>
      <c r="B92" s="81" t="s">
        <v>78</v>
      </c>
      <c r="C92" s="62">
        <v>396348</v>
      </c>
      <c r="D92" s="62">
        <v>114162</v>
      </c>
      <c r="E92" s="47">
        <f t="shared" si="36"/>
        <v>347.18032269932201</v>
      </c>
      <c r="F92" s="62">
        <v>125731</v>
      </c>
      <c r="G92" s="62">
        <v>101169</v>
      </c>
      <c r="H92" s="47">
        <f t="shared" si="38"/>
        <v>124.27818798248475</v>
      </c>
      <c r="I92" s="62">
        <v>459129</v>
      </c>
      <c r="J92" s="62">
        <v>476007</v>
      </c>
      <c r="K92" s="47">
        <f t="shared" si="39"/>
        <v>96.454253823998386</v>
      </c>
      <c r="L92" s="188">
        <v>97568</v>
      </c>
      <c r="M92" s="62">
        <v>78407</v>
      </c>
      <c r="N92" s="47">
        <f t="shared" si="35"/>
        <v>124.43786906781283</v>
      </c>
      <c r="O92" s="188">
        <v>79</v>
      </c>
      <c r="P92" s="51">
        <v>85</v>
      </c>
      <c r="Q92" s="188">
        <v>80</v>
      </c>
      <c r="R92" s="45">
        <f t="shared" si="33"/>
        <v>6800</v>
      </c>
    </row>
    <row r="93" spans="1:18" x14ac:dyDescent="0.25">
      <c r="A93" s="77">
        <v>9</v>
      </c>
      <c r="B93" s="81" t="s">
        <v>79</v>
      </c>
      <c r="C93" s="51">
        <v>930370</v>
      </c>
      <c r="D93" s="51">
        <v>968123</v>
      </c>
      <c r="E93" s="47">
        <f t="shared" si="36"/>
        <v>96.100392202230495</v>
      </c>
      <c r="F93" s="51">
        <v>232104</v>
      </c>
      <c r="G93" s="51">
        <v>227891</v>
      </c>
      <c r="H93" s="47">
        <f t="shared" si="34"/>
        <v>101.84869082148921</v>
      </c>
      <c r="I93" s="51">
        <v>886628</v>
      </c>
      <c r="J93" s="51">
        <v>1114856</v>
      </c>
      <c r="K93" s="47">
        <f t="shared" si="37"/>
        <v>79.528477220376445</v>
      </c>
      <c r="L93" s="188">
        <v>0</v>
      </c>
      <c r="M93" s="51">
        <v>0</v>
      </c>
      <c r="N93" s="47">
        <v>0</v>
      </c>
      <c r="O93" s="188">
        <v>128</v>
      </c>
      <c r="P93" s="51">
        <v>145</v>
      </c>
      <c r="Q93" s="188">
        <v>128</v>
      </c>
      <c r="R93" s="45">
        <f t="shared" si="33"/>
        <v>18560</v>
      </c>
    </row>
    <row r="94" spans="1:18" x14ac:dyDescent="0.25">
      <c r="A94" s="79">
        <v>10</v>
      </c>
      <c r="B94" s="78" t="s">
        <v>80</v>
      </c>
      <c r="C94" s="51">
        <v>665929</v>
      </c>
      <c r="D94" s="51">
        <v>560393</v>
      </c>
      <c r="E94" s="47">
        <f t="shared" si="36"/>
        <v>118.83249790771832</v>
      </c>
      <c r="F94" s="51">
        <v>116856</v>
      </c>
      <c r="G94" s="51">
        <v>72728</v>
      </c>
      <c r="H94" s="47">
        <f t="shared" si="34"/>
        <v>160.67539324606756</v>
      </c>
      <c r="I94" s="51">
        <v>626558</v>
      </c>
      <c r="J94" s="51">
        <v>476547</v>
      </c>
      <c r="K94" s="47">
        <f t="shared" si="37"/>
        <v>131.47874186596496</v>
      </c>
      <c r="L94" s="188">
        <f>148564+168037</f>
        <v>316601</v>
      </c>
      <c r="M94" s="51">
        <f>192727+63293</f>
        <v>256020</v>
      </c>
      <c r="N94" s="47">
        <f t="shared" si="35"/>
        <v>123.66260448402468</v>
      </c>
      <c r="O94" s="188">
        <v>114</v>
      </c>
      <c r="P94" s="51">
        <v>140</v>
      </c>
      <c r="Q94" s="188">
        <v>114</v>
      </c>
      <c r="R94" s="45">
        <f t="shared" si="33"/>
        <v>15960</v>
      </c>
    </row>
    <row r="95" spans="1:18" x14ac:dyDescent="0.25">
      <c r="A95" s="77">
        <v>11</v>
      </c>
      <c r="B95" s="78" t="s">
        <v>81</v>
      </c>
      <c r="C95" s="77">
        <v>135608</v>
      </c>
      <c r="D95" s="181">
        <v>122747</v>
      </c>
      <c r="E95" s="47">
        <f>F95/G95*100</f>
        <v>68.478233969361753</v>
      </c>
      <c r="F95" s="51">
        <v>27670</v>
      </c>
      <c r="G95" s="51">
        <v>40407</v>
      </c>
      <c r="H95" s="47">
        <f t="shared" si="34"/>
        <v>68.478233969361753</v>
      </c>
      <c r="I95" s="82">
        <v>1661828</v>
      </c>
      <c r="J95" s="83">
        <v>1719214</v>
      </c>
      <c r="K95" s="47">
        <f t="shared" si="37"/>
        <v>96.66207929902852</v>
      </c>
      <c r="L95" s="82">
        <v>30350</v>
      </c>
      <c r="M95" s="83">
        <v>150125</v>
      </c>
      <c r="N95" s="47">
        <f t="shared" si="35"/>
        <v>20.216486261448793</v>
      </c>
      <c r="O95" s="188">
        <v>52</v>
      </c>
      <c r="P95" s="51">
        <v>250</v>
      </c>
      <c r="Q95" s="188">
        <v>53</v>
      </c>
      <c r="R95" s="45">
        <f t="shared" si="33"/>
        <v>13250</v>
      </c>
    </row>
    <row r="96" spans="1:18" s="60" customFormat="1" x14ac:dyDescent="0.25">
      <c r="A96" s="315" t="s">
        <v>82</v>
      </c>
      <c r="B96" s="315" t="s">
        <v>83</v>
      </c>
      <c r="C96" s="58">
        <f>SUM(C85:C95)</f>
        <v>3215673</v>
      </c>
      <c r="D96" s="58">
        <f>SUM(D85:D95)</f>
        <v>2966920</v>
      </c>
      <c r="E96" s="57">
        <f>C96/D96*100</f>
        <v>108.38421662869237</v>
      </c>
      <c r="F96" s="58">
        <f>SUM(F85:F95)</f>
        <v>751798</v>
      </c>
      <c r="G96" s="58">
        <f>SUM(G85:G95)</f>
        <v>618644</v>
      </c>
      <c r="H96" s="57">
        <f>F96/G96*100</f>
        <v>121.52352564641377</v>
      </c>
      <c r="I96" s="58">
        <f>SUM(I85:I95)</f>
        <v>5250544</v>
      </c>
      <c r="J96" s="58">
        <f>SUM(J85:J95)</f>
        <v>5152218</v>
      </c>
      <c r="K96" s="57">
        <f>I96/J96*100</f>
        <v>101.90842080051736</v>
      </c>
      <c r="L96" s="58">
        <f>SUM(L85:L95)</f>
        <v>1270417</v>
      </c>
      <c r="M96" s="58">
        <f>SUM(M85:M95)</f>
        <v>1130261</v>
      </c>
      <c r="N96" s="57">
        <f>L96/M96*100</f>
        <v>112.40032169560837</v>
      </c>
      <c r="O96" s="56">
        <f>SUM(O85:O95)</f>
        <v>4034</v>
      </c>
      <c r="P96" s="57">
        <f>R96/O96</f>
        <v>29.695339613287061</v>
      </c>
      <c r="Q96" s="56">
        <f>SUM(Q85:Q95)</f>
        <v>1232</v>
      </c>
      <c r="R96" s="59">
        <f>SUM(R85:R95)</f>
        <v>119791</v>
      </c>
    </row>
    <row r="97" spans="1:18" x14ac:dyDescent="0.25">
      <c r="A97" s="188"/>
      <c r="B97" s="188"/>
      <c r="C97" s="188"/>
      <c r="D97" s="188"/>
      <c r="E97" s="188"/>
      <c r="F97" s="188"/>
      <c r="G97" s="188"/>
      <c r="H97" s="188"/>
      <c r="I97" s="188"/>
      <c r="J97" s="188"/>
      <c r="K97" s="34"/>
      <c r="L97" s="188"/>
      <c r="M97" s="188"/>
      <c r="N97" s="188"/>
      <c r="O97" s="188"/>
      <c r="P97" s="62"/>
      <c r="Q97" s="188"/>
      <c r="R97" s="39"/>
    </row>
    <row r="98" spans="1:18" x14ac:dyDescent="0.25">
      <c r="A98" s="316" t="s">
        <v>19</v>
      </c>
      <c r="B98" s="317"/>
      <c r="C98" s="37">
        <v>3</v>
      </c>
      <c r="D98" s="37">
        <v>4</v>
      </c>
      <c r="E98" s="185">
        <v>5</v>
      </c>
      <c r="F98" s="37">
        <v>6</v>
      </c>
      <c r="G98" s="37">
        <v>7</v>
      </c>
      <c r="H98" s="37">
        <v>8</v>
      </c>
      <c r="I98" s="37">
        <v>9</v>
      </c>
      <c r="J98" s="37">
        <v>10</v>
      </c>
      <c r="K98" s="37">
        <v>11</v>
      </c>
      <c r="L98" s="37">
        <v>12</v>
      </c>
      <c r="M98" s="37">
        <v>13</v>
      </c>
      <c r="N98" s="37">
        <v>14</v>
      </c>
      <c r="O98" s="37">
        <v>15</v>
      </c>
      <c r="P98" s="185">
        <v>16</v>
      </c>
      <c r="Q98" s="37">
        <v>15</v>
      </c>
      <c r="R98" s="39"/>
    </row>
    <row r="99" spans="1:18" x14ac:dyDescent="0.25">
      <c r="A99" s="85">
        <v>1</v>
      </c>
      <c r="B99" s="81" t="s">
        <v>84</v>
      </c>
      <c r="C99" s="87">
        <v>138933</v>
      </c>
      <c r="D99" s="87">
        <v>159674</v>
      </c>
      <c r="E99" s="47">
        <f>C99/D99*100</f>
        <v>87.01040870774203</v>
      </c>
      <c r="F99" s="87">
        <v>39940</v>
      </c>
      <c r="G99" s="87">
        <v>42044</v>
      </c>
      <c r="H99" s="47">
        <f>F99/G99*100</f>
        <v>94.995718770811536</v>
      </c>
      <c r="I99" s="87">
        <v>124670</v>
      </c>
      <c r="J99" s="86">
        <v>146937</v>
      </c>
      <c r="K99" s="47">
        <f>I99/J99*100</f>
        <v>84.845886332237626</v>
      </c>
      <c r="L99" s="87">
        <v>124625</v>
      </c>
      <c r="M99" s="87">
        <v>143234</v>
      </c>
      <c r="N99" s="47">
        <v>0</v>
      </c>
      <c r="O99" s="129">
        <v>251</v>
      </c>
      <c r="P99" s="62">
        <v>85</v>
      </c>
      <c r="Q99" s="129">
        <v>313</v>
      </c>
      <c r="R99" s="45">
        <f t="shared" ref="R99:R123" si="40">Q99*P99</f>
        <v>26605</v>
      </c>
    </row>
    <row r="100" spans="1:18" x14ac:dyDescent="0.25">
      <c r="A100" s="85">
        <v>2</v>
      </c>
      <c r="B100" s="81" t="s">
        <v>85</v>
      </c>
      <c r="C100" s="189">
        <v>0</v>
      </c>
      <c r="D100" s="189">
        <v>0</v>
      </c>
      <c r="E100" s="43">
        <v>0</v>
      </c>
      <c r="F100" s="189">
        <v>0</v>
      </c>
      <c r="G100" s="189">
        <v>0</v>
      </c>
      <c r="H100" s="43">
        <v>0</v>
      </c>
      <c r="I100" s="189">
        <v>0</v>
      </c>
      <c r="J100" s="189">
        <v>0</v>
      </c>
      <c r="K100" s="43">
        <v>0</v>
      </c>
      <c r="L100" s="189">
        <v>0</v>
      </c>
      <c r="M100" s="189">
        <v>0</v>
      </c>
      <c r="N100" s="47">
        <v>0</v>
      </c>
      <c r="O100" s="189">
        <v>0</v>
      </c>
      <c r="P100" s="44">
        <v>0</v>
      </c>
      <c r="Q100" s="189">
        <v>0</v>
      </c>
      <c r="R100" s="45">
        <f t="shared" si="40"/>
        <v>0</v>
      </c>
    </row>
    <row r="101" spans="1:18" x14ac:dyDescent="0.25">
      <c r="A101" s="85">
        <v>3</v>
      </c>
      <c r="B101" s="78" t="s">
        <v>86</v>
      </c>
      <c r="C101" s="189">
        <v>0</v>
      </c>
      <c r="D101" s="189">
        <v>0</v>
      </c>
      <c r="E101" s="43">
        <v>0</v>
      </c>
      <c r="F101" s="189">
        <v>0</v>
      </c>
      <c r="G101" s="189">
        <v>0</v>
      </c>
      <c r="H101" s="43">
        <v>0</v>
      </c>
      <c r="I101" s="189">
        <v>0</v>
      </c>
      <c r="J101" s="189">
        <v>0</v>
      </c>
      <c r="K101" s="43">
        <v>0</v>
      </c>
      <c r="L101" s="189">
        <v>0</v>
      </c>
      <c r="M101" s="189">
        <v>0</v>
      </c>
      <c r="N101" s="47">
        <v>0</v>
      </c>
      <c r="O101" s="189">
        <v>0</v>
      </c>
      <c r="P101" s="44">
        <v>0</v>
      </c>
      <c r="Q101" s="189">
        <v>0</v>
      </c>
      <c r="R101" s="45">
        <f t="shared" si="40"/>
        <v>0</v>
      </c>
    </row>
    <row r="102" spans="1:18" x14ac:dyDescent="0.25">
      <c r="A102" s="85">
        <v>4</v>
      </c>
      <c r="B102" s="81" t="s">
        <v>87</v>
      </c>
      <c r="C102" s="86">
        <v>0</v>
      </c>
      <c r="D102" s="87">
        <v>27688</v>
      </c>
      <c r="E102" s="47">
        <f t="shared" ref="E102:E123" si="41">C102/D102*100</f>
        <v>0</v>
      </c>
      <c r="F102" s="86">
        <v>0</v>
      </c>
      <c r="G102" s="87">
        <v>1465</v>
      </c>
      <c r="H102" s="47">
        <f t="shared" ref="H102:H123" si="42">F102/G102*100</f>
        <v>0</v>
      </c>
      <c r="I102" s="86">
        <v>9664</v>
      </c>
      <c r="J102" s="86">
        <v>16363</v>
      </c>
      <c r="K102" s="47">
        <f t="shared" ref="K102:K123" si="43">I102/J102*100</f>
        <v>59.060074558455057</v>
      </c>
      <c r="L102" s="87">
        <v>0</v>
      </c>
      <c r="M102" s="87">
        <v>0</v>
      </c>
      <c r="N102" s="47">
        <v>0</v>
      </c>
      <c r="O102" s="129">
        <v>6</v>
      </c>
      <c r="P102" s="87">
        <v>68</v>
      </c>
      <c r="Q102" s="129">
        <v>7</v>
      </c>
      <c r="R102" s="45">
        <f t="shared" si="40"/>
        <v>476</v>
      </c>
    </row>
    <row r="103" spans="1:18" x14ac:dyDescent="0.25">
      <c r="A103" s="85">
        <v>5</v>
      </c>
      <c r="B103" s="81" t="s">
        <v>88</v>
      </c>
      <c r="C103" s="87">
        <v>278294</v>
      </c>
      <c r="D103" s="87">
        <v>327996</v>
      </c>
      <c r="E103" s="47">
        <f t="shared" si="41"/>
        <v>84.846766423980782</v>
      </c>
      <c r="F103" s="87">
        <v>16263</v>
      </c>
      <c r="G103" s="87">
        <v>62607</v>
      </c>
      <c r="H103" s="47">
        <f t="shared" si="42"/>
        <v>25.976328525564234</v>
      </c>
      <c r="I103" s="87">
        <v>321674</v>
      </c>
      <c r="J103" s="87">
        <v>332224</v>
      </c>
      <c r="K103" s="47">
        <f t="shared" si="43"/>
        <v>96.82443170872665</v>
      </c>
      <c r="L103" s="87">
        <v>321674</v>
      </c>
      <c r="M103" s="87">
        <v>332224</v>
      </c>
      <c r="N103" s="47">
        <f t="shared" ref="N103:N111" si="44">L103/M103*100</f>
        <v>96.82443170872665</v>
      </c>
      <c r="O103" s="129">
        <v>440</v>
      </c>
      <c r="P103" s="87">
        <v>52</v>
      </c>
      <c r="Q103" s="129">
        <v>474</v>
      </c>
      <c r="R103" s="45">
        <f t="shared" si="40"/>
        <v>24648</v>
      </c>
    </row>
    <row r="104" spans="1:18" x14ac:dyDescent="0.25">
      <c r="A104" s="85">
        <v>6</v>
      </c>
      <c r="B104" s="81" t="s">
        <v>89</v>
      </c>
      <c r="C104" s="189">
        <v>0</v>
      </c>
      <c r="D104" s="189">
        <v>0</v>
      </c>
      <c r="E104" s="43">
        <v>0</v>
      </c>
      <c r="F104" s="189">
        <v>0</v>
      </c>
      <c r="G104" s="189">
        <v>0</v>
      </c>
      <c r="H104" s="43">
        <v>0</v>
      </c>
      <c r="I104" s="189">
        <v>0</v>
      </c>
      <c r="J104" s="189">
        <v>0</v>
      </c>
      <c r="K104" s="43">
        <v>0</v>
      </c>
      <c r="L104" s="189">
        <v>0</v>
      </c>
      <c r="M104" s="189">
        <v>0</v>
      </c>
      <c r="N104" s="47">
        <v>0</v>
      </c>
      <c r="O104" s="189">
        <v>0</v>
      </c>
      <c r="P104" s="44">
        <v>0</v>
      </c>
      <c r="Q104" s="189">
        <v>0</v>
      </c>
      <c r="R104" s="45">
        <f t="shared" si="40"/>
        <v>0</v>
      </c>
    </row>
    <row r="105" spans="1:18" x14ac:dyDescent="0.25">
      <c r="A105" s="85">
        <v>7</v>
      </c>
      <c r="B105" s="78" t="s">
        <v>90</v>
      </c>
      <c r="C105" s="189">
        <v>0</v>
      </c>
      <c r="D105" s="189">
        <v>0</v>
      </c>
      <c r="E105" s="43">
        <v>0</v>
      </c>
      <c r="F105" s="189">
        <v>0</v>
      </c>
      <c r="G105" s="189">
        <v>0</v>
      </c>
      <c r="H105" s="43">
        <v>0</v>
      </c>
      <c r="I105" s="189">
        <v>0</v>
      </c>
      <c r="J105" s="189">
        <v>0</v>
      </c>
      <c r="K105" s="43">
        <v>0</v>
      </c>
      <c r="L105" s="189">
        <v>0</v>
      </c>
      <c r="M105" s="189">
        <v>0</v>
      </c>
      <c r="N105" s="47">
        <v>0</v>
      </c>
      <c r="O105" s="189">
        <v>0</v>
      </c>
      <c r="P105" s="44">
        <v>0</v>
      </c>
      <c r="Q105" s="189">
        <v>0</v>
      </c>
      <c r="R105" s="45">
        <f t="shared" si="40"/>
        <v>0</v>
      </c>
    </row>
    <row r="106" spans="1:18" x14ac:dyDescent="0.25">
      <c r="A106" s="85">
        <v>8</v>
      </c>
      <c r="B106" s="81" t="s">
        <v>91</v>
      </c>
      <c r="C106" s="51">
        <v>142187</v>
      </c>
      <c r="D106" s="51">
        <v>164040</v>
      </c>
      <c r="E106" s="190">
        <f t="shared" si="41"/>
        <v>86.678249207510362</v>
      </c>
      <c r="F106" s="51">
        <v>43569</v>
      </c>
      <c r="G106" s="51">
        <v>28714</v>
      </c>
      <c r="H106" s="51">
        <f t="shared" ref="H106:H110" si="45">F106/G106*100</f>
        <v>151.73434561537925</v>
      </c>
      <c r="I106" s="51">
        <v>93761</v>
      </c>
      <c r="J106" s="51">
        <v>109052</v>
      </c>
      <c r="K106" s="51">
        <f t="shared" si="43"/>
        <v>85.978248908777459</v>
      </c>
      <c r="L106" s="51">
        <v>1971</v>
      </c>
      <c r="M106" s="51">
        <v>33480</v>
      </c>
      <c r="N106" s="51">
        <f t="shared" si="44"/>
        <v>5.887096774193548</v>
      </c>
      <c r="O106" s="51">
        <v>105</v>
      </c>
      <c r="P106" s="51">
        <v>66</v>
      </c>
      <c r="Q106" s="51">
        <v>139</v>
      </c>
      <c r="R106" s="45">
        <f t="shared" si="40"/>
        <v>9174</v>
      </c>
    </row>
    <row r="107" spans="1:18" x14ac:dyDescent="0.25">
      <c r="A107" s="85">
        <v>9</v>
      </c>
      <c r="B107" s="81" t="s">
        <v>92</v>
      </c>
      <c r="C107" s="189">
        <v>0</v>
      </c>
      <c r="D107" s="189">
        <v>0</v>
      </c>
      <c r="E107" s="43">
        <v>0</v>
      </c>
      <c r="F107" s="189">
        <v>0</v>
      </c>
      <c r="G107" s="189">
        <v>0</v>
      </c>
      <c r="H107" s="43">
        <v>0</v>
      </c>
      <c r="I107" s="189">
        <v>0</v>
      </c>
      <c r="J107" s="189">
        <v>0</v>
      </c>
      <c r="K107" s="43">
        <v>0</v>
      </c>
      <c r="L107" s="189">
        <v>0</v>
      </c>
      <c r="M107" s="189">
        <v>0</v>
      </c>
      <c r="N107" s="47">
        <v>0</v>
      </c>
      <c r="O107" s="189">
        <v>0</v>
      </c>
      <c r="P107" s="44">
        <v>0</v>
      </c>
      <c r="Q107" s="189">
        <v>0</v>
      </c>
      <c r="R107" s="45">
        <f t="shared" si="40"/>
        <v>0</v>
      </c>
    </row>
    <row r="108" spans="1:18" x14ac:dyDescent="0.25">
      <c r="A108" s="85">
        <v>10</v>
      </c>
      <c r="B108" s="78" t="s">
        <v>93</v>
      </c>
      <c r="C108" s="87">
        <v>54263</v>
      </c>
      <c r="D108" s="87">
        <v>61916</v>
      </c>
      <c r="E108" s="47">
        <f t="shared" si="41"/>
        <v>87.639705407326048</v>
      </c>
      <c r="F108" s="87">
        <v>18197</v>
      </c>
      <c r="G108" s="87">
        <v>0</v>
      </c>
      <c r="H108" s="47">
        <v>0</v>
      </c>
      <c r="I108" s="87">
        <v>54263</v>
      </c>
      <c r="J108" s="87">
        <v>61916</v>
      </c>
      <c r="K108" s="47">
        <f t="shared" si="43"/>
        <v>87.639705407326048</v>
      </c>
      <c r="L108" s="87">
        <v>54263</v>
      </c>
      <c r="M108" s="87">
        <v>61916</v>
      </c>
      <c r="N108" s="47">
        <f t="shared" si="44"/>
        <v>87.639705407326048</v>
      </c>
      <c r="O108" s="129">
        <v>74</v>
      </c>
      <c r="P108" s="87">
        <v>36</v>
      </c>
      <c r="Q108" s="129">
        <v>58</v>
      </c>
      <c r="R108" s="45">
        <f t="shared" si="40"/>
        <v>2088</v>
      </c>
    </row>
    <row r="109" spans="1:18" x14ac:dyDescent="0.25">
      <c r="A109" s="85">
        <v>11</v>
      </c>
      <c r="B109" s="81" t="s">
        <v>94</v>
      </c>
      <c r="C109" s="189">
        <v>0</v>
      </c>
      <c r="D109" s="189">
        <v>0</v>
      </c>
      <c r="E109" s="43">
        <v>0</v>
      </c>
      <c r="F109" s="189">
        <v>0</v>
      </c>
      <c r="G109" s="189">
        <v>0</v>
      </c>
      <c r="H109" s="43">
        <v>0</v>
      </c>
      <c r="I109" s="189">
        <v>0</v>
      </c>
      <c r="J109" s="189">
        <v>0</v>
      </c>
      <c r="K109" s="43">
        <v>0</v>
      </c>
      <c r="L109" s="189">
        <v>0</v>
      </c>
      <c r="M109" s="189">
        <v>0</v>
      </c>
      <c r="N109" s="47">
        <v>0</v>
      </c>
      <c r="O109" s="189">
        <v>0</v>
      </c>
      <c r="P109" s="44">
        <v>0</v>
      </c>
      <c r="Q109" s="189">
        <v>0</v>
      </c>
      <c r="R109" s="45">
        <f t="shared" si="40"/>
        <v>0</v>
      </c>
    </row>
    <row r="110" spans="1:18" x14ac:dyDescent="0.25">
      <c r="A110" s="85">
        <v>12</v>
      </c>
      <c r="B110" s="81" t="s">
        <v>95</v>
      </c>
      <c r="C110" s="86">
        <v>44416</v>
      </c>
      <c r="D110" s="87">
        <v>47832</v>
      </c>
      <c r="E110" s="47">
        <f t="shared" si="41"/>
        <v>92.858337514634556</v>
      </c>
      <c r="F110" s="86">
        <v>10250</v>
      </c>
      <c r="G110" s="87">
        <v>11958</v>
      </c>
      <c r="H110" s="47">
        <f t="shared" si="45"/>
        <v>85.716675029269112</v>
      </c>
      <c r="I110" s="86">
        <v>31650</v>
      </c>
      <c r="J110" s="86">
        <v>34860</v>
      </c>
      <c r="K110" s="47">
        <f t="shared" ref="K110" si="46">I110/J110*100</f>
        <v>90.791738382099823</v>
      </c>
      <c r="L110" s="87">
        <v>0</v>
      </c>
      <c r="M110" s="87">
        <v>0</v>
      </c>
      <c r="N110" s="47">
        <v>0</v>
      </c>
      <c r="O110" s="129">
        <v>22</v>
      </c>
      <c r="P110" s="87">
        <v>50</v>
      </c>
      <c r="Q110" s="129">
        <v>22</v>
      </c>
      <c r="R110" s="45">
        <f t="shared" si="40"/>
        <v>1100</v>
      </c>
    </row>
    <row r="111" spans="1:18" x14ac:dyDescent="0.25">
      <c r="A111" s="85">
        <v>13</v>
      </c>
      <c r="B111" s="81" t="s">
        <v>96</v>
      </c>
      <c r="C111" s="86">
        <v>37404</v>
      </c>
      <c r="D111" s="87">
        <v>56784</v>
      </c>
      <c r="E111" s="47">
        <f t="shared" si="41"/>
        <v>65.870667793744715</v>
      </c>
      <c r="F111" s="86">
        <v>4528</v>
      </c>
      <c r="G111" s="86">
        <v>11202</v>
      </c>
      <c r="H111" s="47">
        <f t="shared" si="42"/>
        <v>40.421353329762546</v>
      </c>
      <c r="I111" s="86">
        <v>79265</v>
      </c>
      <c r="J111" s="86">
        <v>48377</v>
      </c>
      <c r="K111" s="47">
        <f t="shared" si="43"/>
        <v>163.84852305847821</v>
      </c>
      <c r="L111" s="87">
        <f>28982+46546</f>
        <v>75528</v>
      </c>
      <c r="M111" s="87">
        <v>46701</v>
      </c>
      <c r="N111" s="47">
        <f t="shared" si="44"/>
        <v>161.72672962035074</v>
      </c>
      <c r="O111" s="129">
        <v>139</v>
      </c>
      <c r="P111" s="87">
        <v>50</v>
      </c>
      <c r="Q111" s="129">
        <v>115</v>
      </c>
      <c r="R111" s="45">
        <f t="shared" si="40"/>
        <v>5750</v>
      </c>
    </row>
    <row r="112" spans="1:18" x14ac:dyDescent="0.25">
      <c r="A112" s="85">
        <v>14</v>
      </c>
      <c r="B112" s="81" t="s">
        <v>97</v>
      </c>
      <c r="C112" s="189">
        <v>0</v>
      </c>
      <c r="D112" s="189">
        <v>0</v>
      </c>
      <c r="E112" s="43">
        <v>0</v>
      </c>
      <c r="F112" s="189">
        <v>0</v>
      </c>
      <c r="G112" s="189">
        <v>0</v>
      </c>
      <c r="H112" s="43">
        <v>0</v>
      </c>
      <c r="I112" s="189">
        <v>0</v>
      </c>
      <c r="J112" s="189">
        <v>0</v>
      </c>
      <c r="K112" s="43">
        <v>0</v>
      </c>
      <c r="L112" s="189">
        <v>0</v>
      </c>
      <c r="M112" s="189">
        <v>0</v>
      </c>
      <c r="N112" s="47">
        <v>0</v>
      </c>
      <c r="O112" s="189">
        <v>0</v>
      </c>
      <c r="P112" s="44">
        <v>0</v>
      </c>
      <c r="Q112" s="189">
        <v>0</v>
      </c>
      <c r="R112" s="45">
        <f t="shared" si="40"/>
        <v>0</v>
      </c>
    </row>
    <row r="113" spans="1:91" x14ac:dyDescent="0.25">
      <c r="A113" s="85">
        <v>15</v>
      </c>
      <c r="B113" s="81" t="s">
        <v>98</v>
      </c>
      <c r="C113" s="189">
        <v>0</v>
      </c>
      <c r="D113" s="189">
        <v>0</v>
      </c>
      <c r="E113" s="43">
        <v>0</v>
      </c>
      <c r="F113" s="189">
        <v>0</v>
      </c>
      <c r="G113" s="189">
        <v>0</v>
      </c>
      <c r="H113" s="43">
        <v>0</v>
      </c>
      <c r="I113" s="189">
        <v>0</v>
      </c>
      <c r="J113" s="189">
        <v>0</v>
      </c>
      <c r="K113" s="43">
        <v>0</v>
      </c>
      <c r="L113" s="189">
        <v>0</v>
      </c>
      <c r="M113" s="189">
        <v>0</v>
      </c>
      <c r="N113" s="47">
        <v>0</v>
      </c>
      <c r="O113" s="189">
        <v>0</v>
      </c>
      <c r="P113" s="44">
        <v>0</v>
      </c>
      <c r="Q113" s="189">
        <v>0</v>
      </c>
      <c r="R113" s="45">
        <f t="shared" si="40"/>
        <v>0</v>
      </c>
    </row>
    <row r="114" spans="1:91" x14ac:dyDescent="0.25">
      <c r="A114" s="85">
        <v>16</v>
      </c>
      <c r="B114" s="81" t="s">
        <v>99</v>
      </c>
      <c r="C114" s="51">
        <v>225240</v>
      </c>
      <c r="D114" s="51">
        <v>351519</v>
      </c>
      <c r="E114" s="47">
        <f t="shared" si="41"/>
        <v>64.076195027864784</v>
      </c>
      <c r="F114" s="51">
        <v>38063</v>
      </c>
      <c r="G114" s="51">
        <v>93181</v>
      </c>
      <c r="H114" s="47">
        <f t="shared" si="42"/>
        <v>40.848456230347388</v>
      </c>
      <c r="I114" s="51">
        <v>209114</v>
      </c>
      <c r="J114" s="51">
        <v>308327</v>
      </c>
      <c r="K114" s="47">
        <f t="shared" ref="K114" si="47">I114/J114*100</f>
        <v>67.822149860375518</v>
      </c>
      <c r="L114" s="51">
        <v>0</v>
      </c>
      <c r="M114" s="51">
        <v>0</v>
      </c>
      <c r="N114" s="47">
        <v>0</v>
      </c>
      <c r="O114" s="129">
        <v>89</v>
      </c>
      <c r="P114" s="44">
        <v>65</v>
      </c>
      <c r="Q114" s="129">
        <v>102</v>
      </c>
      <c r="R114" s="45">
        <f t="shared" si="40"/>
        <v>6630</v>
      </c>
    </row>
    <row r="115" spans="1:91" x14ac:dyDescent="0.25">
      <c r="A115" s="85">
        <v>17</v>
      </c>
      <c r="B115" s="81" t="s">
        <v>100</v>
      </c>
      <c r="C115" s="86">
        <v>395081</v>
      </c>
      <c r="D115" s="87">
        <v>275697</v>
      </c>
      <c r="E115" s="47">
        <f t="shared" si="41"/>
        <v>143.30261119997678</v>
      </c>
      <c r="F115" s="86">
        <v>90136</v>
      </c>
      <c r="G115" s="86">
        <v>75510</v>
      </c>
      <c r="H115" s="47">
        <f t="shared" si="42"/>
        <v>119.36961991789168</v>
      </c>
      <c r="I115" s="86">
        <v>346122</v>
      </c>
      <c r="J115" s="86">
        <v>248504</v>
      </c>
      <c r="K115" s="47">
        <f t="shared" si="43"/>
        <v>139.28226507420405</v>
      </c>
      <c r="L115" s="87">
        <v>0</v>
      </c>
      <c r="M115" s="87">
        <v>0</v>
      </c>
      <c r="N115" s="47">
        <v>0</v>
      </c>
      <c r="O115" s="129">
        <v>186</v>
      </c>
      <c r="P115" s="87">
        <v>70</v>
      </c>
      <c r="Q115" s="129">
        <v>196</v>
      </c>
      <c r="R115" s="45">
        <f t="shared" si="40"/>
        <v>13720</v>
      </c>
    </row>
    <row r="116" spans="1:91" x14ac:dyDescent="0.25">
      <c r="A116" s="85">
        <v>18</v>
      </c>
      <c r="B116" s="78" t="s">
        <v>101</v>
      </c>
      <c r="C116" s="51">
        <v>213205</v>
      </c>
      <c r="D116" s="51">
        <v>0</v>
      </c>
      <c r="E116" s="47">
        <v>0</v>
      </c>
      <c r="F116" s="51">
        <v>38904</v>
      </c>
      <c r="G116" s="51">
        <v>0</v>
      </c>
      <c r="H116" s="47">
        <v>0</v>
      </c>
      <c r="I116" s="51">
        <v>213205</v>
      </c>
      <c r="J116" s="51">
        <v>0</v>
      </c>
      <c r="K116" s="47">
        <v>0</v>
      </c>
      <c r="L116" s="51">
        <v>213205</v>
      </c>
      <c r="M116" s="51">
        <v>0</v>
      </c>
      <c r="N116" s="47">
        <v>0</v>
      </c>
      <c r="O116" s="129">
        <v>329</v>
      </c>
      <c r="P116" s="87">
        <v>65</v>
      </c>
      <c r="Q116" s="129">
        <v>300</v>
      </c>
      <c r="R116" s="45">
        <f t="shared" si="40"/>
        <v>19500</v>
      </c>
    </row>
    <row r="117" spans="1:91" x14ac:dyDescent="0.25">
      <c r="A117" s="85">
        <v>19</v>
      </c>
      <c r="B117" s="81" t="s">
        <v>102</v>
      </c>
      <c r="C117" s="189">
        <v>0</v>
      </c>
      <c r="D117" s="189">
        <v>0</v>
      </c>
      <c r="E117" s="43">
        <v>0</v>
      </c>
      <c r="F117" s="189">
        <v>0</v>
      </c>
      <c r="G117" s="189">
        <v>0</v>
      </c>
      <c r="H117" s="43">
        <v>0</v>
      </c>
      <c r="I117" s="189">
        <v>0</v>
      </c>
      <c r="J117" s="189">
        <v>0</v>
      </c>
      <c r="K117" s="43">
        <v>0</v>
      </c>
      <c r="L117" s="189">
        <v>0</v>
      </c>
      <c r="M117" s="189">
        <v>0</v>
      </c>
      <c r="N117" s="47">
        <v>0</v>
      </c>
      <c r="O117" s="189">
        <v>0</v>
      </c>
      <c r="P117" s="44">
        <v>0</v>
      </c>
      <c r="Q117" s="189">
        <v>0</v>
      </c>
      <c r="R117" s="45">
        <f t="shared" si="40"/>
        <v>0</v>
      </c>
    </row>
    <row r="118" spans="1:91" x14ac:dyDescent="0.25">
      <c r="A118" s="85">
        <v>20</v>
      </c>
      <c r="B118" s="81" t="s">
        <v>103</v>
      </c>
      <c r="C118" s="189">
        <v>0</v>
      </c>
      <c r="D118" s="189">
        <v>0</v>
      </c>
      <c r="E118" s="43">
        <v>0</v>
      </c>
      <c r="F118" s="189">
        <v>0</v>
      </c>
      <c r="G118" s="189">
        <v>0</v>
      </c>
      <c r="H118" s="43">
        <v>0</v>
      </c>
      <c r="I118" s="189">
        <v>0</v>
      </c>
      <c r="J118" s="189">
        <v>0</v>
      </c>
      <c r="K118" s="43">
        <v>0</v>
      </c>
      <c r="L118" s="189">
        <v>0</v>
      </c>
      <c r="M118" s="189">
        <v>0</v>
      </c>
      <c r="N118" s="47">
        <v>0</v>
      </c>
      <c r="O118" s="189">
        <v>0</v>
      </c>
      <c r="P118" s="44">
        <v>0</v>
      </c>
      <c r="Q118" s="189">
        <v>0</v>
      </c>
      <c r="R118" s="45">
        <f t="shared" si="40"/>
        <v>0</v>
      </c>
    </row>
    <row r="119" spans="1:91" x14ac:dyDescent="0.25">
      <c r="A119" s="85">
        <v>21</v>
      </c>
      <c r="B119" s="81" t="s">
        <v>104</v>
      </c>
      <c r="C119" s="87">
        <v>13808</v>
      </c>
      <c r="D119" s="87">
        <v>40395</v>
      </c>
      <c r="E119" s="47">
        <f t="shared" si="41"/>
        <v>34.182448322812235</v>
      </c>
      <c r="F119" s="87">
        <v>1290</v>
      </c>
      <c r="G119" s="87">
        <v>0</v>
      </c>
      <c r="H119" s="47" t="e">
        <f t="shared" ref="H119:H120" si="48">F119/G119*100</f>
        <v>#DIV/0!</v>
      </c>
      <c r="I119" s="87">
        <v>13808</v>
      </c>
      <c r="J119" s="87">
        <v>40395</v>
      </c>
      <c r="K119" s="47">
        <f t="shared" ref="K119" si="49">I119/J119*100</f>
        <v>34.182448322812235</v>
      </c>
      <c r="L119" s="87">
        <v>13808</v>
      </c>
      <c r="M119" s="87">
        <v>32955</v>
      </c>
      <c r="N119" s="47">
        <f t="shared" ref="N119" si="50">L119/M119*100</f>
        <v>41.899560006068882</v>
      </c>
      <c r="O119" s="129">
        <v>14</v>
      </c>
      <c r="P119" s="87">
        <v>48</v>
      </c>
      <c r="Q119" s="129">
        <v>14</v>
      </c>
      <c r="R119" s="45">
        <f t="shared" si="40"/>
        <v>672</v>
      </c>
    </row>
    <row r="120" spans="1:91" x14ac:dyDescent="0.25">
      <c r="A120" s="85">
        <v>22</v>
      </c>
      <c r="B120" s="78" t="s">
        <v>105</v>
      </c>
      <c r="C120" s="86">
        <v>10990</v>
      </c>
      <c r="D120" s="86">
        <v>11600</v>
      </c>
      <c r="E120" s="47">
        <f t="shared" si="41"/>
        <v>94.741379310344826</v>
      </c>
      <c r="F120" s="86">
        <v>2940</v>
      </c>
      <c r="G120" s="86">
        <v>2460</v>
      </c>
      <c r="H120" s="47">
        <f t="shared" si="48"/>
        <v>119.51219512195121</v>
      </c>
      <c r="I120" s="86">
        <v>18067</v>
      </c>
      <c r="J120" s="86">
        <v>19619</v>
      </c>
      <c r="K120" s="47">
        <f t="shared" si="43"/>
        <v>92.089301187624244</v>
      </c>
      <c r="L120" s="87">
        <v>0</v>
      </c>
      <c r="M120" s="86">
        <v>0</v>
      </c>
      <c r="N120" s="47">
        <v>0</v>
      </c>
      <c r="O120" s="129">
        <v>13</v>
      </c>
      <c r="P120" s="87">
        <v>63</v>
      </c>
      <c r="Q120" s="129">
        <v>13</v>
      </c>
      <c r="R120" s="45">
        <f t="shared" si="40"/>
        <v>819</v>
      </c>
    </row>
    <row r="121" spans="1:91" x14ac:dyDescent="0.25">
      <c r="A121" s="85">
        <v>23</v>
      </c>
      <c r="B121" s="78" t="s">
        <v>106</v>
      </c>
      <c r="C121" s="86">
        <v>51944</v>
      </c>
      <c r="D121" s="87">
        <v>62065</v>
      </c>
      <c r="E121" s="47">
        <f t="shared" si="41"/>
        <v>83.692902602110692</v>
      </c>
      <c r="F121" s="86">
        <v>8097</v>
      </c>
      <c r="G121" s="86">
        <v>11188</v>
      </c>
      <c r="H121" s="47">
        <f t="shared" si="42"/>
        <v>72.372184483375051</v>
      </c>
      <c r="I121" s="86">
        <v>53712</v>
      </c>
      <c r="J121" s="86">
        <v>63380</v>
      </c>
      <c r="K121" s="47">
        <f t="shared" si="43"/>
        <v>84.745976648785103</v>
      </c>
      <c r="L121" s="87">
        <v>0</v>
      </c>
      <c r="M121" s="87">
        <v>0</v>
      </c>
      <c r="N121" s="47">
        <v>0</v>
      </c>
      <c r="O121" s="129">
        <v>36</v>
      </c>
      <c r="P121" s="87">
        <v>45</v>
      </c>
      <c r="Q121" s="129">
        <v>45</v>
      </c>
      <c r="R121" s="45">
        <f t="shared" si="40"/>
        <v>2025</v>
      </c>
    </row>
    <row r="122" spans="1:91" x14ac:dyDescent="0.25">
      <c r="A122" s="85">
        <v>24</v>
      </c>
      <c r="B122" s="81" t="s">
        <v>107</v>
      </c>
      <c r="C122" s="87">
        <v>0</v>
      </c>
      <c r="D122" s="87">
        <v>10535</v>
      </c>
      <c r="E122" s="47">
        <f t="shared" si="41"/>
        <v>0</v>
      </c>
      <c r="F122" s="87">
        <v>0</v>
      </c>
      <c r="G122" s="86">
        <v>0</v>
      </c>
      <c r="H122" s="47" t="e">
        <f t="shared" si="42"/>
        <v>#DIV/0!</v>
      </c>
      <c r="I122" s="87">
        <v>0</v>
      </c>
      <c r="J122" s="87">
        <v>45040</v>
      </c>
      <c r="K122" s="47">
        <f t="shared" si="43"/>
        <v>0</v>
      </c>
      <c r="L122" s="88">
        <v>0</v>
      </c>
      <c r="M122" s="87">
        <v>0</v>
      </c>
      <c r="N122" s="47">
        <v>0</v>
      </c>
      <c r="O122" s="129"/>
      <c r="P122" s="87">
        <v>55</v>
      </c>
      <c r="Q122" s="129">
        <v>17</v>
      </c>
      <c r="R122" s="45">
        <f t="shared" si="40"/>
        <v>935</v>
      </c>
    </row>
    <row r="123" spans="1:91" x14ac:dyDescent="0.25">
      <c r="A123" s="85">
        <v>25</v>
      </c>
      <c r="B123" s="81" t="s">
        <v>108</v>
      </c>
      <c r="C123" s="87">
        <v>17500</v>
      </c>
      <c r="D123" s="87">
        <v>24905</v>
      </c>
      <c r="E123" s="47">
        <f t="shared" si="41"/>
        <v>70.267014655691625</v>
      </c>
      <c r="F123" s="87">
        <v>2390</v>
      </c>
      <c r="G123" s="87">
        <v>7747</v>
      </c>
      <c r="H123" s="47">
        <f t="shared" si="42"/>
        <v>30.850651865238156</v>
      </c>
      <c r="I123" s="87">
        <v>17177</v>
      </c>
      <c r="J123" s="87">
        <v>22249</v>
      </c>
      <c r="K123" s="47">
        <f t="shared" si="43"/>
        <v>77.203469818868271</v>
      </c>
      <c r="L123" s="87">
        <v>0</v>
      </c>
      <c r="M123" s="87">
        <v>0</v>
      </c>
      <c r="N123" s="47">
        <v>0</v>
      </c>
      <c r="O123" s="129">
        <v>23</v>
      </c>
      <c r="P123" s="87">
        <v>34</v>
      </c>
      <c r="Q123" s="129">
        <v>25</v>
      </c>
      <c r="R123" s="45">
        <f t="shared" si="40"/>
        <v>850</v>
      </c>
    </row>
    <row r="124" spans="1:91" s="60" customFormat="1" x14ac:dyDescent="0.25">
      <c r="A124" s="315" t="s">
        <v>109</v>
      </c>
      <c r="B124" s="315" t="s">
        <v>109</v>
      </c>
      <c r="C124" s="56">
        <f>SUM(C99:C123)</f>
        <v>1623265</v>
      </c>
      <c r="D124" s="56">
        <f>SUM(D99:D123)</f>
        <v>1622646</v>
      </c>
      <c r="E124" s="57">
        <f>C124/D124*100</f>
        <v>100.03814756884744</v>
      </c>
      <c r="F124" s="56">
        <f>SUM(F99:F123)</f>
        <v>314567</v>
      </c>
      <c r="G124" s="56">
        <f>SUM(G99:G123)</f>
        <v>348076</v>
      </c>
      <c r="H124" s="57">
        <f>F124/G124*100</f>
        <v>90.373079442420618</v>
      </c>
      <c r="I124" s="56">
        <f>SUM(I99:I123)</f>
        <v>1586152</v>
      </c>
      <c r="J124" s="56">
        <f>SUM(J99:J123)</f>
        <v>1497243</v>
      </c>
      <c r="K124" s="57">
        <f>I124/J124*100</f>
        <v>105.93818104342448</v>
      </c>
      <c r="L124" s="56">
        <f>SUM(L99:L123)</f>
        <v>805074</v>
      </c>
      <c r="M124" s="56">
        <f>SUM(M99:M123)</f>
        <v>650510</v>
      </c>
      <c r="N124" s="57">
        <f>L124/M124*100</f>
        <v>123.76043412092051</v>
      </c>
      <c r="O124" s="56">
        <f>SUM(O99:O123)</f>
        <v>1727</v>
      </c>
      <c r="P124" s="57">
        <f>R124/O124</f>
        <v>66.5848291835553</v>
      </c>
      <c r="Q124" s="56">
        <f>SUM(Q99:Q123)</f>
        <v>1840</v>
      </c>
      <c r="R124" s="59">
        <f>SUM(R99:R123)</f>
        <v>114992</v>
      </c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x14ac:dyDescent="0.25">
      <c r="A125" s="85"/>
      <c r="B125" s="81"/>
      <c r="C125" s="188"/>
      <c r="D125" s="188"/>
      <c r="E125" s="188"/>
      <c r="F125" s="188"/>
      <c r="G125" s="188"/>
      <c r="H125" s="188"/>
      <c r="I125" s="188"/>
      <c r="J125" s="188"/>
      <c r="K125" s="188"/>
      <c r="L125" s="188"/>
      <c r="M125" s="188"/>
      <c r="N125" s="86"/>
      <c r="O125" s="188"/>
      <c r="P125" s="44"/>
      <c r="Q125" s="188"/>
      <c r="R125" s="45"/>
    </row>
    <row r="126" spans="1:91" x14ac:dyDescent="0.25">
      <c r="A126" s="350" t="s">
        <v>177</v>
      </c>
      <c r="B126" s="350"/>
      <c r="C126" s="37">
        <v>3</v>
      </c>
      <c r="D126" s="37">
        <v>4</v>
      </c>
      <c r="E126" s="185">
        <v>5</v>
      </c>
      <c r="F126" s="37">
        <v>6</v>
      </c>
      <c r="G126" s="37">
        <v>7</v>
      </c>
      <c r="H126" s="37">
        <v>8</v>
      </c>
      <c r="I126" s="37">
        <v>9</v>
      </c>
      <c r="J126" s="37">
        <v>10</v>
      </c>
      <c r="K126" s="37">
        <v>11</v>
      </c>
      <c r="L126" s="37">
        <v>12</v>
      </c>
      <c r="M126" s="37">
        <v>13</v>
      </c>
      <c r="N126" s="37">
        <v>14</v>
      </c>
      <c r="O126" s="37">
        <v>15</v>
      </c>
      <c r="P126" s="185">
        <v>16</v>
      </c>
      <c r="Q126" s="37">
        <v>15</v>
      </c>
      <c r="R126" s="45"/>
    </row>
    <row r="127" spans="1:91" x14ac:dyDescent="0.25">
      <c r="A127" s="188">
        <v>1</v>
      </c>
      <c r="B127" s="78" t="s">
        <v>191</v>
      </c>
      <c r="C127" s="188">
        <v>527339</v>
      </c>
      <c r="D127" s="188">
        <v>331830</v>
      </c>
      <c r="E127" s="47">
        <f>C127/D127*100</f>
        <v>158.91842208359702</v>
      </c>
      <c r="F127" s="188">
        <v>113763</v>
      </c>
      <c r="G127" s="188">
        <v>164988</v>
      </c>
      <c r="H127" s="47">
        <f>F127/G127*100</f>
        <v>68.952287439086476</v>
      </c>
      <c r="I127" s="188">
        <v>495278</v>
      </c>
      <c r="J127" s="188">
        <v>256597</v>
      </c>
      <c r="K127" s="47">
        <f>I127/J127*100</f>
        <v>193.01784510341119</v>
      </c>
      <c r="L127" s="188">
        <f>99581+42050</f>
        <v>141631</v>
      </c>
      <c r="M127" s="188">
        <v>13484</v>
      </c>
      <c r="N127" s="47">
        <f t="shared" ref="N127" si="51">L127/M127*100</f>
        <v>1050.3633936517354</v>
      </c>
      <c r="O127" s="188">
        <v>75</v>
      </c>
      <c r="P127" s="188">
        <v>71</v>
      </c>
      <c r="Q127" s="188"/>
      <c r="R127" s="45">
        <f t="shared" ref="R127:R129" si="52">Q127*P127</f>
        <v>0</v>
      </c>
    </row>
    <row r="128" spans="1:91" x14ac:dyDescent="0.25">
      <c r="A128" s="188">
        <v>2</v>
      </c>
      <c r="B128" s="146" t="s">
        <v>192</v>
      </c>
      <c r="C128" s="188">
        <v>480202</v>
      </c>
      <c r="D128" s="188">
        <v>0</v>
      </c>
      <c r="E128" s="47">
        <v>0</v>
      </c>
      <c r="F128" s="188">
        <v>167906</v>
      </c>
      <c r="G128" s="188">
        <v>0</v>
      </c>
      <c r="H128" s="47">
        <v>0</v>
      </c>
      <c r="I128" s="188">
        <v>577785</v>
      </c>
      <c r="J128" s="188">
        <v>0</v>
      </c>
      <c r="K128" s="47">
        <v>0</v>
      </c>
      <c r="L128" s="188">
        <v>17776</v>
      </c>
      <c r="M128" s="188">
        <v>0</v>
      </c>
      <c r="N128" s="47">
        <v>0</v>
      </c>
      <c r="O128" s="188">
        <v>32</v>
      </c>
      <c r="P128" s="188">
        <v>85</v>
      </c>
      <c r="Q128" s="188">
        <v>32</v>
      </c>
      <c r="R128" s="45">
        <f t="shared" si="52"/>
        <v>2720</v>
      </c>
    </row>
    <row r="129" spans="1:91" x14ac:dyDescent="0.25">
      <c r="A129" s="188">
        <v>3</v>
      </c>
      <c r="B129" s="146" t="s">
        <v>193</v>
      </c>
      <c r="C129" s="188">
        <v>935990</v>
      </c>
      <c r="D129" s="188">
        <v>931578</v>
      </c>
      <c r="E129" s="47">
        <f>C129/D129*100</f>
        <v>100.47360500140621</v>
      </c>
      <c r="F129" s="188">
        <v>189892</v>
      </c>
      <c r="G129" s="188">
        <v>175723</v>
      </c>
      <c r="H129" s="47">
        <f>F129/G129*100</f>
        <v>108.0632586514002</v>
      </c>
      <c r="I129" s="188">
        <v>893367</v>
      </c>
      <c r="J129" s="188">
        <v>840161</v>
      </c>
      <c r="K129" s="47">
        <f>I129/J129*100</f>
        <v>106.33283382589767</v>
      </c>
      <c r="L129" s="188">
        <v>0</v>
      </c>
      <c r="M129" s="188">
        <v>0</v>
      </c>
      <c r="N129" s="47">
        <v>0</v>
      </c>
      <c r="O129" s="188">
        <v>421</v>
      </c>
      <c r="P129" s="188">
        <v>100</v>
      </c>
      <c r="Q129" s="188">
        <v>415</v>
      </c>
      <c r="R129" s="45">
        <f t="shared" si="52"/>
        <v>41500</v>
      </c>
    </row>
    <row r="130" spans="1:91" x14ac:dyDescent="0.25">
      <c r="A130" s="315" t="s">
        <v>190</v>
      </c>
      <c r="B130" s="315" t="s">
        <v>109</v>
      </c>
      <c r="C130" s="56">
        <f>SUM(C127:C129)</f>
        <v>1943531</v>
      </c>
      <c r="D130" s="56">
        <f>SUM(D127:D129)</f>
        <v>1263408</v>
      </c>
      <c r="E130" s="57">
        <f>C130/D130*100</f>
        <v>153.83241201575422</v>
      </c>
      <c r="F130" s="56">
        <f>SUM(F127:F129)</f>
        <v>471561</v>
      </c>
      <c r="G130" s="56">
        <f>SUM(G127:G129)</f>
        <v>340711</v>
      </c>
      <c r="H130" s="57">
        <f>F130/G130*100</f>
        <v>138.40498252184403</v>
      </c>
      <c r="I130" s="56">
        <f>SUM(I127:I129)</f>
        <v>1966430</v>
      </c>
      <c r="J130" s="56">
        <f>SUM(J127:J129)</f>
        <v>1096758</v>
      </c>
      <c r="K130" s="57">
        <f>I130/J130*100</f>
        <v>179.29479429372753</v>
      </c>
      <c r="L130" s="56">
        <f>SUM(L127:L129)</f>
        <v>159407</v>
      </c>
      <c r="M130" s="56">
        <f>SUM(M127:M129)</f>
        <v>13484</v>
      </c>
      <c r="N130" s="57">
        <v>0</v>
      </c>
      <c r="O130" s="56">
        <f>SUM(O127:O129)</f>
        <v>528</v>
      </c>
      <c r="P130" s="57">
        <f>R130/O130</f>
        <v>83.75</v>
      </c>
      <c r="Q130" s="56">
        <f>SUM(Q127:Q129)</f>
        <v>447</v>
      </c>
      <c r="R130" s="45">
        <f>SUM(R127:R129)</f>
        <v>44220</v>
      </c>
    </row>
    <row r="131" spans="1:91" s="145" customFormat="1" x14ac:dyDescent="0.25">
      <c r="A131" s="117"/>
      <c r="B131" s="117"/>
      <c r="C131" s="103"/>
      <c r="D131" s="103"/>
      <c r="E131" s="142"/>
      <c r="F131" s="103"/>
      <c r="G131" s="103"/>
      <c r="H131" s="142"/>
      <c r="I131" s="103"/>
      <c r="J131" s="103"/>
      <c r="K131" s="142"/>
      <c r="L131" s="103"/>
      <c r="M131" s="103"/>
      <c r="N131" s="142"/>
      <c r="O131" s="103"/>
      <c r="P131" s="142"/>
      <c r="Q131" s="103"/>
      <c r="R131" s="144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x14ac:dyDescent="0.25">
      <c r="A132" s="37"/>
      <c r="B132" s="37" t="s">
        <v>20</v>
      </c>
      <c r="C132" s="37">
        <v>3</v>
      </c>
      <c r="D132" s="37">
        <v>4</v>
      </c>
      <c r="E132" s="185">
        <v>5</v>
      </c>
      <c r="F132" s="37">
        <v>6</v>
      </c>
      <c r="G132" s="37">
        <v>7</v>
      </c>
      <c r="H132" s="37">
        <v>8</v>
      </c>
      <c r="I132" s="37">
        <v>9</v>
      </c>
      <c r="J132" s="37">
        <v>10</v>
      </c>
      <c r="K132" s="37">
        <v>11</v>
      </c>
      <c r="L132" s="37">
        <v>12</v>
      </c>
      <c r="M132" s="37">
        <v>13</v>
      </c>
      <c r="N132" s="37">
        <v>14</v>
      </c>
      <c r="O132" s="37">
        <v>15</v>
      </c>
      <c r="P132" s="185">
        <v>16</v>
      </c>
      <c r="Q132" s="37">
        <v>15</v>
      </c>
      <c r="R132" s="39"/>
    </row>
    <row r="133" spans="1:91" x14ac:dyDescent="0.25">
      <c r="A133" s="50">
        <v>1</v>
      </c>
      <c r="B133" s="89" t="s">
        <v>110</v>
      </c>
      <c r="C133" s="90">
        <v>0</v>
      </c>
      <c r="D133" s="91">
        <v>0</v>
      </c>
      <c r="E133" s="47">
        <v>0</v>
      </c>
      <c r="F133" s="90">
        <v>0</v>
      </c>
      <c r="G133" s="51">
        <v>0</v>
      </c>
      <c r="H133" s="47">
        <v>0</v>
      </c>
      <c r="I133" s="51">
        <v>0</v>
      </c>
      <c r="J133" s="91">
        <v>0</v>
      </c>
      <c r="K133" s="47">
        <v>0</v>
      </c>
      <c r="L133" s="90">
        <v>0</v>
      </c>
      <c r="M133" s="91">
        <v>0</v>
      </c>
      <c r="N133" s="47">
        <v>0</v>
      </c>
      <c r="O133" s="188">
        <v>0</v>
      </c>
      <c r="P133" s="92">
        <v>0</v>
      </c>
      <c r="Q133" s="188">
        <v>0</v>
      </c>
      <c r="R133" s="45">
        <f t="shared" ref="R133:R139" si="53">Q133*P133</f>
        <v>0</v>
      </c>
    </row>
    <row r="134" spans="1:91" x14ac:dyDescent="0.25">
      <c r="A134" s="50">
        <v>2</v>
      </c>
      <c r="B134" s="89" t="s">
        <v>167</v>
      </c>
      <c r="C134" s="188">
        <v>145604</v>
      </c>
      <c r="D134" s="188">
        <v>36127</v>
      </c>
      <c r="E134" s="47">
        <f t="shared" ref="E134" si="54">C134/D134*100</f>
        <v>403.03374207656321</v>
      </c>
      <c r="F134" s="188">
        <v>21249</v>
      </c>
      <c r="G134" s="188">
        <v>8626</v>
      </c>
      <c r="H134" s="34">
        <f t="shared" ref="H134" si="55">F134/G134*100</f>
        <v>246.33665661952239</v>
      </c>
      <c r="I134" s="188">
        <v>177344</v>
      </c>
      <c r="J134" s="188">
        <v>31642</v>
      </c>
      <c r="K134" s="47">
        <f t="shared" ref="K134:K139" si="56">I134/J134*100</f>
        <v>560.47026104544591</v>
      </c>
      <c r="L134" s="188">
        <v>0</v>
      </c>
      <c r="M134" s="188">
        <v>0</v>
      </c>
      <c r="N134" s="47">
        <v>0</v>
      </c>
      <c r="O134" s="188">
        <v>80</v>
      </c>
      <c r="P134" s="44">
        <v>80</v>
      </c>
      <c r="Q134" s="188">
        <v>81</v>
      </c>
      <c r="R134" s="45">
        <f t="shared" si="53"/>
        <v>6480</v>
      </c>
    </row>
    <row r="135" spans="1:91" x14ac:dyDescent="0.25">
      <c r="A135" s="50">
        <v>3</v>
      </c>
      <c r="B135" s="89" t="s">
        <v>166</v>
      </c>
      <c r="C135" s="188">
        <v>0</v>
      </c>
      <c r="D135" s="188">
        <v>0</v>
      </c>
      <c r="E135" s="188">
        <v>0</v>
      </c>
      <c r="F135" s="188">
        <v>0</v>
      </c>
      <c r="G135" s="188">
        <v>0</v>
      </c>
      <c r="H135" s="188">
        <v>0</v>
      </c>
      <c r="I135" s="188">
        <v>0</v>
      </c>
      <c r="J135" s="188">
        <v>0</v>
      </c>
      <c r="K135" s="188">
        <v>0</v>
      </c>
      <c r="L135" s="188">
        <v>0</v>
      </c>
      <c r="M135" s="188">
        <v>0</v>
      </c>
      <c r="N135" s="86">
        <v>0</v>
      </c>
      <c r="O135" s="188">
        <v>0</v>
      </c>
      <c r="P135" s="44">
        <v>0</v>
      </c>
      <c r="Q135" s="188">
        <v>0</v>
      </c>
      <c r="R135" s="45">
        <f t="shared" si="53"/>
        <v>0</v>
      </c>
    </row>
    <row r="136" spans="1:91" x14ac:dyDescent="0.25">
      <c r="A136" s="50">
        <v>4</v>
      </c>
      <c r="B136" s="89" t="s">
        <v>111</v>
      </c>
      <c r="C136" s="188">
        <v>0</v>
      </c>
      <c r="D136" s="188">
        <v>0</v>
      </c>
      <c r="E136" s="188">
        <v>0</v>
      </c>
      <c r="F136" s="188">
        <v>0</v>
      </c>
      <c r="G136" s="188">
        <v>0</v>
      </c>
      <c r="H136" s="188">
        <v>0</v>
      </c>
      <c r="I136" s="188">
        <v>0</v>
      </c>
      <c r="J136" s="188">
        <v>0</v>
      </c>
      <c r="K136" s="188">
        <v>0</v>
      </c>
      <c r="L136" s="188">
        <v>0</v>
      </c>
      <c r="M136" s="188">
        <v>0</v>
      </c>
      <c r="N136" s="86">
        <v>0</v>
      </c>
      <c r="O136" s="188">
        <v>0</v>
      </c>
      <c r="P136" s="44">
        <v>0</v>
      </c>
      <c r="Q136" s="188">
        <v>0</v>
      </c>
      <c r="R136" s="45">
        <f t="shared" si="53"/>
        <v>0</v>
      </c>
    </row>
    <row r="137" spans="1:91" x14ac:dyDescent="0.25">
      <c r="A137" s="50">
        <v>5</v>
      </c>
      <c r="B137" s="93" t="s">
        <v>112</v>
      </c>
      <c r="C137" s="86">
        <v>2940</v>
      </c>
      <c r="D137" s="86">
        <v>481</v>
      </c>
      <c r="E137" s="47">
        <f t="shared" ref="E137" si="57">C137/D137*100</f>
        <v>611.22661122661123</v>
      </c>
      <c r="F137" s="86">
        <v>0</v>
      </c>
      <c r="G137" s="86">
        <v>0</v>
      </c>
      <c r="H137" s="47">
        <v>0</v>
      </c>
      <c r="I137" s="86">
        <v>4316</v>
      </c>
      <c r="J137" s="86">
        <v>4227</v>
      </c>
      <c r="K137" s="94">
        <f t="shared" si="56"/>
        <v>102.10551218358172</v>
      </c>
      <c r="L137" s="86">
        <v>0</v>
      </c>
      <c r="M137" s="86">
        <v>0</v>
      </c>
      <c r="N137" s="86">
        <v>0</v>
      </c>
      <c r="O137" s="188">
        <v>7</v>
      </c>
      <c r="P137" s="92">
        <v>45</v>
      </c>
      <c r="Q137" s="188">
        <v>7</v>
      </c>
      <c r="R137" s="45">
        <f t="shared" si="53"/>
        <v>315</v>
      </c>
    </row>
    <row r="138" spans="1:91" s="66" customFormat="1" x14ac:dyDescent="0.25">
      <c r="A138" s="50">
        <v>6</v>
      </c>
      <c r="B138" s="93" t="s">
        <v>113</v>
      </c>
      <c r="C138" s="86">
        <v>0</v>
      </c>
      <c r="D138" s="86">
        <v>0</v>
      </c>
      <c r="E138" s="94">
        <v>0</v>
      </c>
      <c r="F138" s="86">
        <v>0</v>
      </c>
      <c r="G138" s="86">
        <v>0</v>
      </c>
      <c r="H138" s="47">
        <v>0</v>
      </c>
      <c r="I138" s="95">
        <v>0</v>
      </c>
      <c r="J138" s="86">
        <v>0</v>
      </c>
      <c r="K138" s="94">
        <v>0</v>
      </c>
      <c r="L138" s="86">
        <v>0</v>
      </c>
      <c r="M138" s="86">
        <v>0</v>
      </c>
      <c r="N138" s="86">
        <v>0</v>
      </c>
      <c r="O138" s="188"/>
      <c r="P138" s="88">
        <v>60</v>
      </c>
      <c r="Q138" s="188">
        <v>4</v>
      </c>
      <c r="R138" s="45">
        <f t="shared" si="53"/>
        <v>240</v>
      </c>
    </row>
    <row r="139" spans="1:91" x14ac:dyDescent="0.25">
      <c r="A139" s="50">
        <v>7</v>
      </c>
      <c r="B139" s="89" t="s">
        <v>114</v>
      </c>
      <c r="C139" s="51">
        <v>10139</v>
      </c>
      <c r="D139" s="51">
        <v>16258</v>
      </c>
      <c r="E139" s="47">
        <f t="shared" ref="E139" si="58">C139/D139*100</f>
        <v>62.363144298191663</v>
      </c>
      <c r="F139" s="51">
        <v>2742</v>
      </c>
      <c r="G139" s="51">
        <v>7918</v>
      </c>
      <c r="H139" s="47">
        <f t="shared" ref="H139" si="59">F139/G139*100</f>
        <v>34.6299570598636</v>
      </c>
      <c r="I139" s="51">
        <v>10139</v>
      </c>
      <c r="J139" s="51">
        <v>16258</v>
      </c>
      <c r="K139" s="94">
        <f t="shared" si="56"/>
        <v>62.363144298191663</v>
      </c>
      <c r="L139" s="51">
        <v>10139</v>
      </c>
      <c r="M139" s="51">
        <v>16258</v>
      </c>
      <c r="N139" s="47">
        <v>0</v>
      </c>
      <c r="O139" s="188">
        <v>13</v>
      </c>
      <c r="P139" s="87">
        <v>50</v>
      </c>
      <c r="Q139" s="188">
        <v>13</v>
      </c>
      <c r="R139" s="45">
        <f t="shared" si="53"/>
        <v>650</v>
      </c>
    </row>
    <row r="140" spans="1:91" s="60" customFormat="1" x14ac:dyDescent="0.25">
      <c r="A140" s="315" t="s">
        <v>115</v>
      </c>
      <c r="B140" s="315" t="s">
        <v>115</v>
      </c>
      <c r="C140" s="56">
        <f>SUM(C133:C139)</f>
        <v>158683</v>
      </c>
      <c r="D140" s="56">
        <f>SUM(D133:D139)</f>
        <v>52866</v>
      </c>
      <c r="E140" s="57">
        <f>C140/D140*100</f>
        <v>300.16078386864905</v>
      </c>
      <c r="F140" s="56">
        <f>SUM(F133:F139)</f>
        <v>23991</v>
      </c>
      <c r="G140" s="56">
        <f>SUM(G133:G139)</f>
        <v>16544</v>
      </c>
      <c r="H140" s="57">
        <f>F140/G140*100</f>
        <v>145.01329787234042</v>
      </c>
      <c r="I140" s="56">
        <f>SUM(I133:I139)</f>
        <v>191799</v>
      </c>
      <c r="J140" s="56">
        <f>SUM(J133:J139)</f>
        <v>52127</v>
      </c>
      <c r="K140" s="57">
        <f>I140/J140*100</f>
        <v>367.94559441364362</v>
      </c>
      <c r="L140" s="56">
        <f>SUM(L133:L139)</f>
        <v>10139</v>
      </c>
      <c r="M140" s="56">
        <f>SUM(M133:M139)</f>
        <v>16258</v>
      </c>
      <c r="N140" s="58">
        <v>0</v>
      </c>
      <c r="O140" s="56">
        <f>SUM(O133:O139)</f>
        <v>100</v>
      </c>
      <c r="P140" s="57">
        <f>R140/O140</f>
        <v>76.849999999999994</v>
      </c>
      <c r="Q140" s="56">
        <f>SUM(Q133:Q139)</f>
        <v>105</v>
      </c>
      <c r="R140" s="59">
        <f>SUM(R133:R139)</f>
        <v>7685</v>
      </c>
    </row>
    <row r="141" spans="1:91" x14ac:dyDescent="0.25">
      <c r="A141" s="188"/>
      <c r="B141" s="188"/>
      <c r="C141" s="188"/>
      <c r="D141" s="188"/>
      <c r="E141" s="188"/>
      <c r="F141" s="188"/>
      <c r="G141" s="188"/>
      <c r="H141" s="188"/>
      <c r="I141" s="188"/>
      <c r="J141" s="188"/>
      <c r="K141" s="34"/>
      <c r="L141" s="188"/>
      <c r="M141" s="188"/>
      <c r="N141" s="188"/>
      <c r="O141" s="188"/>
      <c r="P141" s="62"/>
      <c r="Q141" s="188"/>
      <c r="R141" s="39"/>
    </row>
    <row r="142" spans="1:91" x14ac:dyDescent="0.25">
      <c r="A142" s="167"/>
      <c r="B142" s="168"/>
      <c r="C142" s="188"/>
      <c r="D142" s="188"/>
      <c r="E142" s="188"/>
      <c r="F142" s="188"/>
      <c r="G142" s="188"/>
      <c r="H142" s="188"/>
      <c r="I142" s="188"/>
      <c r="J142" s="188"/>
      <c r="K142" s="34"/>
      <c r="L142" s="188"/>
      <c r="M142" s="188"/>
      <c r="N142" s="188"/>
      <c r="O142" s="188"/>
      <c r="P142" s="62"/>
      <c r="Q142" s="188"/>
      <c r="R142" s="39"/>
    </row>
    <row r="143" spans="1:91" x14ac:dyDescent="0.25">
      <c r="A143" s="167"/>
      <c r="B143" s="168"/>
      <c r="C143" s="188"/>
      <c r="D143" s="188"/>
      <c r="E143" s="188"/>
      <c r="F143" s="188"/>
      <c r="G143" s="188"/>
      <c r="H143" s="188"/>
      <c r="I143" s="188"/>
      <c r="J143" s="188"/>
      <c r="K143" s="34"/>
      <c r="L143" s="188"/>
      <c r="M143" s="188"/>
      <c r="N143" s="188"/>
      <c r="O143" s="188"/>
      <c r="P143" s="62"/>
      <c r="Q143" s="188"/>
      <c r="R143" s="39"/>
    </row>
    <row r="144" spans="1:91" x14ac:dyDescent="0.25">
      <c r="A144" s="316" t="s">
        <v>116</v>
      </c>
      <c r="B144" s="317"/>
      <c r="C144" s="37">
        <v>3</v>
      </c>
      <c r="D144" s="37">
        <v>4</v>
      </c>
      <c r="E144" s="185">
        <v>5</v>
      </c>
      <c r="F144" s="37">
        <v>6</v>
      </c>
      <c r="G144" s="37">
        <v>7</v>
      </c>
      <c r="H144" s="37">
        <v>8</v>
      </c>
      <c r="I144" s="37">
        <v>9</v>
      </c>
      <c r="J144" s="37">
        <v>10</v>
      </c>
      <c r="K144" s="37">
        <v>11</v>
      </c>
      <c r="L144" s="37">
        <v>12</v>
      </c>
      <c r="M144" s="37">
        <v>13</v>
      </c>
      <c r="N144" s="37">
        <v>14</v>
      </c>
      <c r="O144" s="37">
        <v>15</v>
      </c>
      <c r="P144" s="185">
        <v>16</v>
      </c>
      <c r="Q144" s="37">
        <v>15</v>
      </c>
      <c r="R144" s="31"/>
    </row>
    <row r="145" spans="1:18" x14ac:dyDescent="0.25">
      <c r="A145" s="96">
        <v>1</v>
      </c>
      <c r="B145" s="78" t="s">
        <v>117</v>
      </c>
      <c r="C145" s="62">
        <v>57063558</v>
      </c>
      <c r="D145" s="62">
        <v>50205613</v>
      </c>
      <c r="E145" s="47">
        <f t="shared" ref="E145:E159" si="60">C145/D145*100</f>
        <v>113.65971768933485</v>
      </c>
      <c r="F145" s="62">
        <v>10402618</v>
      </c>
      <c r="G145" s="62">
        <v>8385649</v>
      </c>
      <c r="H145" s="47">
        <f>F145/G145*100</f>
        <v>124.05262848468854</v>
      </c>
      <c r="I145" s="96">
        <v>57237771</v>
      </c>
      <c r="J145" s="96">
        <v>49590147</v>
      </c>
      <c r="K145" s="47">
        <f>I145/J145*100</f>
        <v>115.42166027457026</v>
      </c>
      <c r="L145" s="96">
        <v>26764088</v>
      </c>
      <c r="M145" s="96">
        <v>22569764</v>
      </c>
      <c r="N145" s="47">
        <f>L145/M145*100</f>
        <v>118.58381859907796</v>
      </c>
      <c r="O145" s="188">
        <v>2945</v>
      </c>
      <c r="P145" s="62">
        <v>145</v>
      </c>
      <c r="Q145" s="188">
        <v>2913</v>
      </c>
      <c r="R145" s="45">
        <f t="shared" ref="R145:R159" si="61">Q145*P145</f>
        <v>422385</v>
      </c>
    </row>
    <row r="146" spans="1:18" x14ac:dyDescent="0.25">
      <c r="A146" s="96">
        <v>2</v>
      </c>
      <c r="B146" s="78" t="s">
        <v>118</v>
      </c>
      <c r="C146" s="62">
        <v>13069111</v>
      </c>
      <c r="D146" s="62">
        <v>12056375</v>
      </c>
      <c r="E146" s="47">
        <f t="shared" si="60"/>
        <v>108.40000414718354</v>
      </c>
      <c r="F146" s="62">
        <v>2328976</v>
      </c>
      <c r="G146" s="62">
        <v>2234366</v>
      </c>
      <c r="H146" s="47">
        <f t="shared" ref="H146:H159" si="62">F146/G146*100</f>
        <v>104.23431076197902</v>
      </c>
      <c r="I146" s="96">
        <v>12177661</v>
      </c>
      <c r="J146" s="96">
        <v>11118176</v>
      </c>
      <c r="K146" s="47">
        <f t="shared" ref="K146:K159" si="63">I146/J146*100</f>
        <v>109.52930588614535</v>
      </c>
      <c r="L146" s="188">
        <v>12177661</v>
      </c>
      <c r="M146" s="188">
        <v>11118176</v>
      </c>
      <c r="N146" s="47">
        <f t="shared" ref="N146:N159" si="64">L146/M146*100</f>
        <v>109.52930588614535</v>
      </c>
      <c r="O146" s="188"/>
      <c r="P146" s="62">
        <v>120</v>
      </c>
      <c r="Q146" s="188">
        <v>940</v>
      </c>
      <c r="R146" s="45">
        <f t="shared" si="61"/>
        <v>112800</v>
      </c>
    </row>
    <row r="147" spans="1:18" s="66" customFormat="1" x14ac:dyDescent="0.25">
      <c r="A147" s="96">
        <v>3</v>
      </c>
      <c r="B147" s="78" t="s">
        <v>119</v>
      </c>
      <c r="C147" s="62">
        <v>12195321</v>
      </c>
      <c r="D147" s="62">
        <v>13870341</v>
      </c>
      <c r="E147" s="47">
        <f t="shared" si="60"/>
        <v>87.923728767735412</v>
      </c>
      <c r="F147" s="62">
        <v>1370000</v>
      </c>
      <c r="G147" s="62">
        <v>2379048</v>
      </c>
      <c r="H147" s="47">
        <f t="shared" si="62"/>
        <v>57.586059633937616</v>
      </c>
      <c r="I147" s="96">
        <v>8892578</v>
      </c>
      <c r="J147" s="96">
        <v>14321392</v>
      </c>
      <c r="K147" s="47">
        <f t="shared" si="63"/>
        <v>62.092972526692932</v>
      </c>
      <c r="L147" s="96">
        <f>1958616+6933962</f>
        <v>8892578</v>
      </c>
      <c r="M147" s="96">
        <v>14321392</v>
      </c>
      <c r="N147" s="47">
        <f t="shared" si="64"/>
        <v>62.092972526692932</v>
      </c>
      <c r="O147" s="188"/>
      <c r="P147" s="76">
        <v>306</v>
      </c>
      <c r="Q147" s="188">
        <v>1205</v>
      </c>
      <c r="R147" s="45">
        <f t="shared" si="61"/>
        <v>368730</v>
      </c>
    </row>
    <row r="148" spans="1:18" x14ac:dyDescent="0.25">
      <c r="A148" s="96">
        <v>4</v>
      </c>
      <c r="B148" s="78" t="s">
        <v>120</v>
      </c>
      <c r="C148" s="62">
        <v>2344367</v>
      </c>
      <c r="D148" s="62">
        <v>3545737</v>
      </c>
      <c r="E148" s="47">
        <f t="shared" si="60"/>
        <v>66.117904401821121</v>
      </c>
      <c r="F148" s="62">
        <v>465521</v>
      </c>
      <c r="G148" s="62">
        <v>649803</v>
      </c>
      <c r="H148" s="47">
        <f t="shared" si="62"/>
        <v>71.640327914768008</v>
      </c>
      <c r="I148" s="188">
        <v>2044065</v>
      </c>
      <c r="J148" s="188">
        <v>3321316</v>
      </c>
      <c r="K148" s="47">
        <f t="shared" si="63"/>
        <v>61.543827808013454</v>
      </c>
      <c r="L148" s="188">
        <v>2044065</v>
      </c>
      <c r="M148" s="188">
        <v>3321316</v>
      </c>
      <c r="N148" s="47">
        <f t="shared" si="64"/>
        <v>61.543827808013454</v>
      </c>
      <c r="O148" s="188">
        <v>551</v>
      </c>
      <c r="P148" s="62">
        <v>150</v>
      </c>
      <c r="Q148" s="188">
        <v>551</v>
      </c>
      <c r="R148" s="45">
        <f t="shared" si="61"/>
        <v>82650</v>
      </c>
    </row>
    <row r="149" spans="1:18" x14ac:dyDescent="0.25">
      <c r="A149" s="96">
        <v>5</v>
      </c>
      <c r="B149" s="78" t="s">
        <v>121</v>
      </c>
      <c r="C149" s="62">
        <v>0</v>
      </c>
      <c r="D149" s="62">
        <v>0</v>
      </c>
      <c r="E149" s="188">
        <v>0</v>
      </c>
      <c r="F149" s="62">
        <v>0</v>
      </c>
      <c r="G149" s="62">
        <v>0</v>
      </c>
      <c r="H149" s="188">
        <v>0</v>
      </c>
      <c r="I149" s="188">
        <v>0</v>
      </c>
      <c r="J149" s="188">
        <v>0</v>
      </c>
      <c r="K149" s="188">
        <v>0</v>
      </c>
      <c r="L149" s="188">
        <v>0</v>
      </c>
      <c r="M149" s="188">
        <v>0</v>
      </c>
      <c r="N149" s="47">
        <v>0</v>
      </c>
      <c r="O149" s="188">
        <v>0</v>
      </c>
      <c r="P149" s="44">
        <v>0</v>
      </c>
      <c r="Q149" s="188">
        <v>0</v>
      </c>
      <c r="R149" s="45">
        <f t="shared" si="61"/>
        <v>0</v>
      </c>
    </row>
    <row r="150" spans="1:18" x14ac:dyDescent="0.25">
      <c r="A150" s="96">
        <v>6</v>
      </c>
      <c r="B150" s="78" t="s">
        <v>122</v>
      </c>
      <c r="C150" s="62">
        <v>10006023</v>
      </c>
      <c r="D150" s="62">
        <v>10726188</v>
      </c>
      <c r="E150" s="47">
        <f t="shared" si="60"/>
        <v>93.285918538813604</v>
      </c>
      <c r="F150" s="62">
        <v>1860077</v>
      </c>
      <c r="G150" s="62">
        <v>1794776</v>
      </c>
      <c r="H150" s="47">
        <f t="shared" si="62"/>
        <v>103.63839275764775</v>
      </c>
      <c r="I150" s="96">
        <v>10080571</v>
      </c>
      <c r="J150" s="96">
        <v>10762550</v>
      </c>
      <c r="K150" s="47">
        <f t="shared" si="63"/>
        <v>93.663406906355846</v>
      </c>
      <c r="L150" s="96">
        <v>10080571</v>
      </c>
      <c r="M150" s="96">
        <v>10762550</v>
      </c>
      <c r="N150" s="47">
        <f t="shared" si="64"/>
        <v>93.663406906355846</v>
      </c>
      <c r="O150" s="188">
        <v>468</v>
      </c>
      <c r="P150" s="76">
        <v>150</v>
      </c>
      <c r="Q150" s="188">
        <v>464</v>
      </c>
      <c r="R150" s="45">
        <f t="shared" si="61"/>
        <v>69600</v>
      </c>
    </row>
    <row r="151" spans="1:18" x14ac:dyDescent="0.25">
      <c r="A151" s="96">
        <v>7</v>
      </c>
      <c r="B151" s="78" t="s">
        <v>123</v>
      </c>
      <c r="C151" s="62">
        <v>0</v>
      </c>
      <c r="D151" s="62">
        <v>0</v>
      </c>
      <c r="E151" s="188">
        <v>0</v>
      </c>
      <c r="F151" s="62">
        <v>0</v>
      </c>
      <c r="G151" s="62">
        <v>0</v>
      </c>
      <c r="H151" s="188">
        <v>0</v>
      </c>
      <c r="I151" s="188">
        <v>0</v>
      </c>
      <c r="J151" s="188">
        <v>0</v>
      </c>
      <c r="K151" s="188">
        <v>0</v>
      </c>
      <c r="L151" s="188">
        <v>0</v>
      </c>
      <c r="M151" s="188">
        <v>0</v>
      </c>
      <c r="N151" s="47">
        <v>0</v>
      </c>
      <c r="O151" s="188">
        <v>0</v>
      </c>
      <c r="P151" s="44">
        <v>0</v>
      </c>
      <c r="Q151" s="188">
        <v>0</v>
      </c>
      <c r="R151" s="45">
        <f t="shared" si="61"/>
        <v>0</v>
      </c>
    </row>
    <row r="152" spans="1:18" x14ac:dyDescent="0.25">
      <c r="A152" s="96">
        <v>8</v>
      </c>
      <c r="B152" s="78" t="s">
        <v>124</v>
      </c>
      <c r="C152" s="188">
        <v>0</v>
      </c>
      <c r="D152" s="188">
        <v>0</v>
      </c>
      <c r="E152" s="188">
        <v>0</v>
      </c>
      <c r="F152" s="188">
        <v>0</v>
      </c>
      <c r="G152" s="188">
        <v>0</v>
      </c>
      <c r="H152" s="188">
        <v>0</v>
      </c>
      <c r="I152" s="188">
        <v>0</v>
      </c>
      <c r="J152" s="188">
        <v>0</v>
      </c>
      <c r="K152" s="188">
        <v>0</v>
      </c>
      <c r="L152" s="188">
        <v>0</v>
      </c>
      <c r="M152" s="188">
        <v>0</v>
      </c>
      <c r="N152" s="47">
        <v>0</v>
      </c>
      <c r="O152" s="188">
        <v>0</v>
      </c>
      <c r="P152" s="44">
        <v>0</v>
      </c>
      <c r="Q152" s="188">
        <v>0</v>
      </c>
      <c r="R152" s="45">
        <f t="shared" si="61"/>
        <v>0</v>
      </c>
    </row>
    <row r="153" spans="1:18" s="66" customFormat="1" x14ac:dyDescent="0.25">
      <c r="A153" s="96">
        <v>9</v>
      </c>
      <c r="B153" s="78" t="s">
        <v>125</v>
      </c>
      <c r="C153" s="76">
        <v>13933589</v>
      </c>
      <c r="D153" s="76">
        <v>8484285</v>
      </c>
      <c r="E153" s="47">
        <f t="shared" si="60"/>
        <v>164.22820544100063</v>
      </c>
      <c r="F153" s="188">
        <v>3271279</v>
      </c>
      <c r="G153" s="188">
        <v>1660998</v>
      </c>
      <c r="H153" s="47">
        <f t="shared" si="62"/>
        <v>196.94659475809121</v>
      </c>
      <c r="I153" s="188">
        <v>13862009</v>
      </c>
      <c r="J153" s="188">
        <v>8080415</v>
      </c>
      <c r="K153" s="47">
        <f t="shared" si="63"/>
        <v>171.55070624466688</v>
      </c>
      <c r="L153" s="188">
        <v>13862009</v>
      </c>
      <c r="M153" s="188">
        <v>8080415</v>
      </c>
      <c r="N153" s="47">
        <f t="shared" si="64"/>
        <v>171.55070624466688</v>
      </c>
      <c r="O153" s="188">
        <v>902</v>
      </c>
      <c r="P153" s="62">
        <v>100</v>
      </c>
      <c r="Q153" s="188">
        <v>870</v>
      </c>
      <c r="R153" s="45">
        <f t="shared" si="61"/>
        <v>87000</v>
      </c>
    </row>
    <row r="154" spans="1:18" x14ac:dyDescent="0.25">
      <c r="A154" s="96">
        <v>10</v>
      </c>
      <c r="B154" s="78" t="s">
        <v>126</v>
      </c>
      <c r="C154" s="76">
        <v>21425028</v>
      </c>
      <c r="D154" s="76">
        <v>22530486</v>
      </c>
      <c r="E154" s="47">
        <f t="shared" si="60"/>
        <v>95.09350131195572</v>
      </c>
      <c r="F154" s="76">
        <v>3803288</v>
      </c>
      <c r="G154" s="76">
        <v>3694631</v>
      </c>
      <c r="H154" s="47">
        <f t="shared" si="62"/>
        <v>102.94094322274674</v>
      </c>
      <c r="I154" s="188">
        <v>21242356</v>
      </c>
      <c r="J154" s="188">
        <v>22008239</v>
      </c>
      <c r="K154" s="47">
        <f t="shared" si="63"/>
        <v>96.52001689003832</v>
      </c>
      <c r="L154" s="188">
        <v>21182626</v>
      </c>
      <c r="M154" s="188">
        <v>21980951</v>
      </c>
      <c r="N154" s="47">
        <f t="shared" si="64"/>
        <v>96.368105274426014</v>
      </c>
      <c r="O154" s="188">
        <v>666</v>
      </c>
      <c r="P154" s="62">
        <v>134</v>
      </c>
      <c r="Q154" s="188">
        <v>659</v>
      </c>
      <c r="R154" s="45">
        <f t="shared" si="61"/>
        <v>88306</v>
      </c>
    </row>
    <row r="155" spans="1:18" x14ac:dyDescent="0.25">
      <c r="A155" s="96">
        <v>11</v>
      </c>
      <c r="B155" s="78" t="s">
        <v>127</v>
      </c>
      <c r="C155" s="62">
        <v>14979428</v>
      </c>
      <c r="D155" s="62">
        <v>15896197</v>
      </c>
      <c r="E155" s="47">
        <f t="shared" si="60"/>
        <v>94.23277781471883</v>
      </c>
      <c r="F155" s="188">
        <v>2719220</v>
      </c>
      <c r="G155" s="188">
        <v>2560482</v>
      </c>
      <c r="H155" s="47">
        <f t="shared" si="62"/>
        <v>106.19953586863724</v>
      </c>
      <c r="I155" s="188">
        <v>15069437</v>
      </c>
      <c r="J155" s="188">
        <v>15652618</v>
      </c>
      <c r="K155" s="47">
        <f t="shared" si="63"/>
        <v>96.27422709734563</v>
      </c>
      <c r="L155" s="188">
        <v>15069437</v>
      </c>
      <c r="M155" s="188">
        <v>15652618</v>
      </c>
      <c r="N155" s="47">
        <f t="shared" si="64"/>
        <v>96.27422709734563</v>
      </c>
      <c r="O155" s="188">
        <v>558</v>
      </c>
      <c r="P155" s="62">
        <v>168</v>
      </c>
      <c r="Q155" s="188">
        <v>558</v>
      </c>
      <c r="R155" s="45">
        <f t="shared" si="61"/>
        <v>93744</v>
      </c>
    </row>
    <row r="156" spans="1:18" x14ac:dyDescent="0.25">
      <c r="A156" s="96">
        <v>12</v>
      </c>
      <c r="B156" s="78" t="s">
        <v>128</v>
      </c>
      <c r="C156" s="51">
        <v>1170</v>
      </c>
      <c r="D156" s="51">
        <v>0</v>
      </c>
      <c r="E156" s="47">
        <v>0</v>
      </c>
      <c r="F156" s="51">
        <v>0</v>
      </c>
      <c r="G156" s="51">
        <v>0</v>
      </c>
      <c r="H156" s="47">
        <v>0</v>
      </c>
      <c r="I156" s="51">
        <v>1106</v>
      </c>
      <c r="J156" s="51">
        <v>0</v>
      </c>
      <c r="K156" s="47">
        <v>0</v>
      </c>
      <c r="L156" s="51">
        <v>0</v>
      </c>
      <c r="M156" s="51">
        <v>0</v>
      </c>
      <c r="N156" s="47">
        <v>0</v>
      </c>
      <c r="O156" s="188">
        <v>9</v>
      </c>
      <c r="P156" s="62">
        <v>45</v>
      </c>
      <c r="Q156" s="188">
        <v>9</v>
      </c>
      <c r="R156" s="45">
        <f t="shared" si="61"/>
        <v>405</v>
      </c>
    </row>
    <row r="157" spans="1:18" x14ac:dyDescent="0.25">
      <c r="A157" s="96">
        <v>13</v>
      </c>
      <c r="B157" s="78" t="s">
        <v>129</v>
      </c>
      <c r="C157" s="188">
        <v>0</v>
      </c>
      <c r="D157" s="188">
        <v>0</v>
      </c>
      <c r="E157" s="188">
        <v>0</v>
      </c>
      <c r="F157" s="188">
        <v>0</v>
      </c>
      <c r="G157" s="188">
        <v>0</v>
      </c>
      <c r="H157" s="188">
        <v>0</v>
      </c>
      <c r="I157" s="188">
        <v>0</v>
      </c>
      <c r="J157" s="188">
        <v>0</v>
      </c>
      <c r="K157" s="188">
        <v>0</v>
      </c>
      <c r="L157" s="188">
        <v>0</v>
      </c>
      <c r="M157" s="188">
        <v>0</v>
      </c>
      <c r="N157" s="47">
        <v>0</v>
      </c>
      <c r="O157" s="188">
        <v>0</v>
      </c>
      <c r="P157" s="44">
        <v>0</v>
      </c>
      <c r="Q157" s="188">
        <v>0</v>
      </c>
      <c r="R157" s="45">
        <f t="shared" si="61"/>
        <v>0</v>
      </c>
    </row>
    <row r="158" spans="1:18" x14ac:dyDescent="0.25">
      <c r="A158" s="96">
        <v>14</v>
      </c>
      <c r="B158" s="78" t="s">
        <v>130</v>
      </c>
      <c r="C158" s="76">
        <v>2033123</v>
      </c>
      <c r="D158" s="76">
        <v>1330062</v>
      </c>
      <c r="E158" s="47">
        <f t="shared" si="60"/>
        <v>152.85926520718581</v>
      </c>
      <c r="F158" s="96">
        <v>348399</v>
      </c>
      <c r="G158" s="96">
        <v>229768</v>
      </c>
      <c r="H158" s="47">
        <f t="shared" si="62"/>
        <v>151.630775390829</v>
      </c>
      <c r="I158" s="96">
        <v>1962800</v>
      </c>
      <c r="J158" s="96">
        <v>1377884</v>
      </c>
      <c r="K158" s="47">
        <f t="shared" si="63"/>
        <v>142.4503078633615</v>
      </c>
      <c r="L158" s="96">
        <v>0</v>
      </c>
      <c r="M158" s="96">
        <v>0</v>
      </c>
      <c r="N158" s="47">
        <v>0</v>
      </c>
      <c r="O158" s="188">
        <v>312</v>
      </c>
      <c r="P158" s="76">
        <v>58</v>
      </c>
      <c r="Q158" s="188"/>
      <c r="R158" s="45">
        <f t="shared" si="61"/>
        <v>0</v>
      </c>
    </row>
    <row r="159" spans="1:18" x14ac:dyDescent="0.25">
      <c r="A159" s="96">
        <v>15</v>
      </c>
      <c r="B159" s="78" t="s">
        <v>131</v>
      </c>
      <c r="C159" s="62">
        <v>15886023</v>
      </c>
      <c r="D159" s="62">
        <v>17394243</v>
      </c>
      <c r="E159" s="47">
        <f t="shared" si="60"/>
        <v>91.329200126731592</v>
      </c>
      <c r="F159" s="188">
        <v>2826477</v>
      </c>
      <c r="G159" s="188">
        <v>2876179</v>
      </c>
      <c r="H159" s="47">
        <f t="shared" si="62"/>
        <v>98.271943436065698</v>
      </c>
      <c r="I159" s="188">
        <v>14201956</v>
      </c>
      <c r="J159" s="188">
        <v>16742891</v>
      </c>
      <c r="K159" s="47">
        <f t="shared" si="63"/>
        <v>84.823797753924339</v>
      </c>
      <c r="L159" s="188">
        <v>14141316</v>
      </c>
      <c r="M159" s="188">
        <v>16683856</v>
      </c>
      <c r="N159" s="47">
        <f t="shared" si="64"/>
        <v>84.760477433993671</v>
      </c>
      <c r="O159" s="188">
        <v>648</v>
      </c>
      <c r="P159" s="62">
        <v>130</v>
      </c>
      <c r="Q159" s="188">
        <v>648</v>
      </c>
      <c r="R159" s="45">
        <f t="shared" si="61"/>
        <v>84240</v>
      </c>
    </row>
    <row r="160" spans="1:18" s="60" customFormat="1" x14ac:dyDescent="0.25">
      <c r="A160" s="315" t="s">
        <v>132</v>
      </c>
      <c r="B160" s="315" t="s">
        <v>133</v>
      </c>
      <c r="C160" s="58">
        <f>SUM(C145:C159)</f>
        <v>162936741</v>
      </c>
      <c r="D160" s="58">
        <f>SUM(D145:D159)</f>
        <v>156039527</v>
      </c>
      <c r="E160" s="57">
        <f>C160/D160*100</f>
        <v>104.42017105063385</v>
      </c>
      <c r="F160" s="56">
        <f>SUM(F145:F159)</f>
        <v>29395855</v>
      </c>
      <c r="G160" s="56">
        <f>SUM(G145:G159)</f>
        <v>26465700</v>
      </c>
      <c r="H160" s="57">
        <f>F160/G160*100</f>
        <v>111.07151898495033</v>
      </c>
      <c r="I160" s="56">
        <f>SUM(I145:I159)</f>
        <v>156772310</v>
      </c>
      <c r="J160" s="56">
        <f>SUM(J145:J159)</f>
        <v>152975628</v>
      </c>
      <c r="K160" s="57">
        <f>I160/J160*100</f>
        <v>102.48188685324435</v>
      </c>
      <c r="L160" s="56">
        <f>SUM(L145:L159)</f>
        <v>124214351</v>
      </c>
      <c r="M160" s="56">
        <f>SUM(M145:M159)</f>
        <v>124491038</v>
      </c>
      <c r="N160" s="57">
        <f>L160/M160*100</f>
        <v>99.777745447025666</v>
      </c>
      <c r="O160" s="56">
        <f>SUM(O145:O159)</f>
        <v>7059</v>
      </c>
      <c r="P160" s="57">
        <f>R160/O160</f>
        <v>199.72517353732823</v>
      </c>
      <c r="Q160" s="56">
        <f>SUM(Q145:Q159)</f>
        <v>8817</v>
      </c>
      <c r="R160" s="59">
        <f>SUM(R145:R159)</f>
        <v>1409860</v>
      </c>
    </row>
    <row r="161" spans="1:18" x14ac:dyDescent="0.25">
      <c r="A161" s="37"/>
      <c r="B161" s="37"/>
      <c r="C161" s="96"/>
      <c r="D161" s="96"/>
      <c r="E161" s="97"/>
      <c r="F161" s="96"/>
      <c r="G161" s="96"/>
      <c r="H161" s="97"/>
      <c r="I161" s="96"/>
      <c r="J161" s="96"/>
      <c r="K161" s="34"/>
      <c r="L161" s="96"/>
      <c r="M161" s="96"/>
      <c r="N161" s="97"/>
      <c r="O161" s="98"/>
      <c r="P161" s="76"/>
      <c r="Q161" s="98"/>
      <c r="R161" s="31"/>
    </row>
    <row r="162" spans="1:18" x14ac:dyDescent="0.25">
      <c r="A162" s="99"/>
      <c r="B162" s="99" t="s">
        <v>13</v>
      </c>
      <c r="C162" s="37">
        <v>3</v>
      </c>
      <c r="D162" s="37">
        <v>4</v>
      </c>
      <c r="E162" s="185">
        <v>5</v>
      </c>
      <c r="F162" s="37">
        <v>6</v>
      </c>
      <c r="G162" s="37">
        <v>7</v>
      </c>
      <c r="H162" s="37">
        <v>8</v>
      </c>
      <c r="I162" s="37">
        <v>9</v>
      </c>
      <c r="J162" s="37">
        <v>10</v>
      </c>
      <c r="K162" s="37">
        <v>11</v>
      </c>
      <c r="L162" s="37">
        <v>12</v>
      </c>
      <c r="M162" s="37">
        <v>13</v>
      </c>
      <c r="N162" s="37">
        <v>14</v>
      </c>
      <c r="O162" s="37">
        <v>15</v>
      </c>
      <c r="P162" s="185">
        <v>16</v>
      </c>
      <c r="Q162" s="37">
        <v>15</v>
      </c>
      <c r="R162" s="100"/>
    </row>
    <row r="163" spans="1:18" x14ac:dyDescent="0.25">
      <c r="A163" s="96">
        <v>1</v>
      </c>
      <c r="B163" s="84" t="s">
        <v>134</v>
      </c>
      <c r="C163" s="96">
        <v>30600</v>
      </c>
      <c r="D163" s="96">
        <v>51522</v>
      </c>
      <c r="E163" s="47">
        <f>C163/D163*100</f>
        <v>59.392104343775479</v>
      </c>
      <c r="F163" s="34">
        <v>11864</v>
      </c>
      <c r="G163" s="96">
        <v>5828</v>
      </c>
      <c r="H163" s="47">
        <f>F163/G163*100</f>
        <v>203.56897735072064</v>
      </c>
      <c r="I163" s="96">
        <v>30600</v>
      </c>
      <c r="J163" s="96">
        <v>51522</v>
      </c>
      <c r="K163" s="47">
        <f t="shared" ref="K163:K167" si="65">I163/J163*100</f>
        <v>59.392104343775479</v>
      </c>
      <c r="L163" s="96">
        <v>0</v>
      </c>
      <c r="M163" s="96">
        <v>0</v>
      </c>
      <c r="N163" s="47">
        <v>0</v>
      </c>
      <c r="O163" s="96">
        <v>53</v>
      </c>
      <c r="P163" s="76">
        <v>76</v>
      </c>
      <c r="Q163" s="96">
        <v>52</v>
      </c>
      <c r="R163" s="45">
        <f>Q163*P163</f>
        <v>3952</v>
      </c>
    </row>
    <row r="164" spans="1:18" s="66" customFormat="1" x14ac:dyDescent="0.25">
      <c r="A164" s="96">
        <v>2</v>
      </c>
      <c r="B164" s="84" t="s">
        <v>135</v>
      </c>
      <c r="C164" s="51">
        <v>2183831</v>
      </c>
      <c r="D164" s="51">
        <v>2959225</v>
      </c>
      <c r="E164" s="47">
        <f t="shared" ref="E164:E167" si="66">C164/D164*100</f>
        <v>73.79739627774164</v>
      </c>
      <c r="F164" s="51">
        <v>257555</v>
      </c>
      <c r="G164" s="51">
        <v>577880</v>
      </c>
      <c r="H164" s="47">
        <f t="shared" ref="H164:H167" si="67">F164/G164*100</f>
        <v>44.568941648785213</v>
      </c>
      <c r="I164" s="51">
        <v>2470485</v>
      </c>
      <c r="J164" s="51">
        <v>2938124</v>
      </c>
      <c r="K164" s="47">
        <f t="shared" si="65"/>
        <v>84.083755484792334</v>
      </c>
      <c r="L164" s="51">
        <v>907266</v>
      </c>
      <c r="M164" s="51">
        <v>1177596</v>
      </c>
      <c r="N164" s="47">
        <f t="shared" ref="N164:N166" si="68">L164/M164*100</f>
        <v>77.043909795889249</v>
      </c>
      <c r="O164" s="96">
        <v>508</v>
      </c>
      <c r="P164" s="76">
        <v>110</v>
      </c>
      <c r="Q164" s="96"/>
      <c r="R164" s="45">
        <f>Q164*P164</f>
        <v>0</v>
      </c>
    </row>
    <row r="165" spans="1:18" x14ac:dyDescent="0.25">
      <c r="A165" s="96">
        <v>3</v>
      </c>
      <c r="B165" s="84" t="s">
        <v>136</v>
      </c>
      <c r="C165" s="188">
        <v>0</v>
      </c>
      <c r="D165" s="188">
        <v>0</v>
      </c>
      <c r="E165" s="188">
        <v>0</v>
      </c>
      <c r="F165" s="188">
        <v>0</v>
      </c>
      <c r="G165" s="188">
        <v>0</v>
      </c>
      <c r="H165" s="188">
        <v>0</v>
      </c>
      <c r="I165" s="188">
        <v>0</v>
      </c>
      <c r="J165" s="188">
        <v>0</v>
      </c>
      <c r="K165" s="188">
        <v>0</v>
      </c>
      <c r="L165" s="188">
        <v>0</v>
      </c>
      <c r="M165" s="188">
        <v>0</v>
      </c>
      <c r="N165" s="47">
        <v>0</v>
      </c>
      <c r="O165" s="96">
        <v>0</v>
      </c>
      <c r="P165" s="76">
        <v>0</v>
      </c>
      <c r="Q165" s="96">
        <v>0</v>
      </c>
      <c r="R165" s="45">
        <f>Q165*P165</f>
        <v>0</v>
      </c>
    </row>
    <row r="166" spans="1:18" x14ac:dyDescent="0.25">
      <c r="A166" s="96">
        <v>4</v>
      </c>
      <c r="B166" s="84" t="s">
        <v>137</v>
      </c>
      <c r="C166" s="96">
        <v>1651885</v>
      </c>
      <c r="D166" s="96">
        <v>1747815</v>
      </c>
      <c r="E166" s="47">
        <f t="shared" si="66"/>
        <v>94.511432846153625</v>
      </c>
      <c r="F166" s="96">
        <v>316330</v>
      </c>
      <c r="G166" s="101">
        <v>342505</v>
      </c>
      <c r="H166" s="47">
        <f t="shared" si="67"/>
        <v>92.357775798893442</v>
      </c>
      <c r="I166" s="101">
        <v>1859638</v>
      </c>
      <c r="J166" s="101">
        <v>618895</v>
      </c>
      <c r="K166" s="47">
        <f t="shared" si="65"/>
        <v>300.47714071045976</v>
      </c>
      <c r="L166" s="101">
        <f>1191375+16119</f>
        <v>1207494</v>
      </c>
      <c r="M166" s="101">
        <v>618895</v>
      </c>
      <c r="N166" s="47">
        <f t="shared" si="68"/>
        <v>195.10482392005107</v>
      </c>
      <c r="O166" s="96"/>
      <c r="P166" s="76">
        <v>32</v>
      </c>
      <c r="Q166" s="96">
        <v>286</v>
      </c>
      <c r="R166" s="45">
        <f>Q166*P166</f>
        <v>9152</v>
      </c>
    </row>
    <row r="167" spans="1:18" x14ac:dyDescent="0.25">
      <c r="A167" s="96">
        <v>5</v>
      </c>
      <c r="B167" s="84" t="s">
        <v>138</v>
      </c>
      <c r="C167" s="96">
        <v>1312677</v>
      </c>
      <c r="D167" s="96">
        <v>1423538</v>
      </c>
      <c r="E167" s="47">
        <f t="shared" si="66"/>
        <v>92.212290785353119</v>
      </c>
      <c r="F167" s="96">
        <v>695070</v>
      </c>
      <c r="G167" s="96">
        <v>546560</v>
      </c>
      <c r="H167" s="47">
        <f t="shared" si="67"/>
        <v>127.17176522248243</v>
      </c>
      <c r="I167" s="96">
        <v>1118984</v>
      </c>
      <c r="J167" s="96">
        <v>1893949</v>
      </c>
      <c r="K167" s="47">
        <f t="shared" si="65"/>
        <v>59.082055535814327</v>
      </c>
      <c r="L167" s="96">
        <v>0</v>
      </c>
      <c r="M167" s="96">
        <v>0</v>
      </c>
      <c r="N167" s="47">
        <v>0</v>
      </c>
      <c r="O167" s="96">
        <v>399</v>
      </c>
      <c r="P167" s="76">
        <v>51</v>
      </c>
      <c r="Q167" s="96">
        <v>531</v>
      </c>
      <c r="R167" s="45">
        <f>Q167*P167</f>
        <v>27081</v>
      </c>
    </row>
    <row r="168" spans="1:18" s="60" customFormat="1" x14ac:dyDescent="0.25">
      <c r="A168" s="315" t="s">
        <v>174</v>
      </c>
      <c r="B168" s="315" t="s">
        <v>139</v>
      </c>
      <c r="C168" s="56">
        <f>SUM(C163:C167)</f>
        <v>5178993</v>
      </c>
      <c r="D168" s="56">
        <f>SUM(D163:D167)</f>
        <v>6182100</v>
      </c>
      <c r="E168" s="57">
        <f>C168/D168*100</f>
        <v>83.774008831950312</v>
      </c>
      <c r="F168" s="56">
        <f>SUM(F163:F167)</f>
        <v>1280819</v>
      </c>
      <c r="G168" s="56">
        <f>SUM(G163:G167)</f>
        <v>1472773</v>
      </c>
      <c r="H168" s="57">
        <f>F168/G168*100</f>
        <v>86.966491102158997</v>
      </c>
      <c r="I168" s="56">
        <f>SUM(I163:I167)</f>
        <v>5479707</v>
      </c>
      <c r="J168" s="56">
        <f>SUM(J163:J167)</f>
        <v>5502490</v>
      </c>
      <c r="K168" s="57">
        <f>I168/J168*100</f>
        <v>99.585951087598517</v>
      </c>
      <c r="L168" s="56">
        <f>SUM(L163:L167)</f>
        <v>2114760</v>
      </c>
      <c r="M168" s="56">
        <f>SUM(M163:M167)</f>
        <v>1796491</v>
      </c>
      <c r="N168" s="57">
        <f>L168/M168*100</f>
        <v>117.71614775693283</v>
      </c>
      <c r="O168" s="56">
        <f>SUM(O163:O167)</f>
        <v>960</v>
      </c>
      <c r="P168" s="57">
        <f>R168/O168</f>
        <v>41.859375</v>
      </c>
      <c r="Q168" s="56">
        <f>SUM(Q163:Q167)</f>
        <v>869</v>
      </c>
      <c r="R168" s="59">
        <f>SUM(R163:R167)</f>
        <v>40185</v>
      </c>
    </row>
    <row r="169" spans="1:18" x14ac:dyDescent="0.25">
      <c r="A169" s="102"/>
      <c r="B169" s="103"/>
      <c r="C169" s="104"/>
      <c r="D169" s="104"/>
      <c r="E169" s="105"/>
      <c r="F169" s="104"/>
      <c r="G169" s="104"/>
      <c r="H169" s="105"/>
      <c r="I169" s="104"/>
      <c r="J169" s="104"/>
      <c r="K169" s="105"/>
      <c r="L169" s="104"/>
      <c r="M169" s="176"/>
      <c r="N169" s="177"/>
      <c r="O169" s="176"/>
      <c r="P169" s="104"/>
      <c r="Q169" s="176"/>
      <c r="R169" s="106"/>
    </row>
    <row r="170" spans="1:18" x14ac:dyDescent="0.25">
      <c r="A170" s="96"/>
      <c r="B170" s="37"/>
      <c r="C170" s="185"/>
      <c r="D170" s="318"/>
      <c r="E170" s="318"/>
      <c r="F170" s="318"/>
      <c r="G170" s="108"/>
      <c r="H170" s="108"/>
      <c r="I170" s="108"/>
      <c r="J170" s="335"/>
      <c r="K170" s="335"/>
      <c r="L170" s="351"/>
      <c r="M170" s="108"/>
      <c r="N170" s="108"/>
      <c r="O170" s="108"/>
      <c r="P170" s="108"/>
      <c r="Q170" s="108"/>
      <c r="R170" s="111"/>
    </row>
    <row r="171" spans="1:18" x14ac:dyDescent="0.25">
      <c r="A171" s="319" t="s">
        <v>140</v>
      </c>
      <c r="B171" s="320"/>
      <c r="C171" s="37">
        <v>3</v>
      </c>
      <c r="D171" s="37">
        <v>4</v>
      </c>
      <c r="E171" s="185">
        <v>5</v>
      </c>
      <c r="F171" s="37">
        <v>6</v>
      </c>
      <c r="G171" s="37">
        <v>7</v>
      </c>
      <c r="H171" s="37">
        <v>8</v>
      </c>
      <c r="I171" s="37">
        <v>9</v>
      </c>
      <c r="J171" s="37">
        <v>10</v>
      </c>
      <c r="K171" s="37">
        <v>11</v>
      </c>
      <c r="L171" s="37">
        <v>12</v>
      </c>
      <c r="M171" s="27">
        <v>13</v>
      </c>
      <c r="N171" s="27">
        <v>14</v>
      </c>
      <c r="O171" s="27">
        <v>15</v>
      </c>
      <c r="P171" s="185">
        <v>16</v>
      </c>
      <c r="Q171" s="27">
        <v>15</v>
      </c>
      <c r="R171" s="23"/>
    </row>
    <row r="172" spans="1:18" x14ac:dyDescent="0.25">
      <c r="A172" s="102">
        <v>1</v>
      </c>
      <c r="B172" s="113" t="s">
        <v>141</v>
      </c>
      <c r="C172" s="96">
        <v>278</v>
      </c>
      <c r="D172" s="96">
        <v>3906</v>
      </c>
      <c r="E172" s="97">
        <f t="shared" ref="E172:E181" si="69">C172/D172*100</f>
        <v>7.1172555043522783</v>
      </c>
      <c r="F172" s="96">
        <v>0</v>
      </c>
      <c r="G172" s="96">
        <v>253</v>
      </c>
      <c r="H172" s="96">
        <v>0</v>
      </c>
      <c r="I172" s="96">
        <v>18623</v>
      </c>
      <c r="J172" s="96">
        <v>16606</v>
      </c>
      <c r="K172" s="97">
        <f t="shared" ref="K172:K181" si="70">I172/J172*100</f>
        <v>112.14621221245334</v>
      </c>
      <c r="L172" s="96">
        <v>0</v>
      </c>
      <c r="M172" s="96">
        <v>0</v>
      </c>
      <c r="N172" s="96">
        <v>0</v>
      </c>
      <c r="O172" s="96">
        <v>71</v>
      </c>
      <c r="P172" s="96">
        <v>114</v>
      </c>
      <c r="Q172" s="96">
        <v>69</v>
      </c>
      <c r="R172" s="45">
        <f t="shared" ref="R172:R181" si="71">Q172*P172</f>
        <v>7866</v>
      </c>
    </row>
    <row r="173" spans="1:18" x14ac:dyDescent="0.25">
      <c r="A173" s="112">
        <v>2</v>
      </c>
      <c r="B173" s="113" t="s">
        <v>142</v>
      </c>
      <c r="C173" s="96">
        <v>481032</v>
      </c>
      <c r="D173" s="96">
        <v>355573</v>
      </c>
      <c r="E173" s="96">
        <f t="shared" si="69"/>
        <v>135.28361264775447</v>
      </c>
      <c r="F173" s="96">
        <v>15112</v>
      </c>
      <c r="G173" s="96">
        <v>22082</v>
      </c>
      <c r="H173" s="96">
        <f t="shared" ref="H173:H180" si="72">F173/G173*100</f>
        <v>68.43583008785437</v>
      </c>
      <c r="I173" s="96">
        <v>481032</v>
      </c>
      <c r="J173" s="96">
        <v>355573</v>
      </c>
      <c r="K173" s="96">
        <f t="shared" si="70"/>
        <v>135.28361264775447</v>
      </c>
      <c r="L173" s="96">
        <v>481032</v>
      </c>
      <c r="M173" s="96">
        <v>355573</v>
      </c>
      <c r="N173" s="96">
        <f t="shared" ref="N173:N181" si="73">L173/M173*100</f>
        <v>135.28361264775447</v>
      </c>
      <c r="O173" s="96">
        <v>130</v>
      </c>
      <c r="P173" s="96">
        <v>108</v>
      </c>
      <c r="Q173" s="96">
        <v>128</v>
      </c>
      <c r="R173" s="45">
        <f t="shared" si="71"/>
        <v>13824</v>
      </c>
    </row>
    <row r="174" spans="1:18" s="80" customFormat="1" x14ac:dyDescent="0.25">
      <c r="A174" s="102">
        <v>3</v>
      </c>
      <c r="B174" s="113" t="s">
        <v>143</v>
      </c>
      <c r="C174" s="96">
        <v>0</v>
      </c>
      <c r="D174" s="96">
        <v>96656</v>
      </c>
      <c r="E174" s="96">
        <f t="shared" si="69"/>
        <v>0</v>
      </c>
      <c r="F174" s="96">
        <v>0</v>
      </c>
      <c r="G174" s="96">
        <v>321</v>
      </c>
      <c r="H174" s="96">
        <f t="shared" si="72"/>
        <v>0</v>
      </c>
      <c r="I174" s="96">
        <v>0</v>
      </c>
      <c r="J174" s="96">
        <v>88588</v>
      </c>
      <c r="K174" s="96">
        <f t="shared" si="70"/>
        <v>0</v>
      </c>
      <c r="L174" s="96">
        <v>0</v>
      </c>
      <c r="M174" s="96">
        <v>71580</v>
      </c>
      <c r="N174" s="96">
        <f t="shared" si="73"/>
        <v>0</v>
      </c>
      <c r="O174" s="96">
        <v>42</v>
      </c>
      <c r="P174" s="96">
        <v>46</v>
      </c>
      <c r="Q174" s="96">
        <v>59</v>
      </c>
      <c r="R174" s="45">
        <f t="shared" si="71"/>
        <v>2714</v>
      </c>
    </row>
    <row r="175" spans="1:18" x14ac:dyDescent="0.25">
      <c r="A175" s="112">
        <v>4</v>
      </c>
      <c r="B175" s="113" t="s">
        <v>144</v>
      </c>
      <c r="C175" s="96">
        <v>1601612</v>
      </c>
      <c r="D175" s="96">
        <v>1990439</v>
      </c>
      <c r="E175" s="114">
        <f t="shared" si="69"/>
        <v>80.465264195486526</v>
      </c>
      <c r="F175" s="96">
        <v>528110</v>
      </c>
      <c r="G175" s="96">
        <v>255870</v>
      </c>
      <c r="H175" s="114">
        <f t="shared" si="72"/>
        <v>206.39778012271859</v>
      </c>
      <c r="I175" s="96">
        <v>1601612</v>
      </c>
      <c r="J175" s="96">
        <v>1990439</v>
      </c>
      <c r="K175" s="114">
        <f t="shared" si="70"/>
        <v>80.465264195486526</v>
      </c>
      <c r="L175" s="96">
        <v>1601612</v>
      </c>
      <c r="M175" s="96">
        <v>1990439</v>
      </c>
      <c r="N175" s="47">
        <f t="shared" si="73"/>
        <v>80.465264195486526</v>
      </c>
      <c r="O175" s="96">
        <v>145</v>
      </c>
      <c r="P175" s="115">
        <v>161</v>
      </c>
      <c r="Q175" s="96">
        <v>220</v>
      </c>
      <c r="R175" s="45">
        <f t="shared" si="71"/>
        <v>35420</v>
      </c>
    </row>
    <row r="176" spans="1:18" x14ac:dyDescent="0.25">
      <c r="A176" s="102">
        <v>5</v>
      </c>
      <c r="B176" s="113" t="s">
        <v>145</v>
      </c>
      <c r="C176" s="96">
        <v>420243</v>
      </c>
      <c r="D176" s="96">
        <v>1334948</v>
      </c>
      <c r="E176" s="114">
        <f t="shared" si="69"/>
        <v>31.480102595756538</v>
      </c>
      <c r="F176" s="96">
        <v>116789</v>
      </c>
      <c r="G176" s="96">
        <v>288939</v>
      </c>
      <c r="H176" s="114">
        <f t="shared" si="72"/>
        <v>40.419950231709805</v>
      </c>
      <c r="I176" s="96">
        <v>658511</v>
      </c>
      <c r="J176" s="96">
        <v>1336604</v>
      </c>
      <c r="K176" s="114">
        <f t="shared" si="70"/>
        <v>49.267471891450271</v>
      </c>
      <c r="L176" s="96">
        <v>661648</v>
      </c>
      <c r="M176" s="96">
        <v>1336604</v>
      </c>
      <c r="N176" s="47">
        <f t="shared" si="73"/>
        <v>49.502171174109911</v>
      </c>
      <c r="O176" s="96">
        <v>44</v>
      </c>
      <c r="P176" s="96">
        <v>48</v>
      </c>
      <c r="Q176" s="96"/>
      <c r="R176" s="45">
        <f t="shared" si="71"/>
        <v>0</v>
      </c>
    </row>
    <row r="177" spans="1:18" x14ac:dyDescent="0.25">
      <c r="A177" s="112">
        <v>6</v>
      </c>
      <c r="B177" s="113" t="s">
        <v>146</v>
      </c>
      <c r="C177" s="96">
        <v>0</v>
      </c>
      <c r="D177" s="96">
        <v>0</v>
      </c>
      <c r="E177" s="188">
        <v>0</v>
      </c>
      <c r="F177" s="96">
        <v>0</v>
      </c>
      <c r="G177" s="96">
        <v>0</v>
      </c>
      <c r="H177" s="188">
        <v>0</v>
      </c>
      <c r="I177" s="96">
        <v>0</v>
      </c>
      <c r="J177" s="96">
        <v>0</v>
      </c>
      <c r="K177" s="188">
        <v>0</v>
      </c>
      <c r="L177" s="96">
        <v>0</v>
      </c>
      <c r="M177" s="96">
        <v>0</v>
      </c>
      <c r="N177" s="47">
        <v>0</v>
      </c>
      <c r="O177" s="96">
        <v>0</v>
      </c>
      <c r="P177" s="44">
        <v>0</v>
      </c>
      <c r="Q177" s="96">
        <v>0</v>
      </c>
      <c r="R177" s="45">
        <f t="shared" si="71"/>
        <v>0</v>
      </c>
    </row>
    <row r="178" spans="1:18" x14ac:dyDescent="0.25">
      <c r="A178" s="102">
        <v>7</v>
      </c>
      <c r="B178" s="113" t="s">
        <v>147</v>
      </c>
      <c r="C178" s="96">
        <v>1452787</v>
      </c>
      <c r="D178" s="96">
        <v>2309101</v>
      </c>
      <c r="E178" s="114">
        <f t="shared" si="69"/>
        <v>62.915697494392845</v>
      </c>
      <c r="F178" s="96">
        <v>7791</v>
      </c>
      <c r="G178" s="96">
        <v>382461</v>
      </c>
      <c r="H178" s="47">
        <f t="shared" si="72"/>
        <v>2.0370704463984564</v>
      </c>
      <c r="I178" s="96">
        <v>1444996</v>
      </c>
      <c r="J178" s="96">
        <v>2053261</v>
      </c>
      <c r="K178" s="47">
        <f t="shared" si="70"/>
        <v>70.375660960783847</v>
      </c>
      <c r="L178" s="96">
        <v>1431568</v>
      </c>
      <c r="M178" s="96">
        <v>2052634</v>
      </c>
      <c r="N178" s="47">
        <f t="shared" si="73"/>
        <v>69.742974149312545</v>
      </c>
      <c r="O178" s="96">
        <v>60</v>
      </c>
      <c r="P178" s="96">
        <v>85</v>
      </c>
      <c r="Q178" s="96">
        <v>57</v>
      </c>
      <c r="R178" s="45">
        <f t="shared" si="71"/>
        <v>4845</v>
      </c>
    </row>
    <row r="179" spans="1:18" x14ac:dyDescent="0.25">
      <c r="A179" s="112">
        <v>8</v>
      </c>
      <c r="B179" s="113" t="s">
        <v>148</v>
      </c>
      <c r="C179" s="96">
        <v>411977</v>
      </c>
      <c r="D179" s="96">
        <v>333250</v>
      </c>
      <c r="E179" s="76">
        <f t="shared" si="69"/>
        <v>123.62400600150039</v>
      </c>
      <c r="F179" s="96">
        <v>92942</v>
      </c>
      <c r="G179" s="96">
        <v>104279</v>
      </c>
      <c r="H179" s="76">
        <f t="shared" si="72"/>
        <v>89.128204144650411</v>
      </c>
      <c r="I179" s="96">
        <v>411977</v>
      </c>
      <c r="J179" s="96">
        <v>333250</v>
      </c>
      <c r="K179" s="76">
        <f t="shared" si="70"/>
        <v>123.62400600150039</v>
      </c>
      <c r="L179" s="96">
        <v>411977</v>
      </c>
      <c r="M179" s="96">
        <v>333250</v>
      </c>
      <c r="N179" s="76">
        <f t="shared" si="73"/>
        <v>123.62400600150039</v>
      </c>
      <c r="O179" s="76">
        <v>42</v>
      </c>
      <c r="P179" s="76">
        <v>134</v>
      </c>
      <c r="Q179" s="76">
        <v>42</v>
      </c>
      <c r="R179" s="45">
        <f t="shared" si="71"/>
        <v>5628</v>
      </c>
    </row>
    <row r="180" spans="1:18" x14ac:dyDescent="0.25">
      <c r="A180" s="102">
        <v>9</v>
      </c>
      <c r="B180" s="113" t="s">
        <v>149</v>
      </c>
      <c r="C180" s="96">
        <v>223410</v>
      </c>
      <c r="D180" s="96">
        <v>112699</v>
      </c>
      <c r="E180" s="47">
        <f t="shared" si="69"/>
        <v>198.23600919262816</v>
      </c>
      <c r="F180" s="96">
        <v>80011</v>
      </c>
      <c r="G180" s="96">
        <v>33522</v>
      </c>
      <c r="H180" s="47">
        <f t="shared" si="72"/>
        <v>238.68205954298668</v>
      </c>
      <c r="I180" s="96">
        <v>223410</v>
      </c>
      <c r="J180" s="96">
        <v>112699</v>
      </c>
      <c r="K180" s="47">
        <f t="shared" si="70"/>
        <v>198.23600919262816</v>
      </c>
      <c r="L180" s="96">
        <v>223410</v>
      </c>
      <c r="M180" s="96">
        <v>112699</v>
      </c>
      <c r="N180" s="47">
        <f t="shared" si="73"/>
        <v>198.23600919262816</v>
      </c>
      <c r="O180" s="96">
        <v>8</v>
      </c>
      <c r="P180" s="96">
        <v>58</v>
      </c>
      <c r="Q180" s="96">
        <v>9</v>
      </c>
      <c r="R180" s="45">
        <f t="shared" si="71"/>
        <v>522</v>
      </c>
    </row>
    <row r="181" spans="1:18" x14ac:dyDescent="0.25">
      <c r="A181" s="112">
        <v>10</v>
      </c>
      <c r="B181" s="113" t="s">
        <v>150</v>
      </c>
      <c r="C181" s="96">
        <v>132010</v>
      </c>
      <c r="D181" s="96">
        <v>120611</v>
      </c>
      <c r="E181" s="47">
        <f t="shared" si="69"/>
        <v>109.4510450953893</v>
      </c>
      <c r="F181" s="96">
        <v>73890</v>
      </c>
      <c r="G181" s="96">
        <v>0</v>
      </c>
      <c r="H181" s="47">
        <v>0</v>
      </c>
      <c r="I181" s="96">
        <v>132010</v>
      </c>
      <c r="J181" s="96">
        <v>120611</v>
      </c>
      <c r="K181" s="47">
        <f t="shared" si="70"/>
        <v>109.4510450953893</v>
      </c>
      <c r="L181" s="96">
        <v>132010</v>
      </c>
      <c r="M181" s="96">
        <v>120611</v>
      </c>
      <c r="N181" s="47">
        <f t="shared" si="73"/>
        <v>109.4510450953893</v>
      </c>
      <c r="O181" s="96">
        <v>23</v>
      </c>
      <c r="P181" s="96">
        <v>50</v>
      </c>
      <c r="Q181" s="96">
        <v>23</v>
      </c>
      <c r="R181" s="116">
        <f t="shared" si="71"/>
        <v>1150</v>
      </c>
    </row>
    <row r="182" spans="1:18" s="60" customFormat="1" x14ac:dyDescent="0.25">
      <c r="A182" s="315" t="s">
        <v>173</v>
      </c>
      <c r="B182" s="315" t="s">
        <v>139</v>
      </c>
      <c r="C182" s="58">
        <f>SUM(C172:C181)</f>
        <v>4723349</v>
      </c>
      <c r="D182" s="58">
        <f>SUM(D172:D181)</f>
        <v>6657183</v>
      </c>
      <c r="E182" s="57">
        <f>C182/D182*100</f>
        <v>70.951166582021258</v>
      </c>
      <c r="F182" s="58">
        <f>SUM(F172:F181)</f>
        <v>914645</v>
      </c>
      <c r="G182" s="58">
        <f>SUM(G172:G181)</f>
        <v>1087727</v>
      </c>
      <c r="H182" s="57">
        <f>F182/G182*100</f>
        <v>84.087735249745563</v>
      </c>
      <c r="I182" s="58">
        <f>SUM(I172:I181)</f>
        <v>4972171</v>
      </c>
      <c r="J182" s="58">
        <f>SUM(J172:J181)</f>
        <v>6407631</v>
      </c>
      <c r="K182" s="57">
        <f>I182/J182*100</f>
        <v>77.597648803434524</v>
      </c>
      <c r="L182" s="58">
        <f>SUM(L172:L181)</f>
        <v>4943257</v>
      </c>
      <c r="M182" s="56">
        <f>SUM(M172:M181)</f>
        <v>6373390</v>
      </c>
      <c r="N182" s="57">
        <f>L182/M182*100</f>
        <v>77.560874197248239</v>
      </c>
      <c r="O182" s="58">
        <f>SUM(O172:O181)</f>
        <v>565</v>
      </c>
      <c r="P182" s="57">
        <f>R182/O182</f>
        <v>127.3787610619469</v>
      </c>
      <c r="Q182" s="58">
        <f>SUM(Q172:Q181)</f>
        <v>607</v>
      </c>
      <c r="R182" s="59">
        <f>SUM(R172:R181)</f>
        <v>71969</v>
      </c>
    </row>
    <row r="183" spans="1:18" x14ac:dyDescent="0.25">
      <c r="A183" s="117"/>
      <c r="B183" s="117"/>
      <c r="C183" s="98"/>
      <c r="D183" s="98"/>
      <c r="E183" s="97"/>
      <c r="F183" s="118"/>
      <c r="G183" s="118"/>
      <c r="H183" s="97"/>
      <c r="I183" s="188"/>
      <c r="J183" s="188"/>
      <c r="K183" s="119"/>
      <c r="L183" s="188"/>
      <c r="M183" s="188"/>
      <c r="N183" s="188"/>
      <c r="O183" s="188"/>
      <c r="P183" s="62"/>
      <c r="Q183" s="188"/>
      <c r="R183" s="31"/>
    </row>
    <row r="184" spans="1:18" x14ac:dyDescent="0.25">
      <c r="A184" s="321" t="s">
        <v>151</v>
      </c>
      <c r="B184" s="322"/>
      <c r="C184" s="37">
        <v>3</v>
      </c>
      <c r="D184" s="37">
        <v>4</v>
      </c>
      <c r="E184" s="185">
        <v>5</v>
      </c>
      <c r="F184" s="37">
        <v>6</v>
      </c>
      <c r="G184" s="37">
        <v>7</v>
      </c>
      <c r="H184" s="37">
        <v>8</v>
      </c>
      <c r="I184" s="37">
        <v>9</v>
      </c>
      <c r="J184" s="37">
        <v>10</v>
      </c>
      <c r="K184" s="37">
        <v>11</v>
      </c>
      <c r="L184" s="37">
        <v>12</v>
      </c>
      <c r="M184" s="37">
        <v>13</v>
      </c>
      <c r="N184" s="37">
        <v>14</v>
      </c>
      <c r="O184" s="37">
        <v>15</v>
      </c>
      <c r="P184" s="185">
        <v>16</v>
      </c>
      <c r="Q184" s="37">
        <v>15</v>
      </c>
      <c r="R184" s="31"/>
    </row>
    <row r="185" spans="1:18" x14ac:dyDescent="0.25">
      <c r="A185" s="118">
        <v>1</v>
      </c>
      <c r="B185" s="120" t="s">
        <v>152</v>
      </c>
      <c r="C185" s="76">
        <v>442724.1</v>
      </c>
      <c r="D185" s="76">
        <v>435756.1</v>
      </c>
      <c r="E185" s="97">
        <f t="shared" ref="E185:E196" si="74">C185/D185*100</f>
        <v>101.59905965745517</v>
      </c>
      <c r="F185" s="96">
        <v>59633.599999999999</v>
      </c>
      <c r="G185" s="96">
        <v>124706.2</v>
      </c>
      <c r="H185" s="97">
        <f t="shared" ref="H185:H196" si="75">F185/G185*100</f>
        <v>47.819274422602888</v>
      </c>
      <c r="I185" s="96">
        <v>386634.1</v>
      </c>
      <c r="J185" s="96">
        <v>458440.9</v>
      </c>
      <c r="K185" s="97">
        <f t="shared" ref="K185:K195" si="76">IF(OR(I185=0,J185=0),0,I185/J185*100)</f>
        <v>84.336737843416671</v>
      </c>
      <c r="L185" s="96">
        <v>0</v>
      </c>
      <c r="M185" s="96">
        <v>0</v>
      </c>
      <c r="N185" s="97">
        <f t="shared" ref="N185:N195" si="77">IF(OR(L185=0,M185=0),0,L185/M185*100)</f>
        <v>0</v>
      </c>
      <c r="O185" s="96">
        <v>336</v>
      </c>
      <c r="P185" s="76">
        <v>255.4</v>
      </c>
      <c r="Q185" s="76">
        <v>333</v>
      </c>
      <c r="R185" s="45">
        <f t="shared" ref="R185:R192" si="78">Q185*P185</f>
        <v>85048.2</v>
      </c>
    </row>
    <row r="186" spans="1:18" x14ac:dyDescent="0.25">
      <c r="A186" s="118">
        <v>2</v>
      </c>
      <c r="B186" s="120" t="s">
        <v>154</v>
      </c>
      <c r="C186" s="96">
        <v>53934</v>
      </c>
      <c r="D186" s="96">
        <v>378339</v>
      </c>
      <c r="E186" s="97">
        <f t="shared" si="74"/>
        <v>14.255469301340861</v>
      </c>
      <c r="F186" s="96">
        <v>15978</v>
      </c>
      <c r="G186" s="96">
        <v>8535</v>
      </c>
      <c r="H186" s="97">
        <f t="shared" si="75"/>
        <v>187.20562390158173</v>
      </c>
      <c r="I186" s="96">
        <v>65818</v>
      </c>
      <c r="J186" s="96">
        <v>353691</v>
      </c>
      <c r="K186" s="97">
        <f t="shared" si="76"/>
        <v>18.608898727985729</v>
      </c>
      <c r="L186" s="96">
        <v>65818</v>
      </c>
      <c r="M186" s="96">
        <v>353691</v>
      </c>
      <c r="N186" s="97">
        <f t="shared" si="77"/>
        <v>18.608898727985729</v>
      </c>
      <c r="O186" s="96">
        <v>49</v>
      </c>
      <c r="P186" s="76">
        <v>121</v>
      </c>
      <c r="Q186" s="76">
        <v>49</v>
      </c>
      <c r="R186" s="45">
        <f t="shared" si="78"/>
        <v>5929</v>
      </c>
    </row>
    <row r="187" spans="1:18" x14ac:dyDescent="0.25">
      <c r="A187" s="118">
        <v>3</v>
      </c>
      <c r="B187" s="120" t="s">
        <v>155</v>
      </c>
      <c r="C187" s="96">
        <v>6639</v>
      </c>
      <c r="D187" s="96">
        <v>5754</v>
      </c>
      <c r="E187" s="97">
        <f t="shared" si="74"/>
        <v>115.38060479666319</v>
      </c>
      <c r="F187" s="96">
        <v>950</v>
      </c>
      <c r="G187" s="96">
        <v>1368</v>
      </c>
      <c r="H187" s="97">
        <f t="shared" si="75"/>
        <v>69.444444444444443</v>
      </c>
      <c r="I187" s="96">
        <v>2908</v>
      </c>
      <c r="J187" s="96">
        <v>5754</v>
      </c>
      <c r="K187" s="97">
        <f t="shared" si="76"/>
        <v>50.538755648244702</v>
      </c>
      <c r="L187" s="96">
        <v>0</v>
      </c>
      <c r="M187" s="96">
        <v>0</v>
      </c>
      <c r="N187" s="97">
        <f t="shared" si="77"/>
        <v>0</v>
      </c>
      <c r="O187" s="96">
        <v>27</v>
      </c>
      <c r="P187" s="76">
        <v>40</v>
      </c>
      <c r="Q187" s="76">
        <v>29</v>
      </c>
      <c r="R187" s="45">
        <f t="shared" si="78"/>
        <v>1160</v>
      </c>
    </row>
    <row r="188" spans="1:18" ht="36.75" customHeight="1" x14ac:dyDescent="0.25">
      <c r="A188" s="118">
        <v>4</v>
      </c>
      <c r="B188" s="121" t="s">
        <v>156</v>
      </c>
      <c r="C188" s="96">
        <v>64843</v>
      </c>
      <c r="D188" s="96">
        <v>60842</v>
      </c>
      <c r="E188" s="97">
        <f t="shared" si="74"/>
        <v>106.5760494395319</v>
      </c>
      <c r="F188" s="96">
        <v>12167</v>
      </c>
      <c r="G188" s="96">
        <v>11222</v>
      </c>
      <c r="H188" s="97">
        <f t="shared" si="75"/>
        <v>108.42095883086793</v>
      </c>
      <c r="I188" s="96">
        <v>0</v>
      </c>
      <c r="J188" s="96">
        <v>0</v>
      </c>
      <c r="K188" s="97">
        <f t="shared" si="76"/>
        <v>0</v>
      </c>
      <c r="L188" s="96">
        <v>0</v>
      </c>
      <c r="M188" s="96">
        <v>0</v>
      </c>
      <c r="N188" s="97">
        <f t="shared" si="77"/>
        <v>0</v>
      </c>
      <c r="O188" s="96">
        <v>86</v>
      </c>
      <c r="P188" s="76">
        <v>82</v>
      </c>
      <c r="Q188" s="76">
        <v>86</v>
      </c>
      <c r="R188" s="45">
        <f t="shared" si="78"/>
        <v>7052</v>
      </c>
    </row>
    <row r="189" spans="1:18" x14ac:dyDescent="0.25">
      <c r="A189" s="118">
        <v>5</v>
      </c>
      <c r="B189" s="122" t="s">
        <v>157</v>
      </c>
      <c r="C189" s="96">
        <v>514</v>
      </c>
      <c r="D189" s="96">
        <v>83</v>
      </c>
      <c r="E189" s="97">
        <v>0</v>
      </c>
      <c r="F189" s="96">
        <v>63</v>
      </c>
      <c r="G189" s="96">
        <v>0</v>
      </c>
      <c r="H189" s="97">
        <v>0</v>
      </c>
      <c r="I189" s="96">
        <v>514</v>
      </c>
      <c r="J189" s="96">
        <v>83</v>
      </c>
      <c r="K189" s="97">
        <f t="shared" si="76"/>
        <v>619.27710843373495</v>
      </c>
      <c r="L189" s="96">
        <v>0</v>
      </c>
      <c r="M189" s="96">
        <v>0</v>
      </c>
      <c r="N189" s="97">
        <f t="shared" si="77"/>
        <v>0</v>
      </c>
      <c r="O189" s="96">
        <v>32</v>
      </c>
      <c r="P189" s="76">
        <v>15.9</v>
      </c>
      <c r="Q189" s="76">
        <v>31</v>
      </c>
      <c r="R189" s="45">
        <f t="shared" si="78"/>
        <v>492.90000000000003</v>
      </c>
    </row>
    <row r="190" spans="1:18" x14ac:dyDescent="0.25">
      <c r="A190" s="118">
        <v>6</v>
      </c>
      <c r="B190" s="120" t="s">
        <v>158</v>
      </c>
      <c r="C190" s="96">
        <v>5849</v>
      </c>
      <c r="D190" s="96">
        <v>1554</v>
      </c>
      <c r="E190" s="97">
        <f t="shared" si="74"/>
        <v>376.38352638352637</v>
      </c>
      <c r="F190" s="96">
        <v>475</v>
      </c>
      <c r="G190" s="96">
        <v>2718</v>
      </c>
      <c r="H190" s="97">
        <f t="shared" si="75"/>
        <v>17.476085356880059</v>
      </c>
      <c r="I190" s="96">
        <v>0</v>
      </c>
      <c r="J190" s="96">
        <v>0</v>
      </c>
      <c r="K190" s="97">
        <f t="shared" si="76"/>
        <v>0</v>
      </c>
      <c r="L190" s="96">
        <v>0</v>
      </c>
      <c r="M190" s="96">
        <v>0</v>
      </c>
      <c r="N190" s="97">
        <f t="shared" si="77"/>
        <v>0</v>
      </c>
      <c r="O190" s="96">
        <v>17</v>
      </c>
      <c r="P190" s="76">
        <v>34</v>
      </c>
      <c r="Q190" s="76">
        <v>19</v>
      </c>
      <c r="R190" s="45">
        <f t="shared" si="78"/>
        <v>646</v>
      </c>
    </row>
    <row r="191" spans="1:18" x14ac:dyDescent="0.25">
      <c r="A191" s="118">
        <v>7</v>
      </c>
      <c r="B191" s="120" t="s">
        <v>159</v>
      </c>
      <c r="C191" s="96">
        <v>29485</v>
      </c>
      <c r="D191" s="96">
        <v>36711</v>
      </c>
      <c r="E191" s="97">
        <f t="shared" si="74"/>
        <v>80.316526381738441</v>
      </c>
      <c r="F191" s="96">
        <v>4914</v>
      </c>
      <c r="G191" s="96">
        <v>6930</v>
      </c>
      <c r="H191" s="97">
        <f t="shared" si="75"/>
        <v>70.909090909090907</v>
      </c>
      <c r="I191" s="96">
        <v>29485</v>
      </c>
      <c r="J191" s="96">
        <v>36711</v>
      </c>
      <c r="K191" s="97">
        <f t="shared" si="76"/>
        <v>80.316526381738441</v>
      </c>
      <c r="L191" s="96">
        <v>0</v>
      </c>
      <c r="M191" s="96">
        <v>0</v>
      </c>
      <c r="N191" s="97">
        <f t="shared" si="77"/>
        <v>0</v>
      </c>
      <c r="O191" s="96">
        <v>84</v>
      </c>
      <c r="P191" s="76">
        <v>54</v>
      </c>
      <c r="Q191" s="76">
        <v>84</v>
      </c>
      <c r="R191" s="45">
        <f t="shared" si="78"/>
        <v>4536</v>
      </c>
    </row>
    <row r="192" spans="1:18" x14ac:dyDescent="0.25">
      <c r="A192" s="118">
        <v>8</v>
      </c>
      <c r="B192" s="120" t="s">
        <v>160</v>
      </c>
      <c r="C192" s="96">
        <v>5865</v>
      </c>
      <c r="D192" s="96">
        <v>3280</v>
      </c>
      <c r="E192" s="97">
        <f t="shared" si="74"/>
        <v>178.8109756097561</v>
      </c>
      <c r="F192" s="96">
        <v>1071</v>
      </c>
      <c r="G192" s="96">
        <v>1300</v>
      </c>
      <c r="H192" s="97">
        <f t="shared" si="75"/>
        <v>82.384615384615387</v>
      </c>
      <c r="I192" s="96">
        <v>0</v>
      </c>
      <c r="J192" s="96">
        <v>0</v>
      </c>
      <c r="K192" s="97">
        <f t="shared" si="76"/>
        <v>0</v>
      </c>
      <c r="L192" s="96">
        <v>0</v>
      </c>
      <c r="M192" s="96">
        <v>0</v>
      </c>
      <c r="N192" s="97">
        <f t="shared" si="77"/>
        <v>0</v>
      </c>
      <c r="O192" s="96">
        <v>12</v>
      </c>
      <c r="P192" s="76">
        <v>52.5</v>
      </c>
      <c r="Q192" s="76">
        <v>12</v>
      </c>
      <c r="R192" s="45">
        <f t="shared" si="78"/>
        <v>630</v>
      </c>
    </row>
    <row r="193" spans="1:18" x14ac:dyDescent="0.25">
      <c r="A193" s="118">
        <v>9</v>
      </c>
      <c r="B193" s="120" t="s">
        <v>161</v>
      </c>
      <c r="C193" s="96">
        <v>31448</v>
      </c>
      <c r="D193" s="96">
        <v>36590</v>
      </c>
      <c r="E193" s="97">
        <f t="shared" si="74"/>
        <v>85.946980049193769</v>
      </c>
      <c r="F193" s="96">
        <v>5585</v>
      </c>
      <c r="G193" s="96">
        <v>6994</v>
      </c>
      <c r="H193" s="97">
        <f t="shared" si="75"/>
        <v>79.854160709179297</v>
      </c>
      <c r="I193" s="96">
        <v>18359</v>
      </c>
      <c r="J193" s="96">
        <v>33476</v>
      </c>
      <c r="K193" s="97">
        <f t="shared" si="76"/>
        <v>54.842275062731503</v>
      </c>
      <c r="L193" s="96">
        <v>0</v>
      </c>
      <c r="M193" s="96">
        <v>0</v>
      </c>
      <c r="N193" s="97">
        <v>0</v>
      </c>
      <c r="O193" s="96">
        <v>23</v>
      </c>
      <c r="P193" s="76">
        <v>91</v>
      </c>
      <c r="Q193" s="76">
        <v>23</v>
      </c>
      <c r="R193" s="45"/>
    </row>
    <row r="194" spans="1:18" x14ac:dyDescent="0.25">
      <c r="A194" s="118">
        <v>10</v>
      </c>
      <c r="B194" s="120" t="s">
        <v>162</v>
      </c>
      <c r="C194" s="96">
        <v>10260</v>
      </c>
      <c r="D194" s="96">
        <v>10254</v>
      </c>
      <c r="E194" s="97">
        <f t="shared" si="74"/>
        <v>100.05851375073142</v>
      </c>
      <c r="F194" s="96">
        <v>1667</v>
      </c>
      <c r="G194" s="96">
        <v>1213</v>
      </c>
      <c r="H194" s="97">
        <f t="shared" si="75"/>
        <v>137.42786479802143</v>
      </c>
      <c r="I194" s="96">
        <v>10260</v>
      </c>
      <c r="J194" s="96">
        <v>10254</v>
      </c>
      <c r="K194" s="97">
        <f t="shared" si="76"/>
        <v>100.05851375073142</v>
      </c>
      <c r="L194" s="96">
        <v>0</v>
      </c>
      <c r="M194" s="96">
        <v>0</v>
      </c>
      <c r="N194" s="97">
        <f t="shared" si="77"/>
        <v>0</v>
      </c>
      <c r="O194" s="96">
        <v>21</v>
      </c>
      <c r="P194" s="76">
        <v>55.6</v>
      </c>
      <c r="Q194" s="76">
        <v>29</v>
      </c>
      <c r="R194" s="45">
        <f>Q194*P194</f>
        <v>1612.4</v>
      </c>
    </row>
    <row r="195" spans="1:18" x14ac:dyDescent="0.25">
      <c r="A195" s="118">
        <v>11</v>
      </c>
      <c r="B195" s="123" t="s">
        <v>163</v>
      </c>
      <c r="C195" s="96">
        <v>3112</v>
      </c>
      <c r="D195" s="96">
        <v>2435</v>
      </c>
      <c r="E195" s="97">
        <f t="shared" si="74"/>
        <v>127.80287474332648</v>
      </c>
      <c r="F195" s="96">
        <v>1132</v>
      </c>
      <c r="G195" s="96">
        <v>240</v>
      </c>
      <c r="H195" s="97">
        <f t="shared" si="75"/>
        <v>471.66666666666669</v>
      </c>
      <c r="I195" s="96">
        <v>2917</v>
      </c>
      <c r="J195" s="96">
        <v>3014</v>
      </c>
      <c r="K195" s="97">
        <f t="shared" si="76"/>
        <v>96.781685467816857</v>
      </c>
      <c r="L195" s="96">
        <v>0</v>
      </c>
      <c r="M195" s="96">
        <v>0</v>
      </c>
      <c r="N195" s="97">
        <f t="shared" si="77"/>
        <v>0</v>
      </c>
      <c r="O195" s="96">
        <v>26</v>
      </c>
      <c r="P195" s="76">
        <v>51</v>
      </c>
      <c r="Q195" s="76">
        <v>26</v>
      </c>
      <c r="R195" s="45">
        <f>Q195*P195</f>
        <v>1326</v>
      </c>
    </row>
    <row r="196" spans="1:18" s="60" customFormat="1" x14ac:dyDescent="0.25">
      <c r="A196" s="315" t="s">
        <v>173</v>
      </c>
      <c r="B196" s="315" t="s">
        <v>139</v>
      </c>
      <c r="C196" s="124">
        <f>SUM(C185:C195)</f>
        <v>654673.1</v>
      </c>
      <c r="D196" s="124">
        <f>SUM(D185:D195)</f>
        <v>971598.1</v>
      </c>
      <c r="E196" s="57">
        <f t="shared" si="74"/>
        <v>67.381060131756115</v>
      </c>
      <c r="F196" s="124">
        <f>SUM(F185:F195)</f>
        <v>103635.6</v>
      </c>
      <c r="G196" s="124">
        <f>SUM(G185:G195)</f>
        <v>165226.20000000001</v>
      </c>
      <c r="H196" s="57">
        <f t="shared" si="75"/>
        <v>62.723466375187463</v>
      </c>
      <c r="I196" s="124">
        <f>SUM(I185:I195)</f>
        <v>516895.1</v>
      </c>
      <c r="J196" s="124">
        <f>SUM(J185:J195)</f>
        <v>901423.9</v>
      </c>
      <c r="K196" s="57">
        <f>I196/J196*100</f>
        <v>57.342067366973517</v>
      </c>
      <c r="L196" s="124">
        <f>SUM(L185:L195)</f>
        <v>65818</v>
      </c>
      <c r="M196" s="124">
        <f>SUM(M185:M195)</f>
        <v>353691</v>
      </c>
      <c r="N196" s="57">
        <f>L196/M196*100</f>
        <v>18.608898727985729</v>
      </c>
      <c r="O196" s="124">
        <f>SUM(O185:O195)</f>
        <v>713</v>
      </c>
      <c r="P196" s="57">
        <f>R196/O196</f>
        <v>152.07924263674613</v>
      </c>
      <c r="Q196" s="124">
        <f>SUM(Q185:Q195)</f>
        <v>721</v>
      </c>
      <c r="R196" s="59">
        <f>SUM(R185:R195)</f>
        <v>108432.49999999999</v>
      </c>
    </row>
    <row r="197" spans="1:18" x14ac:dyDescent="0.25">
      <c r="A197" s="125"/>
      <c r="B197" s="37"/>
      <c r="C197" s="125"/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  <c r="N197" s="125"/>
      <c r="O197" s="125"/>
      <c r="P197" s="125"/>
      <c r="Q197" s="125"/>
      <c r="R197" s="126"/>
    </row>
    <row r="198" spans="1:18" x14ac:dyDescent="0.25">
      <c r="A198" s="323" t="s">
        <v>22</v>
      </c>
      <c r="B198" s="324"/>
      <c r="C198" s="37">
        <v>3</v>
      </c>
      <c r="D198" s="37">
        <v>4</v>
      </c>
      <c r="E198" s="185">
        <v>5</v>
      </c>
      <c r="F198" s="37">
        <v>6</v>
      </c>
      <c r="G198" s="37">
        <v>7</v>
      </c>
      <c r="H198" s="37">
        <v>8</v>
      </c>
      <c r="I198" s="37">
        <v>9</v>
      </c>
      <c r="J198" s="37">
        <v>10</v>
      </c>
      <c r="K198" s="37">
        <v>11</v>
      </c>
      <c r="L198" s="37">
        <v>12</v>
      </c>
      <c r="M198" s="37">
        <v>13</v>
      </c>
      <c r="N198" s="37">
        <v>14</v>
      </c>
      <c r="O198" s="37">
        <v>15</v>
      </c>
      <c r="P198" s="185">
        <v>16</v>
      </c>
      <c r="Q198" s="37">
        <v>15</v>
      </c>
      <c r="R198" s="23"/>
    </row>
    <row r="199" spans="1:18" x14ac:dyDescent="0.25">
      <c r="A199" s="96">
        <v>1</v>
      </c>
      <c r="B199" s="127" t="s">
        <v>164</v>
      </c>
      <c r="C199" s="49">
        <v>48396</v>
      </c>
      <c r="D199" s="49">
        <v>62696</v>
      </c>
      <c r="E199" s="119">
        <f t="shared" ref="E199:E200" si="79">C199/D199*100</f>
        <v>77.191527370167151</v>
      </c>
      <c r="F199" s="49">
        <v>14552</v>
      </c>
      <c r="G199" s="49">
        <v>10236</v>
      </c>
      <c r="H199" s="119">
        <f t="shared" ref="H199:H200" si="80">F199/G199*100</f>
        <v>142.16490816725283</v>
      </c>
      <c r="I199" s="49">
        <v>48396</v>
      </c>
      <c r="J199" s="49">
        <v>62696</v>
      </c>
      <c r="K199" s="119">
        <f t="shared" ref="K199:K200" si="81">I199/J199*100</f>
        <v>77.191527370167151</v>
      </c>
      <c r="L199" s="49">
        <v>18396</v>
      </c>
      <c r="M199" s="49">
        <v>62696</v>
      </c>
      <c r="N199" s="47">
        <f t="shared" ref="N199:N200" si="82">L199/M199*100</f>
        <v>29.341584790098253</v>
      </c>
      <c r="O199" s="34">
        <v>48</v>
      </c>
      <c r="P199" s="96">
        <v>46</v>
      </c>
      <c r="Q199" s="34">
        <v>50</v>
      </c>
      <c r="R199" s="45">
        <f>Q199*P199</f>
        <v>2300</v>
      </c>
    </row>
    <row r="200" spans="1:18" x14ac:dyDescent="0.25">
      <c r="A200" s="96">
        <v>2</v>
      </c>
      <c r="B200" s="127" t="s">
        <v>165</v>
      </c>
      <c r="C200" s="49">
        <v>99652</v>
      </c>
      <c r="D200" s="49">
        <v>109092</v>
      </c>
      <c r="E200" s="119">
        <f t="shared" si="79"/>
        <v>91.346753199134682</v>
      </c>
      <c r="F200" s="49">
        <v>90096</v>
      </c>
      <c r="G200" s="49">
        <v>54294</v>
      </c>
      <c r="H200" s="119">
        <f t="shared" si="80"/>
        <v>165.9409879544701</v>
      </c>
      <c r="I200" s="49">
        <v>105751</v>
      </c>
      <c r="J200" s="49">
        <v>116206</v>
      </c>
      <c r="K200" s="119">
        <f t="shared" si="81"/>
        <v>91.003046314303901</v>
      </c>
      <c r="L200" s="49">
        <v>0</v>
      </c>
      <c r="M200" s="49">
        <f>674+7137</f>
        <v>7811</v>
      </c>
      <c r="N200" s="47">
        <f t="shared" si="82"/>
        <v>0</v>
      </c>
      <c r="O200" s="34">
        <v>189</v>
      </c>
      <c r="P200" s="96">
        <v>65</v>
      </c>
      <c r="Q200" s="34">
        <v>189</v>
      </c>
      <c r="R200" s="45">
        <f>Q200*P200</f>
        <v>12285</v>
      </c>
    </row>
    <row r="201" spans="1:18" s="60" customFormat="1" x14ac:dyDescent="0.25">
      <c r="A201" s="315" t="s">
        <v>173</v>
      </c>
      <c r="B201" s="315" t="s">
        <v>139</v>
      </c>
      <c r="C201" s="56">
        <f>SUM(C199:C200)</f>
        <v>148048</v>
      </c>
      <c r="D201" s="56">
        <f>SUM(D199:D200)</f>
        <v>171788</v>
      </c>
      <c r="E201" s="57">
        <f>C201/D201*100</f>
        <v>86.180641255500973</v>
      </c>
      <c r="F201" s="56">
        <f>SUM(F199:F200)</f>
        <v>104648</v>
      </c>
      <c r="G201" s="56">
        <f>SUM(G199:G200)</f>
        <v>64530</v>
      </c>
      <c r="H201" s="57">
        <f>F201/G201*100</f>
        <v>162.1695335502867</v>
      </c>
      <c r="I201" s="57">
        <f>SUM(I199:I200)</f>
        <v>154147</v>
      </c>
      <c r="J201" s="56">
        <f>SUM(J199:J200)</f>
        <v>178902</v>
      </c>
      <c r="K201" s="57">
        <f>I201/J201*100</f>
        <v>86.162815396138669</v>
      </c>
      <c r="L201" s="58">
        <f>SUM(L199:L200)</f>
        <v>18396</v>
      </c>
      <c r="M201" s="56">
        <f>SUM(M199:M200)</f>
        <v>70507</v>
      </c>
      <c r="N201" s="57">
        <f>L201/M201*100</f>
        <v>26.091026422908364</v>
      </c>
      <c r="O201" s="58">
        <f>SUM(O199:O200)</f>
        <v>237</v>
      </c>
      <c r="P201" s="58">
        <f>R201/O201</f>
        <v>61.540084388185655</v>
      </c>
      <c r="Q201" s="58">
        <f>SUM(Q199:Q200)</f>
        <v>239</v>
      </c>
      <c r="R201" s="59">
        <f>SUM(R199:R200)</f>
        <v>14585</v>
      </c>
    </row>
    <row r="202" spans="1:18" x14ac:dyDescent="0.25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6"/>
    </row>
    <row r="203" spans="1:18" x14ac:dyDescent="0.25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6"/>
    </row>
    <row r="204" spans="1:18" x14ac:dyDescent="0.25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6"/>
    </row>
    <row r="205" spans="1:18" x14ac:dyDescent="0.25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6"/>
    </row>
    <row r="206" spans="1:18" x14ac:dyDescent="0.25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6"/>
    </row>
    <row r="207" spans="1:18" x14ac:dyDescent="0.25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6"/>
    </row>
    <row r="208" spans="1:18" x14ac:dyDescent="0.25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6"/>
    </row>
    <row r="209" spans="1:22" x14ac:dyDescent="0.25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</row>
    <row r="210" spans="1:22" x14ac:dyDescent="0.25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</row>
    <row r="211" spans="1:22" x14ac:dyDescent="0.25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</row>
    <row r="212" spans="1:22" x14ac:dyDescent="0.25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</row>
    <row r="213" spans="1:22" x14ac:dyDescent="0.25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</row>
    <row r="214" spans="1:22" x14ac:dyDescent="0.25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</row>
    <row r="215" spans="1:22" x14ac:dyDescent="0.25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</row>
    <row r="216" spans="1:22" x14ac:dyDescent="0.25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</row>
    <row r="217" spans="1:22" x14ac:dyDescent="0.25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</row>
    <row r="218" spans="1:22" x14ac:dyDescent="0.25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</row>
    <row r="219" spans="1:22" x14ac:dyDescent="0.25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</row>
    <row r="220" spans="1:22" x14ac:dyDescent="0.25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</row>
    <row r="221" spans="1:22" x14ac:dyDescent="0.25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</row>
    <row r="222" spans="1:22" x14ac:dyDescent="0.25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</row>
    <row r="223" spans="1:22" x14ac:dyDescent="0.25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</row>
    <row r="224" spans="1:22" x14ac:dyDescent="0.25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</row>
    <row r="225" spans="1:22" x14ac:dyDescent="0.25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</row>
    <row r="226" spans="1:22" x14ac:dyDescent="0.25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</row>
    <row r="227" spans="1:22" x14ac:dyDescent="0.25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</row>
    <row r="228" spans="1:22" x14ac:dyDescent="0.25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</row>
    <row r="229" spans="1:22" x14ac:dyDescent="0.25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</row>
    <row r="230" spans="1:22" x14ac:dyDescent="0.25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</row>
    <row r="231" spans="1:22" x14ac:dyDescent="0.25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</row>
    <row r="232" spans="1:22" x14ac:dyDescent="0.25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</row>
    <row r="233" spans="1:22" x14ac:dyDescent="0.25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</row>
    <row r="234" spans="1:22" x14ac:dyDescent="0.25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</row>
    <row r="235" spans="1:22" x14ac:dyDescent="0.25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</row>
    <row r="236" spans="1:22" x14ac:dyDescent="0.25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</row>
    <row r="237" spans="1:22" x14ac:dyDescent="0.25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</row>
    <row r="238" spans="1:22" x14ac:dyDescent="0.25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</row>
    <row r="239" spans="1:22" x14ac:dyDescent="0.25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</row>
    <row r="240" spans="1:22" x14ac:dyDescent="0.25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</row>
    <row r="241" spans="1:22" x14ac:dyDescent="0.25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</row>
    <row r="242" spans="1:22" x14ac:dyDescent="0.25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</row>
    <row r="243" spans="1:22" x14ac:dyDescent="0.25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</row>
    <row r="244" spans="1:22" x14ac:dyDescent="0.25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</row>
    <row r="245" spans="1:22" x14ac:dyDescent="0.25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</row>
    <row r="246" spans="1:22" x14ac:dyDescent="0.25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</row>
    <row r="247" spans="1:22" x14ac:dyDescent="0.25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</row>
    <row r="248" spans="1:22" x14ac:dyDescent="0.25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</row>
    <row r="249" spans="1:22" x14ac:dyDescent="0.25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</row>
    <row r="250" spans="1:22" x14ac:dyDescent="0.25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</row>
    <row r="251" spans="1:22" x14ac:dyDescent="0.25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</row>
    <row r="252" spans="1:22" x14ac:dyDescent="0.25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</row>
    <row r="253" spans="1:22" x14ac:dyDescent="0.25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</row>
    <row r="254" spans="1:22" x14ac:dyDescent="0.25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</row>
    <row r="255" spans="1:22" x14ac:dyDescent="0.25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</row>
    <row r="256" spans="1:22" s="18" customFormat="1" x14ac:dyDescent="0.25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</row>
    <row r="257" spans="1:22" s="18" customFormat="1" x14ac:dyDescent="0.25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</row>
    <row r="258" spans="1:22" s="18" customFormat="1" x14ac:dyDescent="0.25"/>
    <row r="259" spans="1:22" s="18" customFormat="1" x14ac:dyDescent="0.25"/>
    <row r="260" spans="1:22" s="18" customFormat="1" x14ac:dyDescent="0.25"/>
    <row r="261" spans="1:22" s="18" customFormat="1" x14ac:dyDescent="0.25"/>
    <row r="262" spans="1:22" s="18" customFormat="1" x14ac:dyDescent="0.25"/>
    <row r="263" spans="1:22" s="18" customFormat="1" x14ac:dyDescent="0.25"/>
    <row r="264" spans="1:22" s="18" customFormat="1" x14ac:dyDescent="0.25"/>
    <row r="265" spans="1:22" s="18" customFormat="1" x14ac:dyDescent="0.25"/>
    <row r="266" spans="1:22" s="18" customFormat="1" x14ac:dyDescent="0.25"/>
    <row r="267" spans="1:22" s="18" customFormat="1" x14ac:dyDescent="0.25"/>
    <row r="268" spans="1:22" s="18" customFormat="1" x14ac:dyDescent="0.25"/>
    <row r="269" spans="1:22" s="18" customFormat="1" x14ac:dyDescent="0.25"/>
    <row r="270" spans="1:22" s="18" customFormat="1" x14ac:dyDescent="0.25"/>
    <row r="271" spans="1:22" s="18" customFormat="1" x14ac:dyDescent="0.25"/>
    <row r="272" spans="1:2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</sheetData>
  <mergeCells count="54">
    <mergeCell ref="A198:B198"/>
    <mergeCell ref="A201:B201"/>
    <mergeCell ref="D170:F170"/>
    <mergeCell ref="J170:L170"/>
    <mergeCell ref="A171:B171"/>
    <mergeCell ref="A182:B182"/>
    <mergeCell ref="A184:B184"/>
    <mergeCell ref="A196:B196"/>
    <mergeCell ref="A168:B168"/>
    <mergeCell ref="A81:B81"/>
    <mergeCell ref="A82:B82"/>
    <mergeCell ref="A84:B84"/>
    <mergeCell ref="A96:B96"/>
    <mergeCell ref="A98:B98"/>
    <mergeCell ref="A124:B124"/>
    <mergeCell ref="A126:B126"/>
    <mergeCell ref="A130:B130"/>
    <mergeCell ref="A140:B140"/>
    <mergeCell ref="A144:B144"/>
    <mergeCell ref="A160:B160"/>
    <mergeCell ref="Q37:Q38"/>
    <mergeCell ref="A40:B40"/>
    <mergeCell ref="A58:B58"/>
    <mergeCell ref="A60:B60"/>
    <mergeCell ref="A70:B70"/>
    <mergeCell ref="O37:O38"/>
    <mergeCell ref="P37:P38"/>
    <mergeCell ref="A72:B72"/>
    <mergeCell ref="A37:A38"/>
    <mergeCell ref="B37:B38"/>
    <mergeCell ref="C37:G37"/>
    <mergeCell ref="H37:K37"/>
    <mergeCell ref="A34:Q36"/>
    <mergeCell ref="D6:D10"/>
    <mergeCell ref="E6:E10"/>
    <mergeCell ref="F6:F10"/>
    <mergeCell ref="G6:G10"/>
    <mergeCell ref="H6:H10"/>
    <mergeCell ref="I6:I10"/>
    <mergeCell ref="J6:J10"/>
    <mergeCell ref="K6:K10"/>
    <mergeCell ref="L6:L10"/>
    <mergeCell ref="M6:M10"/>
    <mergeCell ref="N6:N10"/>
    <mergeCell ref="A3:Q4"/>
    <mergeCell ref="A5:A10"/>
    <mergeCell ref="B5:B10"/>
    <mergeCell ref="C5:H5"/>
    <mergeCell ref="I5:K5"/>
    <mergeCell ref="L5:N5"/>
    <mergeCell ref="O5:O10"/>
    <mergeCell ref="P5:P10"/>
    <mergeCell ref="Q5:Q10"/>
    <mergeCell ref="C6:C10"/>
  </mergeCells>
  <pageMargins left="0.45" right="0.45" top="0.5" bottom="0.5" header="0.3" footer="0.3"/>
  <pageSetup paperSize="9" scale="8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M279"/>
  <sheetViews>
    <sheetView topLeftCell="A130" workbookViewId="0">
      <selection activeCell="C140" sqref="C140:D140"/>
    </sheetView>
  </sheetViews>
  <sheetFormatPr defaultRowHeight="15" x14ac:dyDescent="0.25"/>
  <cols>
    <col min="1" max="1" width="3.28515625" customWidth="1"/>
    <col min="2" max="2" width="27.5703125" customWidth="1"/>
    <col min="3" max="3" width="11.42578125" customWidth="1"/>
    <col min="4" max="4" width="11.5703125" customWidth="1"/>
    <col min="5" max="5" width="6.5703125" customWidth="1"/>
    <col min="6" max="6" width="11" customWidth="1"/>
    <col min="7" max="7" width="10.28515625" customWidth="1"/>
    <col min="8" max="8" width="7.140625" customWidth="1"/>
    <col min="9" max="9" width="11.28515625" customWidth="1"/>
    <col min="10" max="10" width="11.42578125" customWidth="1"/>
    <col min="11" max="11" width="6.28515625" customWidth="1"/>
    <col min="12" max="12" width="11.28515625" customWidth="1"/>
    <col min="13" max="13" width="11.42578125" customWidth="1"/>
    <col min="14" max="14" width="6.28515625" customWidth="1"/>
    <col min="15" max="15" width="7.28515625" customWidth="1"/>
    <col min="16" max="16" width="7.42578125" customWidth="1"/>
    <col min="17" max="17" width="7.85546875" customWidth="1"/>
    <col min="18" max="18" width="10.28515625" customWidth="1"/>
  </cols>
  <sheetData>
    <row r="4" spans="1:18" x14ac:dyDescent="0.25">
      <c r="A4" s="337" t="s">
        <v>213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</row>
    <row r="5" spans="1:18" x14ac:dyDescent="0.25">
      <c r="A5" s="338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  <c r="R5" s="1"/>
    </row>
    <row r="6" spans="1:18" x14ac:dyDescent="0.25">
      <c r="A6" s="339" t="s">
        <v>0</v>
      </c>
      <c r="B6" s="340" t="s">
        <v>1</v>
      </c>
      <c r="C6" s="341" t="s">
        <v>172</v>
      </c>
      <c r="D6" s="341"/>
      <c r="E6" s="341"/>
      <c r="F6" s="341"/>
      <c r="G6" s="341"/>
      <c r="H6" s="341"/>
      <c r="I6" s="342" t="s">
        <v>2</v>
      </c>
      <c r="J6" s="343"/>
      <c r="K6" s="344"/>
      <c r="L6" s="345" t="s">
        <v>3</v>
      </c>
      <c r="M6" s="346"/>
      <c r="N6" s="347"/>
      <c r="O6" s="340" t="s">
        <v>4</v>
      </c>
      <c r="P6" s="348" t="s">
        <v>5</v>
      </c>
      <c r="Q6" s="340" t="s">
        <v>6</v>
      </c>
      <c r="R6" s="2"/>
    </row>
    <row r="7" spans="1:18" x14ac:dyDescent="0.25">
      <c r="A7" s="339"/>
      <c r="B7" s="340"/>
      <c r="C7" s="340" t="s">
        <v>7</v>
      </c>
      <c r="D7" s="340" t="s">
        <v>8</v>
      </c>
      <c r="E7" s="349" t="s">
        <v>9</v>
      </c>
      <c r="F7" s="340" t="s">
        <v>10</v>
      </c>
      <c r="G7" s="340" t="s">
        <v>8</v>
      </c>
      <c r="H7" s="349" t="s">
        <v>9</v>
      </c>
      <c r="I7" s="340" t="s">
        <v>11</v>
      </c>
      <c r="J7" s="340" t="s">
        <v>8</v>
      </c>
      <c r="K7" s="349" t="s">
        <v>9</v>
      </c>
      <c r="L7" s="340" t="s">
        <v>11</v>
      </c>
      <c r="M7" s="340" t="s">
        <v>8</v>
      </c>
      <c r="N7" s="349" t="s">
        <v>9</v>
      </c>
      <c r="O7" s="340"/>
      <c r="P7" s="348"/>
      <c r="Q7" s="340"/>
      <c r="R7" s="2"/>
    </row>
    <row r="8" spans="1:18" x14ac:dyDescent="0.25">
      <c r="A8" s="339"/>
      <c r="B8" s="340"/>
      <c r="C8" s="340"/>
      <c r="D8" s="340"/>
      <c r="E8" s="349"/>
      <c r="F8" s="340"/>
      <c r="G8" s="340"/>
      <c r="H8" s="349"/>
      <c r="I8" s="340"/>
      <c r="J8" s="340"/>
      <c r="K8" s="349"/>
      <c r="L8" s="340"/>
      <c r="M8" s="340"/>
      <c r="N8" s="349"/>
      <c r="O8" s="340"/>
      <c r="P8" s="348"/>
      <c r="Q8" s="340"/>
      <c r="R8" s="2"/>
    </row>
    <row r="9" spans="1:18" x14ac:dyDescent="0.25">
      <c r="A9" s="339"/>
      <c r="B9" s="340"/>
      <c r="C9" s="340"/>
      <c r="D9" s="340"/>
      <c r="E9" s="349"/>
      <c r="F9" s="340"/>
      <c r="G9" s="340"/>
      <c r="H9" s="349"/>
      <c r="I9" s="340"/>
      <c r="J9" s="340"/>
      <c r="K9" s="349"/>
      <c r="L9" s="340"/>
      <c r="M9" s="340"/>
      <c r="N9" s="349"/>
      <c r="O9" s="340"/>
      <c r="P9" s="348"/>
      <c r="Q9" s="340"/>
      <c r="R9" s="2"/>
    </row>
    <row r="10" spans="1:18" x14ac:dyDescent="0.25">
      <c r="A10" s="339"/>
      <c r="B10" s="340"/>
      <c r="C10" s="340"/>
      <c r="D10" s="340"/>
      <c r="E10" s="349"/>
      <c r="F10" s="340"/>
      <c r="G10" s="340"/>
      <c r="H10" s="349"/>
      <c r="I10" s="340"/>
      <c r="J10" s="340"/>
      <c r="K10" s="349"/>
      <c r="L10" s="340"/>
      <c r="M10" s="340"/>
      <c r="N10" s="349"/>
      <c r="O10" s="340"/>
      <c r="P10" s="348"/>
      <c r="Q10" s="340"/>
      <c r="R10" s="2"/>
    </row>
    <row r="11" spans="1:18" x14ac:dyDescent="0.25">
      <c r="A11" s="339"/>
      <c r="B11" s="340"/>
      <c r="C11" s="340"/>
      <c r="D11" s="340"/>
      <c r="E11" s="349"/>
      <c r="F11" s="340"/>
      <c r="G11" s="340"/>
      <c r="H11" s="349"/>
      <c r="I11" s="340"/>
      <c r="J11" s="340"/>
      <c r="K11" s="349"/>
      <c r="L11" s="340"/>
      <c r="M11" s="340"/>
      <c r="N11" s="349"/>
      <c r="O11" s="340"/>
      <c r="P11" s="348"/>
      <c r="Q11" s="340"/>
      <c r="R11" s="2"/>
    </row>
    <row r="12" spans="1:18" x14ac:dyDescent="0.25">
      <c r="A12" s="191">
        <v>1</v>
      </c>
      <c r="B12" s="191">
        <v>2</v>
      </c>
      <c r="C12" s="192">
        <v>3</v>
      </c>
      <c r="D12" s="192">
        <v>4</v>
      </c>
      <c r="E12" s="5">
        <v>5</v>
      </c>
      <c r="F12" s="192">
        <v>6</v>
      </c>
      <c r="G12" s="192">
        <v>7</v>
      </c>
      <c r="H12" s="192">
        <v>8</v>
      </c>
      <c r="I12" s="192">
        <v>11</v>
      </c>
      <c r="J12" s="192">
        <v>12</v>
      </c>
      <c r="K12" s="192">
        <v>13</v>
      </c>
      <c r="L12" s="192">
        <v>17</v>
      </c>
      <c r="M12" s="192">
        <v>18</v>
      </c>
      <c r="N12" s="192">
        <v>19</v>
      </c>
      <c r="O12" s="192">
        <v>20</v>
      </c>
      <c r="P12" s="5">
        <v>21</v>
      </c>
      <c r="Q12" s="192">
        <v>22</v>
      </c>
      <c r="R12" s="6"/>
    </row>
    <row r="13" spans="1:18" ht="24" customHeight="1" x14ac:dyDescent="0.25">
      <c r="A13" s="7">
        <v>1</v>
      </c>
      <c r="B13" s="219" t="s">
        <v>209</v>
      </c>
      <c r="C13" s="5">
        <f t="shared" ref="C13:P13" si="0">C143</f>
        <v>99673402</v>
      </c>
      <c r="D13" s="5">
        <f t="shared" si="0"/>
        <v>93848425</v>
      </c>
      <c r="E13" s="9">
        <f t="shared" si="0"/>
        <v>106.20679249545211</v>
      </c>
      <c r="F13" s="5">
        <f t="shared" si="0"/>
        <v>15001045</v>
      </c>
      <c r="G13" s="10">
        <f t="shared" si="0"/>
        <v>14170360</v>
      </c>
      <c r="H13" s="11">
        <f t="shared" si="0"/>
        <v>105.8621305316167</v>
      </c>
      <c r="I13" s="10">
        <f t="shared" si="0"/>
        <v>91583514</v>
      </c>
      <c r="J13" s="10">
        <f t="shared" si="0"/>
        <v>95608078</v>
      </c>
      <c r="K13" s="11">
        <f t="shared" si="0"/>
        <v>95.79056070973418</v>
      </c>
      <c r="L13" s="5">
        <f t="shared" si="0"/>
        <v>56247511</v>
      </c>
      <c r="M13" s="5">
        <f t="shared" si="0"/>
        <v>58399275</v>
      </c>
      <c r="N13" s="9">
        <f t="shared" si="0"/>
        <v>96.315426861035519</v>
      </c>
      <c r="O13" s="5">
        <f t="shared" si="0"/>
        <v>5649</v>
      </c>
      <c r="P13" s="9">
        <f t="shared" si="0"/>
        <v>175.6779961055054</v>
      </c>
      <c r="Q13" s="5">
        <f>Q143</f>
        <v>5635</v>
      </c>
      <c r="R13" s="12">
        <f t="shared" ref="R13:R25" si="1">O13*P13</f>
        <v>992405</v>
      </c>
    </row>
    <row r="14" spans="1:18" ht="24.75" customHeight="1" x14ac:dyDescent="0.25">
      <c r="A14" s="7"/>
      <c r="B14" s="219" t="s">
        <v>210</v>
      </c>
      <c r="C14" s="5">
        <f>C153</f>
        <v>91585399</v>
      </c>
      <c r="D14" s="5">
        <f>D153</f>
        <v>88657544</v>
      </c>
      <c r="E14" s="9">
        <f t="shared" ref="E14:Q14" si="2">E153</f>
        <v>103.30243188329243</v>
      </c>
      <c r="F14" s="5">
        <f t="shared" si="2"/>
        <v>13322185</v>
      </c>
      <c r="G14" s="5">
        <f t="shared" si="2"/>
        <v>12296084</v>
      </c>
      <c r="H14" s="9">
        <f t="shared" si="2"/>
        <v>108.344941365072</v>
      </c>
      <c r="I14" s="5">
        <f t="shared" si="2"/>
        <v>90023379</v>
      </c>
      <c r="J14" s="5">
        <f t="shared" si="2"/>
        <v>88002554</v>
      </c>
      <c r="K14" s="9">
        <f t="shared" si="2"/>
        <v>102.29632539982873</v>
      </c>
      <c r="L14" s="5">
        <f t="shared" si="2"/>
        <v>87541165</v>
      </c>
      <c r="M14" s="5">
        <f t="shared" si="2"/>
        <v>86259655</v>
      </c>
      <c r="N14" s="9">
        <f t="shared" si="2"/>
        <v>101.48564238982871</v>
      </c>
      <c r="O14" s="5">
        <f t="shared" si="2"/>
        <v>3171</v>
      </c>
      <c r="P14" s="5">
        <f t="shared" si="2"/>
        <v>120.15704824976348</v>
      </c>
      <c r="Q14" s="5">
        <f t="shared" si="2"/>
        <v>3554</v>
      </c>
      <c r="R14" s="12">
        <f t="shared" si="1"/>
        <v>381018</v>
      </c>
    </row>
    <row r="15" spans="1:18" ht="21.75" customHeight="1" x14ac:dyDescent="0.25">
      <c r="A15" s="7">
        <v>2</v>
      </c>
      <c r="B15" s="219" t="s">
        <v>212</v>
      </c>
      <c r="C15" s="5">
        <f t="shared" ref="C15:P15" si="3">C163</f>
        <v>6363141</v>
      </c>
      <c r="D15" s="5">
        <f t="shared" si="3"/>
        <v>7558266</v>
      </c>
      <c r="E15" s="9">
        <f t="shared" si="3"/>
        <v>84.18784149697828</v>
      </c>
      <c r="F15" s="5">
        <f t="shared" si="3"/>
        <v>1184148</v>
      </c>
      <c r="G15" s="10">
        <f t="shared" si="3"/>
        <v>1376166</v>
      </c>
      <c r="H15" s="11">
        <f t="shared" si="3"/>
        <v>86.046886785460472</v>
      </c>
      <c r="I15" s="10">
        <f t="shared" si="3"/>
        <v>6548520</v>
      </c>
      <c r="J15" s="10">
        <f t="shared" si="3"/>
        <v>7287228</v>
      </c>
      <c r="K15" s="11">
        <f t="shared" si="3"/>
        <v>89.862976703898937</v>
      </c>
      <c r="L15" s="5">
        <f t="shared" si="3"/>
        <v>2327089</v>
      </c>
      <c r="M15" s="5">
        <f t="shared" si="3"/>
        <v>1736523</v>
      </c>
      <c r="N15" s="9">
        <f t="shared" si="3"/>
        <v>134.00853314352875</v>
      </c>
      <c r="O15" s="5">
        <f t="shared" si="3"/>
        <v>1252</v>
      </c>
      <c r="P15" s="9">
        <f t="shared" si="3"/>
        <v>83.016773162939302</v>
      </c>
      <c r="Q15" s="5">
        <f>Q163</f>
        <v>1265</v>
      </c>
      <c r="R15" s="12">
        <f t="shared" si="1"/>
        <v>103937</v>
      </c>
    </row>
    <row r="16" spans="1:18" ht="22.5" customHeight="1" x14ac:dyDescent="0.25">
      <c r="A16" s="7">
        <v>3</v>
      </c>
      <c r="B16" s="219" t="s">
        <v>180</v>
      </c>
      <c r="C16" s="5">
        <f t="shared" ref="C16:P16" si="4">C182</f>
        <v>6123633</v>
      </c>
      <c r="D16" s="5">
        <f t="shared" si="4"/>
        <v>7594673</v>
      </c>
      <c r="E16" s="9">
        <f t="shared" si="4"/>
        <v>80.630634130001383</v>
      </c>
      <c r="F16" s="5">
        <f t="shared" si="4"/>
        <v>1415402</v>
      </c>
      <c r="G16" s="10">
        <f t="shared" si="4"/>
        <v>959573</v>
      </c>
      <c r="H16" s="11">
        <f t="shared" si="4"/>
        <v>147.50331657935351</v>
      </c>
      <c r="I16" s="10">
        <f t="shared" si="4"/>
        <v>6374598</v>
      </c>
      <c r="J16" s="10">
        <f t="shared" si="4"/>
        <v>7448342</v>
      </c>
      <c r="K16" s="11">
        <f t="shared" si="4"/>
        <v>85.584120600262452</v>
      </c>
      <c r="L16" s="5">
        <f t="shared" si="4"/>
        <v>6324094</v>
      </c>
      <c r="M16" s="5">
        <f t="shared" si="4"/>
        <v>7422082</v>
      </c>
      <c r="N16" s="9">
        <f t="shared" si="4"/>
        <v>85.206469020417714</v>
      </c>
      <c r="O16" s="5">
        <f t="shared" si="4"/>
        <v>543</v>
      </c>
      <c r="P16" s="9">
        <f t="shared" si="4"/>
        <v>115.15469613259668</v>
      </c>
      <c r="Q16" s="5">
        <f>Q182</f>
        <v>563</v>
      </c>
      <c r="R16" s="12">
        <f t="shared" si="1"/>
        <v>62529</v>
      </c>
    </row>
    <row r="17" spans="1:18" ht="24.75" customHeight="1" x14ac:dyDescent="0.25">
      <c r="A17" s="7">
        <v>4</v>
      </c>
      <c r="B17" s="219" t="s">
        <v>181</v>
      </c>
      <c r="C17" s="5">
        <f t="shared" ref="C17:Q17" si="5">C57</f>
        <v>2213375</v>
      </c>
      <c r="D17" s="10">
        <f t="shared" si="5"/>
        <v>1499170</v>
      </c>
      <c r="E17" s="11">
        <f t="shared" si="5"/>
        <v>147.64002748187329</v>
      </c>
      <c r="F17" s="10">
        <f t="shared" si="5"/>
        <v>369272</v>
      </c>
      <c r="G17" s="10">
        <f t="shared" si="5"/>
        <v>259097</v>
      </c>
      <c r="H17" s="11">
        <f t="shared" si="5"/>
        <v>142.52268455443328</v>
      </c>
      <c r="I17" s="10">
        <f t="shared" si="5"/>
        <v>1684309</v>
      </c>
      <c r="J17" s="10">
        <f t="shared" si="5"/>
        <v>1583616</v>
      </c>
      <c r="K17" s="11">
        <f t="shared" si="5"/>
        <v>106.35842274894924</v>
      </c>
      <c r="L17" s="10">
        <f t="shared" si="5"/>
        <v>983539</v>
      </c>
      <c r="M17" s="10">
        <f t="shared" si="5"/>
        <v>859389</v>
      </c>
      <c r="N17" s="11">
        <f t="shared" si="5"/>
        <v>114.44631011102074</v>
      </c>
      <c r="O17" s="10">
        <f t="shared" si="5"/>
        <v>830</v>
      </c>
      <c r="P17" s="11">
        <f t="shared" si="5"/>
        <v>83.928915662650596</v>
      </c>
      <c r="Q17" s="10">
        <f t="shared" si="5"/>
        <v>806</v>
      </c>
      <c r="R17" s="12">
        <f t="shared" si="1"/>
        <v>69661</v>
      </c>
    </row>
    <row r="18" spans="1:18" ht="23.25" customHeight="1" x14ac:dyDescent="0.25">
      <c r="A18" s="7">
        <v>5</v>
      </c>
      <c r="B18" s="219" t="s">
        <v>182</v>
      </c>
      <c r="C18" s="5">
        <f t="shared" ref="C18:Q18" si="6">C69</f>
        <v>955882</v>
      </c>
      <c r="D18" s="10">
        <f t="shared" si="6"/>
        <v>943804</v>
      </c>
      <c r="E18" s="11">
        <f t="shared" si="6"/>
        <v>101.27971485605063</v>
      </c>
      <c r="F18" s="10">
        <f t="shared" si="6"/>
        <v>119314</v>
      </c>
      <c r="G18" s="10">
        <f t="shared" si="6"/>
        <v>133859</v>
      </c>
      <c r="H18" s="11">
        <f t="shared" si="6"/>
        <v>89.13408885469039</v>
      </c>
      <c r="I18" s="10">
        <f t="shared" si="6"/>
        <v>1002720</v>
      </c>
      <c r="J18" s="10">
        <f t="shared" si="6"/>
        <v>973658</v>
      </c>
      <c r="K18" s="11">
        <f t="shared" si="6"/>
        <v>102.98482629424295</v>
      </c>
      <c r="L18" s="10">
        <f t="shared" si="6"/>
        <v>681862</v>
      </c>
      <c r="M18" s="10">
        <f t="shared" si="6"/>
        <v>532010</v>
      </c>
      <c r="N18" s="11">
        <f t="shared" si="6"/>
        <v>128.1671397154189</v>
      </c>
      <c r="O18" s="10">
        <f t="shared" si="6"/>
        <v>580</v>
      </c>
      <c r="P18" s="11">
        <f t="shared" si="6"/>
        <v>71.508620689655174</v>
      </c>
      <c r="Q18" s="10">
        <f t="shared" si="6"/>
        <v>585</v>
      </c>
      <c r="R18" s="12">
        <f t="shared" si="1"/>
        <v>41475</v>
      </c>
    </row>
    <row r="19" spans="1:18" ht="26.25" customHeight="1" x14ac:dyDescent="0.25">
      <c r="A19" s="7">
        <v>6</v>
      </c>
      <c r="B19" s="219" t="s">
        <v>183</v>
      </c>
      <c r="C19" s="5">
        <f t="shared" ref="C19:Q19" si="7">C80</f>
        <v>947987</v>
      </c>
      <c r="D19" s="10">
        <f t="shared" si="7"/>
        <v>639834</v>
      </c>
      <c r="E19" s="11">
        <f t="shared" si="7"/>
        <v>148.16139811263548</v>
      </c>
      <c r="F19" s="10">
        <f t="shared" si="7"/>
        <v>215015</v>
      </c>
      <c r="G19" s="10">
        <f t="shared" si="7"/>
        <v>79099</v>
      </c>
      <c r="H19" s="11">
        <f t="shared" si="7"/>
        <v>271.83023805610691</v>
      </c>
      <c r="I19" s="10">
        <f t="shared" si="7"/>
        <v>573967</v>
      </c>
      <c r="J19" s="10">
        <f t="shared" si="7"/>
        <v>743496</v>
      </c>
      <c r="K19" s="11">
        <f t="shared" si="7"/>
        <v>77.198397839396577</v>
      </c>
      <c r="L19" s="10">
        <f t="shared" si="7"/>
        <v>475573</v>
      </c>
      <c r="M19" s="10">
        <f t="shared" si="7"/>
        <v>335343</v>
      </c>
      <c r="N19" s="11">
        <f t="shared" si="7"/>
        <v>141.81688599434011</v>
      </c>
      <c r="O19" s="10">
        <f t="shared" si="7"/>
        <v>560</v>
      </c>
      <c r="P19" s="11">
        <f t="shared" si="7"/>
        <v>93.258928571428569</v>
      </c>
      <c r="Q19" s="10">
        <f t="shared" si="7"/>
        <v>559</v>
      </c>
      <c r="R19" s="12">
        <f t="shared" si="1"/>
        <v>52225</v>
      </c>
    </row>
    <row r="20" spans="1:18" ht="26.25" customHeight="1" x14ac:dyDescent="0.25">
      <c r="A20" s="7">
        <v>7</v>
      </c>
      <c r="B20" s="219" t="s">
        <v>184</v>
      </c>
      <c r="C20" s="5">
        <f t="shared" ref="C20:Q20" si="8">C95</f>
        <v>3970956</v>
      </c>
      <c r="D20" s="10">
        <f t="shared" si="8"/>
        <v>3919367</v>
      </c>
      <c r="E20" s="11">
        <f t="shared" si="8"/>
        <v>101.31625846724739</v>
      </c>
      <c r="F20" s="10">
        <f t="shared" si="8"/>
        <v>754984</v>
      </c>
      <c r="G20" s="10">
        <f t="shared" si="8"/>
        <v>654367</v>
      </c>
      <c r="H20" s="11">
        <f t="shared" si="8"/>
        <v>115.37623382597229</v>
      </c>
      <c r="I20" s="10">
        <f t="shared" si="8"/>
        <v>6434822</v>
      </c>
      <c r="J20" s="10">
        <f t="shared" si="8"/>
        <v>6082148</v>
      </c>
      <c r="K20" s="11">
        <f t="shared" si="8"/>
        <v>105.79851065774788</v>
      </c>
      <c r="L20" s="10">
        <f t="shared" si="8"/>
        <v>1494863</v>
      </c>
      <c r="M20" s="10">
        <f t="shared" si="8"/>
        <v>1140324</v>
      </c>
      <c r="N20" s="11">
        <f t="shared" si="8"/>
        <v>131.0910758696651</v>
      </c>
      <c r="O20" s="10">
        <f t="shared" si="8"/>
        <v>3977</v>
      </c>
      <c r="P20" s="11">
        <f t="shared" si="8"/>
        <v>109.79607744531053</v>
      </c>
      <c r="Q20" s="10">
        <f t="shared" si="8"/>
        <v>4034</v>
      </c>
      <c r="R20" s="12">
        <f t="shared" si="1"/>
        <v>436659</v>
      </c>
    </row>
    <row r="21" spans="1:18" ht="37.5" customHeight="1" x14ac:dyDescent="0.25">
      <c r="A21" s="7">
        <v>8</v>
      </c>
      <c r="B21" s="219" t="s">
        <v>177</v>
      </c>
      <c r="C21" s="5">
        <f t="shared" ref="C21:Q21" si="9">C169</f>
        <v>2198655</v>
      </c>
      <c r="D21" s="10">
        <f t="shared" si="9"/>
        <v>1667113</v>
      </c>
      <c r="E21" s="11">
        <f t="shared" si="9"/>
        <v>131.8839814697624</v>
      </c>
      <c r="F21" s="10">
        <f t="shared" si="9"/>
        <v>445016</v>
      </c>
      <c r="G21" s="10">
        <f t="shared" si="9"/>
        <v>403705</v>
      </c>
      <c r="H21" s="11">
        <f t="shared" si="9"/>
        <v>110.23296714184863</v>
      </c>
      <c r="I21" s="10">
        <f t="shared" si="9"/>
        <v>2258830</v>
      </c>
      <c r="J21" s="10">
        <f t="shared" si="9"/>
        <v>1347745</v>
      </c>
      <c r="K21" s="11">
        <f t="shared" si="9"/>
        <v>167.60069597735477</v>
      </c>
      <c r="L21" s="10">
        <f t="shared" si="9"/>
        <v>199741</v>
      </c>
      <c r="M21" s="10">
        <f t="shared" si="9"/>
        <v>49251</v>
      </c>
      <c r="N21" s="11">
        <f t="shared" si="9"/>
        <v>0</v>
      </c>
      <c r="O21" s="10">
        <f t="shared" si="9"/>
        <v>526</v>
      </c>
      <c r="P21" s="11">
        <f t="shared" si="9"/>
        <v>94.980988593155899</v>
      </c>
      <c r="Q21" s="10">
        <f t="shared" si="9"/>
        <v>528</v>
      </c>
      <c r="R21" s="12">
        <f t="shared" si="1"/>
        <v>49960</v>
      </c>
    </row>
    <row r="22" spans="1:18" ht="40.5" customHeight="1" x14ac:dyDescent="0.25">
      <c r="A22" s="7">
        <v>9</v>
      </c>
      <c r="B22" s="219" t="s">
        <v>185</v>
      </c>
      <c r="C22" s="5">
        <f t="shared" ref="C22:Q22" si="10">C123</f>
        <v>1528340</v>
      </c>
      <c r="D22" s="10">
        <f t="shared" si="10"/>
        <v>2023720</v>
      </c>
      <c r="E22" s="11">
        <f t="shared" si="10"/>
        <v>75.521317178265761</v>
      </c>
      <c r="F22" s="10">
        <f t="shared" si="10"/>
        <v>336791</v>
      </c>
      <c r="G22" s="10">
        <f t="shared" si="10"/>
        <v>377006</v>
      </c>
      <c r="H22" s="11">
        <f t="shared" si="10"/>
        <v>89.33306101229158</v>
      </c>
      <c r="I22" s="10">
        <f t="shared" si="10"/>
        <v>2010502</v>
      </c>
      <c r="J22" s="10">
        <f t="shared" si="10"/>
        <v>1954769</v>
      </c>
      <c r="K22" s="11">
        <f t="shared" si="10"/>
        <v>102.85112972427943</v>
      </c>
      <c r="L22" s="10">
        <f t="shared" si="10"/>
        <v>941188</v>
      </c>
      <c r="M22" s="10">
        <f t="shared" si="10"/>
        <v>828506</v>
      </c>
      <c r="N22" s="11">
        <f t="shared" si="10"/>
        <v>113.60062570458149</v>
      </c>
      <c r="O22" s="10">
        <f t="shared" si="10"/>
        <v>1871</v>
      </c>
      <c r="P22" s="11">
        <f t="shared" si="10"/>
        <v>62.591127739176912</v>
      </c>
      <c r="Q22" s="10">
        <f t="shared" si="10"/>
        <v>1783</v>
      </c>
      <c r="R22" s="12">
        <f t="shared" si="1"/>
        <v>117108</v>
      </c>
    </row>
    <row r="23" spans="1:18" ht="22.5" customHeight="1" x14ac:dyDescent="0.25">
      <c r="A23" s="7">
        <v>10</v>
      </c>
      <c r="B23" s="219" t="s">
        <v>186</v>
      </c>
      <c r="C23" s="5">
        <f t="shared" ref="C23:Q23" si="11">C135</f>
        <v>183024</v>
      </c>
      <c r="D23" s="10">
        <f t="shared" si="11"/>
        <v>81799</v>
      </c>
      <c r="E23" s="11">
        <f t="shared" si="11"/>
        <v>223.74845658259881</v>
      </c>
      <c r="F23" s="10">
        <f t="shared" si="11"/>
        <v>24341</v>
      </c>
      <c r="G23" s="10">
        <f t="shared" si="11"/>
        <v>28953</v>
      </c>
      <c r="H23" s="11">
        <f t="shared" si="11"/>
        <v>84.070735329672232</v>
      </c>
      <c r="I23" s="10">
        <f t="shared" si="11"/>
        <v>218179</v>
      </c>
      <c r="J23" s="10">
        <f t="shared" si="11"/>
        <v>79864</v>
      </c>
      <c r="K23" s="11">
        <f t="shared" si="11"/>
        <v>273.18816988881099</v>
      </c>
      <c r="L23" s="10">
        <f>L135</f>
        <v>0</v>
      </c>
      <c r="M23" s="10">
        <f t="shared" si="11"/>
        <v>0</v>
      </c>
      <c r="N23" s="11">
        <f t="shared" si="11"/>
        <v>0</v>
      </c>
      <c r="O23" s="10">
        <f t="shared" si="11"/>
        <v>101</v>
      </c>
      <c r="P23" s="11">
        <f t="shared" si="11"/>
        <v>73.712871287128706</v>
      </c>
      <c r="Q23" s="10">
        <f t="shared" si="11"/>
        <v>100</v>
      </c>
      <c r="R23" s="12">
        <f t="shared" si="1"/>
        <v>7444.9999999999991</v>
      </c>
    </row>
    <row r="24" spans="1:18" ht="39" customHeight="1" x14ac:dyDescent="0.25">
      <c r="A24" s="7">
        <v>11</v>
      </c>
      <c r="B24" s="219" t="s">
        <v>187</v>
      </c>
      <c r="C24" s="5">
        <f t="shared" ref="C24:P24" si="12">C196</f>
        <v>773851.7</v>
      </c>
      <c r="D24" s="10">
        <f t="shared" si="12"/>
        <v>1103461.3999999999</v>
      </c>
      <c r="E24" s="11">
        <f t="shared" si="12"/>
        <v>70.129476210042327</v>
      </c>
      <c r="F24" s="10">
        <f t="shared" si="12"/>
        <v>121073.60000000001</v>
      </c>
      <c r="G24" s="10">
        <f t="shared" si="12"/>
        <v>210023.5</v>
      </c>
      <c r="H24" s="11">
        <f t="shared" si="12"/>
        <v>57.647644192197546</v>
      </c>
      <c r="I24" s="10">
        <f t="shared" si="12"/>
        <v>563181.30000000005</v>
      </c>
      <c r="J24" s="10">
        <f t="shared" si="12"/>
        <v>985308.9</v>
      </c>
      <c r="K24" s="11">
        <f t="shared" si="12"/>
        <v>57.157841566233699</v>
      </c>
      <c r="L24" s="10">
        <f t="shared" si="12"/>
        <v>87546</v>
      </c>
      <c r="M24" s="10">
        <f t="shared" si="12"/>
        <v>360784</v>
      </c>
      <c r="N24" s="11">
        <f t="shared" si="12"/>
        <v>24.265488491729123</v>
      </c>
      <c r="O24" s="10">
        <f t="shared" si="12"/>
        <v>722</v>
      </c>
      <c r="P24" s="11">
        <f t="shared" si="12"/>
        <v>162.55678670360112</v>
      </c>
      <c r="Q24" s="10">
        <f>Q196</f>
        <v>714</v>
      </c>
      <c r="R24" s="12">
        <f t="shared" si="1"/>
        <v>117366.00000000001</v>
      </c>
    </row>
    <row r="25" spans="1:18" ht="23.25" customHeight="1" x14ac:dyDescent="0.25">
      <c r="A25" s="7">
        <v>12</v>
      </c>
      <c r="B25" s="219" t="s">
        <v>188</v>
      </c>
      <c r="C25" s="5">
        <f t="shared" ref="C25:P25" si="13">C203</f>
        <v>168256</v>
      </c>
      <c r="D25" s="10">
        <f t="shared" si="13"/>
        <v>213800</v>
      </c>
      <c r="E25" s="11">
        <f t="shared" si="13"/>
        <v>78.697848456501404</v>
      </c>
      <c r="F25" s="10">
        <f t="shared" si="13"/>
        <v>20208</v>
      </c>
      <c r="G25" s="10">
        <f t="shared" si="13"/>
        <v>42012</v>
      </c>
      <c r="H25" s="11">
        <f>H203</f>
        <v>48.100542702085122</v>
      </c>
      <c r="I25" s="10">
        <f t="shared" si="13"/>
        <v>78243</v>
      </c>
      <c r="J25" s="10">
        <f t="shared" si="13"/>
        <v>221177</v>
      </c>
      <c r="K25" s="11">
        <f t="shared" si="13"/>
        <v>35.375739792112199</v>
      </c>
      <c r="L25" s="10">
        <f t="shared" si="13"/>
        <v>54577</v>
      </c>
      <c r="M25" s="10">
        <f t="shared" si="13"/>
        <v>97183</v>
      </c>
      <c r="N25" s="11">
        <f t="shared" si="13"/>
        <v>56.158999001883046</v>
      </c>
      <c r="O25" s="10">
        <f>O203</f>
        <v>237</v>
      </c>
      <c r="P25" s="11">
        <f t="shared" si="13"/>
        <v>62.658227848101269</v>
      </c>
      <c r="Q25" s="10">
        <f>Q203</f>
        <v>237</v>
      </c>
      <c r="R25" s="12">
        <f t="shared" si="1"/>
        <v>14850</v>
      </c>
    </row>
    <row r="26" spans="1:18" s="218" customFormat="1" ht="27.75" customHeight="1" x14ac:dyDescent="0.25">
      <c r="A26" s="214"/>
      <c r="B26" s="214" t="s">
        <v>189</v>
      </c>
      <c r="C26" s="215">
        <f>SUM(C13:C25)</f>
        <v>216685901.69999999</v>
      </c>
      <c r="D26" s="215">
        <f>SUM(D13:D25)</f>
        <v>209750976.40000001</v>
      </c>
      <c r="E26" s="216">
        <f>C26/D26*100</f>
        <v>103.30626603938897</v>
      </c>
      <c r="F26" s="215">
        <f>SUM(F13:F25)</f>
        <v>33328794.600000001</v>
      </c>
      <c r="G26" s="215">
        <f>SUM(G13:G25)</f>
        <v>30990304.5</v>
      </c>
      <c r="H26" s="216">
        <f>F26/G26*100</f>
        <v>107.54587648533753</v>
      </c>
      <c r="I26" s="215">
        <f>SUM(I13:I25)</f>
        <v>209354764.30000001</v>
      </c>
      <c r="J26" s="215">
        <f>SUM(J13:J25)</f>
        <v>212317983.90000001</v>
      </c>
      <c r="K26" s="216">
        <f>I26/J26*100</f>
        <v>98.604348277253976</v>
      </c>
      <c r="L26" s="215">
        <f>SUM(L13:L25)</f>
        <v>157358748</v>
      </c>
      <c r="M26" s="215">
        <f>SUM(M13:M25)</f>
        <v>158020325</v>
      </c>
      <c r="N26" s="216">
        <f>L26/M26*100</f>
        <v>99.581334236592667</v>
      </c>
      <c r="O26" s="215">
        <f>SUM(O13:O25)</f>
        <v>20019</v>
      </c>
      <c r="P26" s="216">
        <f>R26/O26</f>
        <v>122.21579499475499</v>
      </c>
      <c r="Q26" s="215">
        <f>SUM(Q13:Q25)</f>
        <v>20363</v>
      </c>
      <c r="R26" s="217">
        <f>SUM(R13:R25)</f>
        <v>2446638</v>
      </c>
    </row>
    <row r="27" spans="1:18" x14ac:dyDescent="0.25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7"/>
      <c r="Q27" s="17"/>
      <c r="R27" s="18"/>
    </row>
    <row r="28" spans="1:18" s="22" customFormat="1" x14ac:dyDescent="0.25">
      <c r="A28" s="19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20"/>
      <c r="Q28" s="20"/>
      <c r="R28" s="21"/>
    </row>
    <row r="29" spans="1:18" ht="16.5" customHeight="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18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spans="1:18" ht="15.75" customHeight="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</row>
    <row r="33" spans="1:18" s="24" customFormat="1" ht="14.25" x14ac:dyDescent="0.2">
      <c r="A33" s="325" t="s">
        <v>202</v>
      </c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25"/>
      <c r="P33" s="325"/>
      <c r="Q33" s="325"/>
      <c r="R33" s="23"/>
    </row>
    <row r="34" spans="1:18" s="24" customFormat="1" ht="14.25" x14ac:dyDescent="0.2">
      <c r="A34" s="325"/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23"/>
    </row>
    <row r="35" spans="1:18" s="24" customFormat="1" ht="7.5" customHeight="1" x14ac:dyDescent="0.2">
      <c r="A35" s="326"/>
      <c r="B35" s="326"/>
      <c r="C35" s="326"/>
      <c r="D35" s="326"/>
      <c r="E35" s="326"/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6"/>
      <c r="Q35" s="326"/>
      <c r="R35" s="25"/>
    </row>
    <row r="36" spans="1:18" x14ac:dyDescent="0.25">
      <c r="A36" s="327" t="s">
        <v>0</v>
      </c>
      <c r="B36" s="329" t="s">
        <v>24</v>
      </c>
      <c r="C36" s="331" t="s">
        <v>172</v>
      </c>
      <c r="D36" s="331"/>
      <c r="E36" s="331"/>
      <c r="F36" s="331"/>
      <c r="G36" s="331"/>
      <c r="H36" s="331" t="s">
        <v>2</v>
      </c>
      <c r="I36" s="331"/>
      <c r="J36" s="331"/>
      <c r="K36" s="331"/>
      <c r="L36" s="195"/>
      <c r="M36" s="195" t="s">
        <v>3</v>
      </c>
      <c r="N36" s="27"/>
      <c r="O36" s="329" t="s">
        <v>25</v>
      </c>
      <c r="P36" s="332" t="s">
        <v>26</v>
      </c>
      <c r="Q36" s="329" t="s">
        <v>27</v>
      </c>
      <c r="R36" s="28"/>
    </row>
    <row r="37" spans="1:18" ht="80.25" customHeight="1" x14ac:dyDescent="0.25">
      <c r="A37" s="328"/>
      <c r="B37" s="330"/>
      <c r="C37" s="194" t="s">
        <v>7</v>
      </c>
      <c r="D37" s="194" t="s">
        <v>28</v>
      </c>
      <c r="E37" s="30" t="s">
        <v>29</v>
      </c>
      <c r="F37" s="194" t="s">
        <v>10</v>
      </c>
      <c r="G37" s="194" t="s">
        <v>30</v>
      </c>
      <c r="H37" s="30" t="s">
        <v>29</v>
      </c>
      <c r="I37" s="194" t="s">
        <v>11</v>
      </c>
      <c r="J37" s="194" t="s">
        <v>28</v>
      </c>
      <c r="K37" s="30" t="s">
        <v>29</v>
      </c>
      <c r="L37" s="194" t="s">
        <v>11</v>
      </c>
      <c r="M37" s="194" t="s">
        <v>28</v>
      </c>
      <c r="N37" s="30" t="s">
        <v>29</v>
      </c>
      <c r="O37" s="330"/>
      <c r="P37" s="333"/>
      <c r="Q37" s="330"/>
      <c r="R37" s="31"/>
    </row>
    <row r="38" spans="1:18" x14ac:dyDescent="0.25">
      <c r="A38" s="32"/>
      <c r="B38" s="33" t="s">
        <v>31</v>
      </c>
      <c r="C38" s="32"/>
      <c r="D38" s="32"/>
      <c r="E38" s="32"/>
      <c r="F38" s="32"/>
      <c r="G38" s="32"/>
      <c r="H38" s="32"/>
      <c r="I38" s="32"/>
      <c r="J38" s="32"/>
      <c r="K38" s="34"/>
      <c r="L38" s="32"/>
      <c r="M38" s="32"/>
      <c r="N38" s="32"/>
      <c r="O38" s="32"/>
      <c r="P38" s="35"/>
      <c r="Q38" s="35"/>
      <c r="R38" s="36"/>
    </row>
    <row r="39" spans="1:18" x14ac:dyDescent="0.25">
      <c r="A39" s="319" t="s">
        <v>32</v>
      </c>
      <c r="B39" s="320"/>
      <c r="C39" s="37">
        <v>3</v>
      </c>
      <c r="D39" s="37">
        <v>4</v>
      </c>
      <c r="E39" s="193">
        <v>5</v>
      </c>
      <c r="F39" s="37">
        <v>6</v>
      </c>
      <c r="G39" s="37">
        <v>7</v>
      </c>
      <c r="H39" s="37">
        <v>8</v>
      </c>
      <c r="I39" s="37">
        <v>9</v>
      </c>
      <c r="J39" s="37">
        <v>10</v>
      </c>
      <c r="K39" s="37">
        <v>11</v>
      </c>
      <c r="L39" s="37">
        <v>12</v>
      </c>
      <c r="M39" s="37">
        <v>13</v>
      </c>
      <c r="N39" s="37">
        <v>14</v>
      </c>
      <c r="O39" s="37">
        <v>15</v>
      </c>
      <c r="P39" s="193">
        <v>16</v>
      </c>
      <c r="Q39" s="37">
        <v>17</v>
      </c>
      <c r="R39" s="39"/>
    </row>
    <row r="40" spans="1:18" x14ac:dyDescent="0.25">
      <c r="A40" s="40">
        <v>1</v>
      </c>
      <c r="B40" s="41" t="s">
        <v>33</v>
      </c>
      <c r="C40" s="42">
        <v>107378</v>
      </c>
      <c r="D40" s="42">
        <v>96777</v>
      </c>
      <c r="E40" s="43">
        <f t="shared" ref="E40:E57" si="14">C40/D40*100</f>
        <v>110.95404899924569</v>
      </c>
      <c r="F40" s="42">
        <v>18245</v>
      </c>
      <c r="G40" s="42">
        <v>16503</v>
      </c>
      <c r="H40" s="43">
        <f>F40/G40*100</f>
        <v>110.55565654729442</v>
      </c>
      <c r="I40" s="42">
        <v>90545</v>
      </c>
      <c r="J40" s="42">
        <v>96777</v>
      </c>
      <c r="K40" s="43">
        <f>I40/J40*100</f>
        <v>93.560453413517678</v>
      </c>
      <c r="L40" s="42">
        <v>15501</v>
      </c>
      <c r="M40" s="42">
        <v>5481</v>
      </c>
      <c r="N40" s="43">
        <f t="shared" ref="N40:N45" si="15">L40/M40*100</f>
        <v>282.81335522714835</v>
      </c>
      <c r="O40" s="196">
        <v>91</v>
      </c>
      <c r="P40" s="44">
        <v>76</v>
      </c>
      <c r="Q40" s="196">
        <v>91</v>
      </c>
      <c r="R40" s="45">
        <f>O40*P40</f>
        <v>6916</v>
      </c>
    </row>
    <row r="41" spans="1:18" x14ac:dyDescent="0.25">
      <c r="A41" s="40">
        <v>2</v>
      </c>
      <c r="B41" s="41" t="s">
        <v>34</v>
      </c>
      <c r="C41" s="42">
        <v>0</v>
      </c>
      <c r="D41" s="42">
        <v>0</v>
      </c>
      <c r="E41" s="43">
        <v>0</v>
      </c>
      <c r="F41" s="42">
        <v>0</v>
      </c>
      <c r="G41" s="42">
        <v>0</v>
      </c>
      <c r="H41" s="43">
        <v>0</v>
      </c>
      <c r="I41" s="42">
        <v>0</v>
      </c>
      <c r="J41" s="42">
        <v>0</v>
      </c>
      <c r="K41" s="43">
        <v>0</v>
      </c>
      <c r="L41" s="42">
        <v>0</v>
      </c>
      <c r="M41" s="42">
        <v>0</v>
      </c>
      <c r="N41" s="43">
        <v>0</v>
      </c>
      <c r="O41" s="196">
        <v>0</v>
      </c>
      <c r="P41" s="44">
        <v>0</v>
      </c>
      <c r="Q41" s="196">
        <v>0</v>
      </c>
      <c r="R41" s="45">
        <f t="shared" ref="R41:R56" si="16">O41*P41</f>
        <v>0</v>
      </c>
    </row>
    <row r="42" spans="1:18" x14ac:dyDescent="0.25">
      <c r="A42" s="40">
        <v>3</v>
      </c>
      <c r="B42" s="41" t="s">
        <v>35</v>
      </c>
      <c r="C42" s="42">
        <v>46345</v>
      </c>
      <c r="D42" s="42">
        <v>34819</v>
      </c>
      <c r="E42" s="43">
        <f t="shared" si="14"/>
        <v>133.10261638760448</v>
      </c>
      <c r="F42" s="42">
        <v>9234</v>
      </c>
      <c r="G42" s="42">
        <v>835</v>
      </c>
      <c r="H42" s="43">
        <f t="shared" ref="H42:H45" si="17">F42/G42*100</f>
        <v>1105.868263473054</v>
      </c>
      <c r="I42" s="42">
        <v>82025</v>
      </c>
      <c r="J42" s="42">
        <v>103837</v>
      </c>
      <c r="K42" s="43">
        <f t="shared" ref="K42:K57" si="18">I42/J42*100</f>
        <v>78.994000211870528</v>
      </c>
      <c r="L42" s="42">
        <v>0</v>
      </c>
      <c r="M42" s="42">
        <v>12643</v>
      </c>
      <c r="N42" s="43">
        <f t="shared" si="15"/>
        <v>0</v>
      </c>
      <c r="O42" s="196">
        <v>35</v>
      </c>
      <c r="P42" s="44">
        <v>70</v>
      </c>
      <c r="Q42" s="196">
        <v>33</v>
      </c>
      <c r="R42" s="45">
        <f t="shared" si="16"/>
        <v>2450</v>
      </c>
    </row>
    <row r="43" spans="1:18" x14ac:dyDescent="0.25">
      <c r="A43" s="40">
        <v>4</v>
      </c>
      <c r="B43" s="41" t="s">
        <v>36</v>
      </c>
      <c r="C43" s="42">
        <v>8200</v>
      </c>
      <c r="D43" s="42">
        <v>13090</v>
      </c>
      <c r="E43" s="43">
        <f t="shared" si="14"/>
        <v>62.643239113827356</v>
      </c>
      <c r="F43" s="42">
        <v>1500</v>
      </c>
      <c r="G43" s="42">
        <v>2900</v>
      </c>
      <c r="H43" s="43">
        <f t="shared" si="17"/>
        <v>51.724137931034484</v>
      </c>
      <c r="I43" s="42">
        <v>13452</v>
      </c>
      <c r="J43" s="42">
        <v>26632</v>
      </c>
      <c r="K43" s="43">
        <f t="shared" si="18"/>
        <v>50.510663863021932</v>
      </c>
      <c r="L43" s="42">
        <v>13452</v>
      </c>
      <c r="M43" s="42">
        <v>26632</v>
      </c>
      <c r="N43" s="43">
        <f t="shared" si="15"/>
        <v>50.510663863021932</v>
      </c>
      <c r="O43" s="196">
        <v>20</v>
      </c>
      <c r="P43" s="44">
        <v>60</v>
      </c>
      <c r="Q43" s="196">
        <v>20</v>
      </c>
      <c r="R43" s="45">
        <f t="shared" si="16"/>
        <v>1200</v>
      </c>
    </row>
    <row r="44" spans="1:18" x14ac:dyDescent="0.25">
      <c r="A44" s="40">
        <v>5</v>
      </c>
      <c r="B44" s="41" t="s">
        <v>37</v>
      </c>
      <c r="C44" s="48">
        <v>30285</v>
      </c>
      <c r="D44" s="48">
        <v>66380</v>
      </c>
      <c r="E44" s="43">
        <f t="shared" si="14"/>
        <v>45.623681831877072</v>
      </c>
      <c r="F44" s="48">
        <v>3567</v>
      </c>
      <c r="G44" s="48">
        <v>8332</v>
      </c>
      <c r="H44" s="43">
        <f t="shared" si="17"/>
        <v>42.810849735957753</v>
      </c>
      <c r="I44" s="48">
        <v>30285</v>
      </c>
      <c r="J44" s="48">
        <v>65190</v>
      </c>
      <c r="K44" s="43">
        <f t="shared" si="18"/>
        <v>46.456511734928668</v>
      </c>
      <c r="L44" s="48">
        <v>5496</v>
      </c>
      <c r="M44" s="48">
        <v>7788</v>
      </c>
      <c r="N44" s="43">
        <f t="shared" si="15"/>
        <v>70.570107858243446</v>
      </c>
      <c r="O44" s="196">
        <v>53</v>
      </c>
      <c r="P44" s="44">
        <v>55</v>
      </c>
      <c r="Q44" s="196">
        <v>54</v>
      </c>
      <c r="R44" s="45">
        <f t="shared" si="16"/>
        <v>2915</v>
      </c>
    </row>
    <row r="45" spans="1:18" x14ac:dyDescent="0.25">
      <c r="A45" s="40">
        <v>6</v>
      </c>
      <c r="B45" s="41" t="s">
        <v>38</v>
      </c>
      <c r="C45" s="49">
        <v>50011</v>
      </c>
      <c r="D45" s="42">
        <v>81496</v>
      </c>
      <c r="E45" s="43">
        <f t="shared" si="14"/>
        <v>61.366202022185135</v>
      </c>
      <c r="F45" s="42">
        <v>9530</v>
      </c>
      <c r="G45" s="42">
        <v>16660</v>
      </c>
      <c r="H45" s="43">
        <f t="shared" si="17"/>
        <v>57.202881152460982</v>
      </c>
      <c r="I45" s="42">
        <v>49618</v>
      </c>
      <c r="J45" s="42">
        <v>76963</v>
      </c>
      <c r="K45" s="43">
        <f t="shared" si="18"/>
        <v>64.469940101087531</v>
      </c>
      <c r="L45" s="42">
        <v>878</v>
      </c>
      <c r="M45" s="42">
        <v>29409</v>
      </c>
      <c r="N45" s="43">
        <f t="shared" si="15"/>
        <v>2.985480635179707</v>
      </c>
      <c r="O45" s="196">
        <v>63</v>
      </c>
      <c r="P45" s="44">
        <v>75</v>
      </c>
      <c r="Q45" s="196">
        <v>64</v>
      </c>
      <c r="R45" s="45">
        <f t="shared" si="16"/>
        <v>4725</v>
      </c>
    </row>
    <row r="46" spans="1:18" x14ac:dyDescent="0.25">
      <c r="A46" s="40">
        <v>7</v>
      </c>
      <c r="B46" s="41" t="s">
        <v>39</v>
      </c>
      <c r="C46" s="42">
        <v>3440</v>
      </c>
      <c r="D46" s="42">
        <v>300</v>
      </c>
      <c r="E46" s="43">
        <v>0</v>
      </c>
      <c r="F46" s="42">
        <v>3440</v>
      </c>
      <c r="G46" s="42">
        <v>0</v>
      </c>
      <c r="H46" s="43">
        <v>0</v>
      </c>
      <c r="I46" s="42">
        <v>210</v>
      </c>
      <c r="J46" s="42">
        <v>300</v>
      </c>
      <c r="K46" s="43">
        <v>0</v>
      </c>
      <c r="L46" s="42">
        <v>0</v>
      </c>
      <c r="M46" s="42">
        <v>0</v>
      </c>
      <c r="N46" s="43">
        <v>0</v>
      </c>
      <c r="O46" s="196">
        <v>24</v>
      </c>
      <c r="P46" s="44">
        <v>70</v>
      </c>
      <c r="Q46" s="196">
        <v>5</v>
      </c>
      <c r="R46" s="45">
        <f t="shared" si="16"/>
        <v>1680</v>
      </c>
    </row>
    <row r="47" spans="1:18" x14ac:dyDescent="0.25">
      <c r="A47" s="40">
        <v>8</v>
      </c>
      <c r="B47" s="41" t="s">
        <v>41</v>
      </c>
      <c r="C47" s="51">
        <v>53872</v>
      </c>
      <c r="D47" s="42">
        <v>60478</v>
      </c>
      <c r="E47" s="43">
        <f t="shared" si="14"/>
        <v>89.077019742716359</v>
      </c>
      <c r="F47" s="42">
        <v>10834</v>
      </c>
      <c r="G47" s="42">
        <v>4662</v>
      </c>
      <c r="H47" s="43">
        <f t="shared" ref="H47:H57" si="19">F47/G47*100</f>
        <v>232.38953238953238</v>
      </c>
      <c r="I47" s="42">
        <v>51391</v>
      </c>
      <c r="J47" s="42">
        <v>60680</v>
      </c>
      <c r="K47" s="43">
        <f t="shared" si="18"/>
        <v>84.691825972313779</v>
      </c>
      <c r="L47" s="42">
        <v>0</v>
      </c>
      <c r="M47" s="42">
        <v>0</v>
      </c>
      <c r="N47" s="43">
        <v>0</v>
      </c>
      <c r="O47" s="196">
        <v>44</v>
      </c>
      <c r="P47" s="44">
        <v>71</v>
      </c>
      <c r="Q47" s="196">
        <v>44</v>
      </c>
      <c r="R47" s="45">
        <f t="shared" si="16"/>
        <v>3124</v>
      </c>
    </row>
    <row r="48" spans="1:18" x14ac:dyDescent="0.25">
      <c r="A48" s="40">
        <v>9</v>
      </c>
      <c r="B48" s="41" t="s">
        <v>42</v>
      </c>
      <c r="C48" s="51">
        <v>143200</v>
      </c>
      <c r="D48" s="42">
        <v>144804</v>
      </c>
      <c r="E48" s="52">
        <f t="shared" si="14"/>
        <v>98.892295792933893</v>
      </c>
      <c r="F48" s="42">
        <v>28157</v>
      </c>
      <c r="G48" s="42">
        <v>26452</v>
      </c>
      <c r="H48" s="43">
        <f t="shared" si="19"/>
        <v>106.44563738091637</v>
      </c>
      <c r="I48" s="42">
        <v>113232</v>
      </c>
      <c r="J48" s="53">
        <v>133664</v>
      </c>
      <c r="K48" s="43">
        <f t="shared" si="18"/>
        <v>84.713909504429026</v>
      </c>
      <c r="L48" s="42">
        <v>0</v>
      </c>
      <c r="M48" s="42">
        <v>0</v>
      </c>
      <c r="N48" s="43">
        <v>0</v>
      </c>
      <c r="O48" s="196">
        <v>76</v>
      </c>
      <c r="P48" s="44">
        <v>105</v>
      </c>
      <c r="Q48" s="196">
        <v>75</v>
      </c>
      <c r="R48" s="45">
        <f t="shared" si="16"/>
        <v>7980</v>
      </c>
    </row>
    <row r="49" spans="1:18" x14ac:dyDescent="0.25">
      <c r="A49" s="40">
        <v>10</v>
      </c>
      <c r="B49" s="41" t="s">
        <v>43</v>
      </c>
      <c r="C49" s="51">
        <v>633538</v>
      </c>
      <c r="D49" s="42">
        <v>686464</v>
      </c>
      <c r="E49" s="43">
        <f t="shared" si="14"/>
        <v>92.290054540369198</v>
      </c>
      <c r="F49" s="51">
        <v>0</v>
      </c>
      <c r="G49" s="42">
        <v>146215</v>
      </c>
      <c r="H49" s="43">
        <f t="shared" si="19"/>
        <v>0</v>
      </c>
      <c r="I49" s="42">
        <v>509303</v>
      </c>
      <c r="J49" s="42">
        <v>667256</v>
      </c>
      <c r="K49" s="43">
        <f t="shared" si="18"/>
        <v>76.327976069154872</v>
      </c>
      <c r="L49" s="42">
        <v>506162</v>
      </c>
      <c r="M49" s="42">
        <v>667256</v>
      </c>
      <c r="N49" s="43">
        <f t="shared" ref="N49:N51" si="20">L49/M49*100</f>
        <v>75.857242197897051</v>
      </c>
      <c r="O49" s="196">
        <v>204</v>
      </c>
      <c r="P49" s="44">
        <v>84</v>
      </c>
      <c r="Q49" s="196">
        <v>204</v>
      </c>
      <c r="R49" s="45">
        <f t="shared" si="16"/>
        <v>17136</v>
      </c>
    </row>
    <row r="50" spans="1:18" x14ac:dyDescent="0.25">
      <c r="A50" s="40">
        <v>11</v>
      </c>
      <c r="B50" s="41" t="s">
        <v>44</v>
      </c>
      <c r="C50" s="51">
        <v>16216</v>
      </c>
      <c r="D50" s="42">
        <v>14362</v>
      </c>
      <c r="E50" s="43">
        <f t="shared" si="14"/>
        <v>112.90906558975074</v>
      </c>
      <c r="F50" s="42">
        <v>0</v>
      </c>
      <c r="G50" s="42">
        <v>0</v>
      </c>
      <c r="H50" s="43">
        <v>0</v>
      </c>
      <c r="I50" s="42">
        <v>82905</v>
      </c>
      <c r="J50" s="42">
        <v>29344</v>
      </c>
      <c r="K50" s="43">
        <f t="shared" si="18"/>
        <v>282.52794438386042</v>
      </c>
      <c r="L50" s="42">
        <v>82905</v>
      </c>
      <c r="M50" s="42">
        <v>29344</v>
      </c>
      <c r="N50" s="43">
        <f t="shared" si="20"/>
        <v>282.52794438386042</v>
      </c>
      <c r="O50" s="196">
        <v>24</v>
      </c>
      <c r="P50" s="44">
        <v>68</v>
      </c>
      <c r="Q50" s="196">
        <v>24</v>
      </c>
      <c r="R50" s="45">
        <f t="shared" si="16"/>
        <v>1632</v>
      </c>
    </row>
    <row r="51" spans="1:18" x14ac:dyDescent="0.25">
      <c r="A51" s="40">
        <v>12</v>
      </c>
      <c r="B51" s="41" t="s">
        <v>45</v>
      </c>
      <c r="C51" s="42">
        <v>56338</v>
      </c>
      <c r="D51" s="42">
        <v>40155</v>
      </c>
      <c r="E51" s="43">
        <f t="shared" si="14"/>
        <v>140.30133233719337</v>
      </c>
      <c r="F51" s="54">
        <v>9326</v>
      </c>
      <c r="G51" s="54">
        <v>0</v>
      </c>
      <c r="H51" s="43">
        <v>0</v>
      </c>
      <c r="I51" s="54">
        <v>64467</v>
      </c>
      <c r="J51" s="54">
        <v>43945</v>
      </c>
      <c r="K51" s="43">
        <f t="shared" si="18"/>
        <v>146.69928319490273</v>
      </c>
      <c r="L51" s="55">
        <v>60886</v>
      </c>
      <c r="M51" s="54">
        <v>39025</v>
      </c>
      <c r="N51" s="43">
        <f t="shared" si="20"/>
        <v>156.01793721973095</v>
      </c>
      <c r="O51" s="196">
        <v>23</v>
      </c>
      <c r="P51" s="44">
        <v>111</v>
      </c>
      <c r="Q51" s="196">
        <v>23</v>
      </c>
      <c r="R51" s="45">
        <f t="shared" si="16"/>
        <v>2553</v>
      </c>
    </row>
    <row r="52" spans="1:18" x14ac:dyDescent="0.25">
      <c r="A52" s="40">
        <v>13</v>
      </c>
      <c r="B52" s="41" t="s">
        <v>46</v>
      </c>
      <c r="C52" s="49">
        <v>229746</v>
      </c>
      <c r="D52" s="49">
        <v>212785</v>
      </c>
      <c r="E52" s="43">
        <f t="shared" si="14"/>
        <v>107.97095659938437</v>
      </c>
      <c r="F52" s="49">
        <v>39194</v>
      </c>
      <c r="G52" s="49">
        <v>34051</v>
      </c>
      <c r="H52" s="43">
        <f t="shared" si="19"/>
        <v>115.1038148659364</v>
      </c>
      <c r="I52" s="42">
        <v>218657</v>
      </c>
      <c r="J52" s="42">
        <v>208984</v>
      </c>
      <c r="K52" s="43">
        <f t="shared" si="18"/>
        <v>104.62858400643111</v>
      </c>
      <c r="L52" s="49">
        <v>3429</v>
      </c>
      <c r="M52" s="49">
        <v>0</v>
      </c>
      <c r="N52" s="43">
        <v>0</v>
      </c>
      <c r="O52" s="196">
        <v>80</v>
      </c>
      <c r="P52" s="44">
        <v>115</v>
      </c>
      <c r="Q52" s="196">
        <v>78</v>
      </c>
      <c r="R52" s="45">
        <f t="shared" si="16"/>
        <v>9200</v>
      </c>
    </row>
    <row r="53" spans="1:18" x14ac:dyDescent="0.25">
      <c r="A53" s="40">
        <v>14</v>
      </c>
      <c r="B53" s="41" t="s">
        <v>47</v>
      </c>
      <c r="C53" s="196">
        <v>11972</v>
      </c>
      <c r="D53" s="196">
        <v>24860</v>
      </c>
      <c r="E53" s="47">
        <f t="shared" si="14"/>
        <v>48.157683024939665</v>
      </c>
      <c r="F53" s="196">
        <v>1973</v>
      </c>
      <c r="G53" s="196">
        <v>2487</v>
      </c>
      <c r="H53" s="47">
        <f t="shared" si="19"/>
        <v>79.332529151588261</v>
      </c>
      <c r="I53" s="196">
        <v>14148</v>
      </c>
      <c r="J53" s="196">
        <v>24547</v>
      </c>
      <c r="K53" s="47">
        <f t="shared" si="18"/>
        <v>57.636371043304678</v>
      </c>
      <c r="L53" s="196">
        <v>0</v>
      </c>
      <c r="M53" s="196">
        <v>8026</v>
      </c>
      <c r="N53" s="43">
        <v>0</v>
      </c>
      <c r="O53" s="196">
        <v>13</v>
      </c>
      <c r="P53" s="44">
        <v>80</v>
      </c>
      <c r="Q53" s="196">
        <v>13</v>
      </c>
      <c r="R53" s="45">
        <f t="shared" si="16"/>
        <v>1040</v>
      </c>
    </row>
    <row r="54" spans="1:18" x14ac:dyDescent="0.25">
      <c r="A54" s="40">
        <v>15</v>
      </c>
      <c r="B54" s="41" t="s">
        <v>48</v>
      </c>
      <c r="C54" s="42">
        <v>169163</v>
      </c>
      <c r="D54" s="53">
        <v>20473</v>
      </c>
      <c r="E54" s="47">
        <f t="shared" si="14"/>
        <v>826.27362868167836</v>
      </c>
      <c r="F54" s="42">
        <v>51712</v>
      </c>
      <c r="G54" s="42">
        <v>0</v>
      </c>
      <c r="H54" s="47">
        <v>0</v>
      </c>
      <c r="I54" s="42">
        <v>299280</v>
      </c>
      <c r="J54" s="42">
        <v>43570</v>
      </c>
      <c r="K54" s="47">
        <f t="shared" si="18"/>
        <v>686.89465228368135</v>
      </c>
      <c r="L54" s="42">
        <v>294830</v>
      </c>
      <c r="M54" s="42">
        <v>33785</v>
      </c>
      <c r="N54" s="43">
        <v>0</v>
      </c>
      <c r="O54" s="196">
        <v>64</v>
      </c>
      <c r="P54" s="44">
        <v>95</v>
      </c>
      <c r="Q54" s="196">
        <v>62</v>
      </c>
      <c r="R54" s="45">
        <f t="shared" si="16"/>
        <v>6080</v>
      </c>
    </row>
    <row r="55" spans="1:18" x14ac:dyDescent="0.25">
      <c r="A55" s="40">
        <v>16</v>
      </c>
      <c r="B55" s="41" t="s">
        <v>49</v>
      </c>
      <c r="C55" s="42">
        <v>9671</v>
      </c>
      <c r="D55" s="53">
        <v>1927</v>
      </c>
      <c r="E55" s="47">
        <v>0</v>
      </c>
      <c r="F55" s="42">
        <v>560</v>
      </c>
      <c r="G55" s="42">
        <v>0</v>
      </c>
      <c r="H55" s="47">
        <v>0</v>
      </c>
      <c r="I55" s="42">
        <v>9671</v>
      </c>
      <c r="J55" s="42">
        <v>1927</v>
      </c>
      <c r="K55" s="43">
        <v>0</v>
      </c>
      <c r="L55" s="42">
        <v>0</v>
      </c>
      <c r="M55" s="42">
        <v>0</v>
      </c>
      <c r="N55" s="43">
        <v>0</v>
      </c>
      <c r="O55" s="196">
        <v>3</v>
      </c>
      <c r="P55" s="44">
        <v>40</v>
      </c>
      <c r="Q55" s="196">
        <v>3</v>
      </c>
      <c r="R55" s="45">
        <f t="shared" si="16"/>
        <v>120</v>
      </c>
    </row>
    <row r="56" spans="1:18" x14ac:dyDescent="0.25">
      <c r="A56" s="40">
        <v>17</v>
      </c>
      <c r="B56" s="41" t="s">
        <v>169</v>
      </c>
      <c r="C56" s="196">
        <v>644000</v>
      </c>
      <c r="D56" s="196">
        <v>0</v>
      </c>
      <c r="E56" s="47">
        <v>0</v>
      </c>
      <c r="F56" s="196">
        <v>182000</v>
      </c>
      <c r="G56" s="196">
        <v>0</v>
      </c>
      <c r="H56" s="47">
        <v>0</v>
      </c>
      <c r="I56" s="196">
        <v>55120</v>
      </c>
      <c r="J56" s="196">
        <v>0</v>
      </c>
      <c r="K56" s="43">
        <v>0</v>
      </c>
      <c r="L56" s="196">
        <v>0</v>
      </c>
      <c r="M56" s="196">
        <v>0</v>
      </c>
      <c r="N56" s="47">
        <v>0</v>
      </c>
      <c r="O56" s="196">
        <v>13</v>
      </c>
      <c r="P56" s="44">
        <v>70</v>
      </c>
      <c r="Q56" s="196">
        <v>13</v>
      </c>
      <c r="R56" s="45">
        <f t="shared" si="16"/>
        <v>910</v>
      </c>
    </row>
    <row r="57" spans="1:18" s="60" customFormat="1" x14ac:dyDescent="0.25">
      <c r="A57" s="315" t="s">
        <v>50</v>
      </c>
      <c r="B57" s="315"/>
      <c r="C57" s="56">
        <f>SUM(C40:C56)</f>
        <v>2213375</v>
      </c>
      <c r="D57" s="56">
        <f>SUM(D40:D56)</f>
        <v>1499170</v>
      </c>
      <c r="E57" s="57">
        <f t="shared" si="14"/>
        <v>147.64002748187329</v>
      </c>
      <c r="F57" s="56">
        <f>SUM(F40:F56)</f>
        <v>369272</v>
      </c>
      <c r="G57" s="56">
        <f>SUM(G40:G55)</f>
        <v>259097</v>
      </c>
      <c r="H57" s="57">
        <f t="shared" si="19"/>
        <v>142.52268455443328</v>
      </c>
      <c r="I57" s="56">
        <f>SUM(I40:I56)</f>
        <v>1684309</v>
      </c>
      <c r="J57" s="56">
        <f>SUM(J40:J56)</f>
        <v>1583616</v>
      </c>
      <c r="K57" s="57">
        <f t="shared" si="18"/>
        <v>106.35842274894924</v>
      </c>
      <c r="L57" s="56">
        <f>SUM(L40:L56)</f>
        <v>983539</v>
      </c>
      <c r="M57" s="56">
        <f>SUM(M40:M56)</f>
        <v>859389</v>
      </c>
      <c r="N57" s="57">
        <f>L57/M57*100</f>
        <v>114.44631011102074</v>
      </c>
      <c r="O57" s="56">
        <f>SUM(O40:O56)</f>
        <v>830</v>
      </c>
      <c r="P57" s="57">
        <f>R57/O57</f>
        <v>83.928915662650596</v>
      </c>
      <c r="Q57" s="56">
        <f>SUM(Q40:Q56)</f>
        <v>806</v>
      </c>
      <c r="R57" s="56">
        <f>SUM(R40:R56)</f>
        <v>69661</v>
      </c>
    </row>
    <row r="58" spans="1:18" x14ac:dyDescent="0.25">
      <c r="A58" s="196"/>
      <c r="B58" s="61"/>
      <c r="C58" s="196"/>
      <c r="D58" s="196"/>
      <c r="E58" s="196"/>
      <c r="F58" s="196"/>
      <c r="G58" s="196"/>
      <c r="H58" s="196"/>
      <c r="I58" s="196"/>
      <c r="J58" s="196"/>
      <c r="K58" s="34"/>
      <c r="L58" s="196"/>
      <c r="M58" s="196"/>
      <c r="N58" s="196"/>
      <c r="O58" s="196"/>
      <c r="P58" s="62"/>
      <c r="Q58" s="196"/>
      <c r="R58" s="39"/>
    </row>
    <row r="59" spans="1:18" x14ac:dyDescent="0.25">
      <c r="A59" s="319" t="s">
        <v>51</v>
      </c>
      <c r="B59" s="320"/>
      <c r="C59" s="37">
        <v>3</v>
      </c>
      <c r="D59" s="37">
        <v>4</v>
      </c>
      <c r="E59" s="193">
        <v>5</v>
      </c>
      <c r="F59" s="37">
        <v>6</v>
      </c>
      <c r="G59" s="37">
        <v>7</v>
      </c>
      <c r="H59" s="37">
        <v>8</v>
      </c>
      <c r="I59" s="37">
        <v>9</v>
      </c>
      <c r="J59" s="37">
        <v>10</v>
      </c>
      <c r="K59" s="37">
        <v>11</v>
      </c>
      <c r="L59" s="37">
        <v>12</v>
      </c>
      <c r="M59" s="37">
        <v>13</v>
      </c>
      <c r="N59" s="37">
        <v>14</v>
      </c>
      <c r="O59" s="37">
        <v>15</v>
      </c>
      <c r="P59" s="193">
        <v>16</v>
      </c>
      <c r="Q59" s="37">
        <v>15</v>
      </c>
      <c r="R59" s="39"/>
    </row>
    <row r="60" spans="1:18" s="66" customFormat="1" x14ac:dyDescent="0.25">
      <c r="A60" s="44">
        <v>1</v>
      </c>
      <c r="B60" s="63" t="s">
        <v>52</v>
      </c>
      <c r="C60" s="64">
        <v>344350</v>
      </c>
      <c r="D60" s="65">
        <v>217345</v>
      </c>
      <c r="E60" s="43">
        <f t="shared" ref="E60:E67" si="21">C60/D60*100</f>
        <v>158.43474660102601</v>
      </c>
      <c r="F60" s="65">
        <v>57767</v>
      </c>
      <c r="G60" s="68">
        <v>20699</v>
      </c>
      <c r="H60" s="43">
        <f>F60/G60*100</f>
        <v>279.08111502971155</v>
      </c>
      <c r="I60" s="65">
        <v>296711</v>
      </c>
      <c r="J60" s="65">
        <v>228733</v>
      </c>
      <c r="K60" s="43">
        <f t="shared" ref="K60:K67" si="22">I60/J60*100</f>
        <v>129.71936712236538</v>
      </c>
      <c r="L60" s="65">
        <v>296537</v>
      </c>
      <c r="M60" s="65">
        <v>182841</v>
      </c>
      <c r="N60" s="43">
        <f>L60/M60*100</f>
        <v>162.18298959204992</v>
      </c>
      <c r="O60" s="68">
        <v>154</v>
      </c>
      <c r="P60" s="65">
        <v>75</v>
      </c>
      <c r="Q60" s="68">
        <v>158</v>
      </c>
      <c r="R60" s="45">
        <f>O60*P60</f>
        <v>11550</v>
      </c>
    </row>
    <row r="61" spans="1:18" x14ac:dyDescent="0.25">
      <c r="A61" s="67">
        <v>2</v>
      </c>
      <c r="B61" s="63" t="s">
        <v>53</v>
      </c>
      <c r="C61" s="42">
        <v>89726</v>
      </c>
      <c r="D61" s="42">
        <v>59574</v>
      </c>
      <c r="E61" s="43">
        <f t="shared" si="21"/>
        <v>150.61268338536945</v>
      </c>
      <c r="F61" s="68">
        <v>5588</v>
      </c>
      <c r="G61" s="68">
        <v>9242</v>
      </c>
      <c r="H61" s="43">
        <f t="shared" ref="H61:H67" si="23">F61/G61*100</f>
        <v>60.463103224410297</v>
      </c>
      <c r="I61" s="68">
        <v>101303</v>
      </c>
      <c r="J61" s="68">
        <v>54922</v>
      </c>
      <c r="K61" s="43">
        <f t="shared" si="22"/>
        <v>184.44885473944868</v>
      </c>
      <c r="L61" s="68">
        <v>0</v>
      </c>
      <c r="M61" s="68">
        <v>3908</v>
      </c>
      <c r="N61" s="43">
        <v>0</v>
      </c>
      <c r="O61" s="68">
        <v>132</v>
      </c>
      <c r="P61" s="68">
        <v>105</v>
      </c>
      <c r="Q61" s="68">
        <v>130</v>
      </c>
      <c r="R61" s="45">
        <f t="shared" ref="R61:R68" si="24">O61*P61</f>
        <v>13860</v>
      </c>
    </row>
    <row r="62" spans="1:18" x14ac:dyDescent="0.25">
      <c r="A62" s="67">
        <v>3</v>
      </c>
      <c r="B62" s="63" t="s">
        <v>54</v>
      </c>
      <c r="C62" s="68">
        <v>134090</v>
      </c>
      <c r="D62" s="68">
        <v>262982</v>
      </c>
      <c r="E62" s="43">
        <f t="shared" si="21"/>
        <v>50.988280566730801</v>
      </c>
      <c r="F62" s="68">
        <v>31307</v>
      </c>
      <c r="G62" s="68">
        <v>54052</v>
      </c>
      <c r="H62" s="43">
        <f t="shared" si="23"/>
        <v>57.920150965736696</v>
      </c>
      <c r="I62" s="68">
        <v>134090</v>
      </c>
      <c r="J62" s="68">
        <v>262982</v>
      </c>
      <c r="K62" s="43">
        <f t="shared" si="22"/>
        <v>50.988280566730801</v>
      </c>
      <c r="L62" s="68">
        <v>0</v>
      </c>
      <c r="M62" s="68">
        <v>0</v>
      </c>
      <c r="N62" s="43">
        <v>0</v>
      </c>
      <c r="O62" s="68">
        <v>118</v>
      </c>
      <c r="P62" s="68">
        <v>50</v>
      </c>
      <c r="Q62" s="68">
        <v>119</v>
      </c>
      <c r="R62" s="45">
        <f t="shared" si="24"/>
        <v>5900</v>
      </c>
    </row>
    <row r="63" spans="1:18" x14ac:dyDescent="0.25">
      <c r="A63" s="44">
        <v>4</v>
      </c>
      <c r="B63" s="63" t="s">
        <v>55</v>
      </c>
      <c r="C63" s="68">
        <v>171105</v>
      </c>
      <c r="D63" s="68">
        <v>184854</v>
      </c>
      <c r="E63" s="43">
        <f t="shared" si="21"/>
        <v>92.56223830698822</v>
      </c>
      <c r="F63" s="68">
        <v>7824</v>
      </c>
      <c r="G63" s="68">
        <v>35459</v>
      </c>
      <c r="H63" s="43">
        <f t="shared" si="23"/>
        <v>22.064920048506725</v>
      </c>
      <c r="I63" s="48">
        <v>184461</v>
      </c>
      <c r="J63" s="48">
        <v>178061</v>
      </c>
      <c r="K63" s="43">
        <f>I63/J63*100</f>
        <v>103.59427387243699</v>
      </c>
      <c r="L63" s="68">
        <v>99364</v>
      </c>
      <c r="M63" s="68">
        <v>96337</v>
      </c>
      <c r="N63" s="43">
        <f t="shared" ref="N63:N65" si="25">L63/M63*100</f>
        <v>103.14209493756292</v>
      </c>
      <c r="O63" s="68">
        <v>64</v>
      </c>
      <c r="P63" s="68">
        <v>57</v>
      </c>
      <c r="Q63" s="68">
        <v>64</v>
      </c>
      <c r="R63" s="45">
        <f t="shared" si="24"/>
        <v>3648</v>
      </c>
    </row>
    <row r="64" spans="1:18" x14ac:dyDescent="0.25">
      <c r="A64" s="67">
        <v>5</v>
      </c>
      <c r="B64" s="63" t="s">
        <v>56</v>
      </c>
      <c r="C64" s="196">
        <v>0</v>
      </c>
      <c r="D64" s="196">
        <v>0</v>
      </c>
      <c r="E64" s="43">
        <v>0</v>
      </c>
      <c r="F64" s="196">
        <v>0</v>
      </c>
      <c r="G64" s="196">
        <v>0</v>
      </c>
      <c r="H64" s="43">
        <v>0</v>
      </c>
      <c r="I64" s="196">
        <v>0</v>
      </c>
      <c r="J64" s="196">
        <v>0</v>
      </c>
      <c r="K64" s="43">
        <v>0</v>
      </c>
      <c r="L64" s="196">
        <v>0</v>
      </c>
      <c r="M64" s="196">
        <v>0</v>
      </c>
      <c r="N64" s="43">
        <v>0</v>
      </c>
      <c r="O64" s="68">
        <v>0</v>
      </c>
      <c r="P64" s="44">
        <v>0</v>
      </c>
      <c r="Q64" s="68">
        <v>0</v>
      </c>
      <c r="R64" s="45">
        <f t="shared" si="24"/>
        <v>0</v>
      </c>
    </row>
    <row r="65" spans="1:18" x14ac:dyDescent="0.25">
      <c r="A65" s="67">
        <v>6</v>
      </c>
      <c r="B65" s="63" t="s">
        <v>57</v>
      </c>
      <c r="C65" s="68">
        <v>31339</v>
      </c>
      <c r="D65" s="68">
        <v>42358</v>
      </c>
      <c r="E65" s="43">
        <f t="shared" si="21"/>
        <v>73.986023891590719</v>
      </c>
      <c r="F65" s="68">
        <v>3312</v>
      </c>
      <c r="G65" s="68">
        <v>6458</v>
      </c>
      <c r="H65" s="43">
        <f t="shared" si="23"/>
        <v>51.285227624651597</v>
      </c>
      <c r="I65" s="68">
        <v>31960</v>
      </c>
      <c r="J65" s="68">
        <v>42805</v>
      </c>
      <c r="K65" s="43">
        <f t="shared" si="22"/>
        <v>74.664174745940898</v>
      </c>
      <c r="L65" s="68">
        <v>31825</v>
      </c>
      <c r="M65" s="68">
        <v>42805</v>
      </c>
      <c r="N65" s="43">
        <f t="shared" si="25"/>
        <v>74.34879102908539</v>
      </c>
      <c r="O65" s="68">
        <v>37</v>
      </c>
      <c r="P65" s="68">
        <v>41</v>
      </c>
      <c r="Q65" s="68">
        <v>39</v>
      </c>
      <c r="R65" s="45">
        <f t="shared" si="24"/>
        <v>1517</v>
      </c>
    </row>
    <row r="66" spans="1:18" x14ac:dyDescent="0.25">
      <c r="A66" s="44">
        <v>7</v>
      </c>
      <c r="B66" s="63" t="s">
        <v>58</v>
      </c>
      <c r="C66" s="42">
        <v>32172</v>
      </c>
      <c r="D66" s="42">
        <v>61891</v>
      </c>
      <c r="E66" s="43">
        <f t="shared" si="21"/>
        <v>51.981709780097262</v>
      </c>
      <c r="F66" s="42">
        <v>13516</v>
      </c>
      <c r="G66" s="42">
        <v>4949</v>
      </c>
      <c r="H66" s="43">
        <f t="shared" si="23"/>
        <v>273.10567791473022</v>
      </c>
      <c r="I66" s="42">
        <v>38468</v>
      </c>
      <c r="J66" s="42">
        <v>74888</v>
      </c>
      <c r="K66" s="43">
        <f t="shared" si="22"/>
        <v>51.367375280418756</v>
      </c>
      <c r="L66" s="69">
        <v>38409</v>
      </c>
      <c r="M66" s="42">
        <v>74852</v>
      </c>
      <c r="N66" s="43">
        <f>L66/M66*100</f>
        <v>51.313258162774545</v>
      </c>
      <c r="O66" s="68">
        <v>40</v>
      </c>
      <c r="P66" s="68">
        <v>55</v>
      </c>
      <c r="Q66" s="68">
        <v>40</v>
      </c>
      <c r="R66" s="45">
        <f t="shared" si="24"/>
        <v>2200</v>
      </c>
    </row>
    <row r="67" spans="1:18" s="66" customFormat="1" x14ac:dyDescent="0.25">
      <c r="A67" s="67">
        <v>8</v>
      </c>
      <c r="B67" s="63" t="s">
        <v>59</v>
      </c>
      <c r="C67" s="199">
        <v>153100</v>
      </c>
      <c r="D67" s="42">
        <v>114800</v>
      </c>
      <c r="E67" s="43">
        <f t="shared" si="21"/>
        <v>133.36236933797909</v>
      </c>
      <c r="F67" s="42">
        <v>0</v>
      </c>
      <c r="G67" s="198">
        <v>3000</v>
      </c>
      <c r="H67" s="43">
        <f t="shared" si="23"/>
        <v>0</v>
      </c>
      <c r="I67" s="42">
        <v>215727</v>
      </c>
      <c r="J67" s="198">
        <v>131267</v>
      </c>
      <c r="K67" s="43">
        <f t="shared" si="22"/>
        <v>164.34214235108595</v>
      </c>
      <c r="L67" s="42">
        <v>215727</v>
      </c>
      <c r="M67" s="198">
        <v>131267</v>
      </c>
      <c r="N67" s="43">
        <f t="shared" ref="N67" si="26">L67/M67*100</f>
        <v>164.34214235108595</v>
      </c>
      <c r="O67" s="68">
        <v>35</v>
      </c>
      <c r="P67" s="65">
        <v>80</v>
      </c>
      <c r="Q67" s="68">
        <v>35</v>
      </c>
      <c r="R67" s="45">
        <f t="shared" si="24"/>
        <v>2800</v>
      </c>
    </row>
    <row r="68" spans="1:18" s="66" customFormat="1" x14ac:dyDescent="0.25">
      <c r="A68" s="67">
        <v>9</v>
      </c>
      <c r="B68" s="63" t="s">
        <v>60</v>
      </c>
      <c r="C68" s="196">
        <v>0</v>
      </c>
      <c r="D68" s="196">
        <v>0</v>
      </c>
      <c r="E68" s="43">
        <v>0</v>
      </c>
      <c r="F68" s="196">
        <v>0</v>
      </c>
      <c r="G68" s="196">
        <v>0</v>
      </c>
      <c r="H68" s="43">
        <v>0</v>
      </c>
      <c r="I68" s="196">
        <v>0</v>
      </c>
      <c r="J68" s="196">
        <v>0</v>
      </c>
      <c r="K68" s="43">
        <v>0</v>
      </c>
      <c r="L68" s="196">
        <v>0</v>
      </c>
      <c r="M68" s="196">
        <v>0</v>
      </c>
      <c r="N68" s="47">
        <v>0</v>
      </c>
      <c r="O68" s="68">
        <v>0</v>
      </c>
      <c r="P68" s="44">
        <v>0</v>
      </c>
      <c r="Q68" s="68">
        <v>0</v>
      </c>
      <c r="R68" s="45">
        <f t="shared" si="24"/>
        <v>0</v>
      </c>
    </row>
    <row r="69" spans="1:18" s="60" customFormat="1" x14ac:dyDescent="0.25">
      <c r="A69" s="334" t="s">
        <v>61</v>
      </c>
      <c r="B69" s="334"/>
      <c r="C69" s="70">
        <f>SUM(C60:C68)</f>
        <v>955882</v>
      </c>
      <c r="D69" s="70">
        <f>SUM(D60:D68)</f>
        <v>943804</v>
      </c>
      <c r="E69" s="71">
        <f>C69/D69*100</f>
        <v>101.27971485605063</v>
      </c>
      <c r="F69" s="70">
        <f>SUM(F60:F68)</f>
        <v>119314</v>
      </c>
      <c r="G69" s="70">
        <f>SUM(G60:G68)</f>
        <v>133859</v>
      </c>
      <c r="H69" s="71">
        <f>F69/G69*100</f>
        <v>89.13408885469039</v>
      </c>
      <c r="I69" s="72">
        <f>SUM(I60:I68)</f>
        <v>1002720</v>
      </c>
      <c r="J69" s="70">
        <f>SUM(J60:J68)</f>
        <v>973658</v>
      </c>
      <c r="K69" s="71">
        <f>I69/J69*100</f>
        <v>102.98482629424295</v>
      </c>
      <c r="L69" s="70">
        <f>SUM(L60:L68)</f>
        <v>681862</v>
      </c>
      <c r="M69" s="70">
        <f>SUM(M60:M68)</f>
        <v>532010</v>
      </c>
      <c r="N69" s="71">
        <f>L69/M69*100</f>
        <v>128.1671397154189</v>
      </c>
      <c r="O69" s="72">
        <f>SUM(O60:O68)</f>
        <v>580</v>
      </c>
      <c r="P69" s="71">
        <f>R69/O69</f>
        <v>71.508620689655174</v>
      </c>
      <c r="Q69" s="72">
        <f>SUM(Q60:Q68)</f>
        <v>585</v>
      </c>
      <c r="R69" s="59">
        <f>SUM(R60:R68)</f>
        <v>41475</v>
      </c>
    </row>
    <row r="70" spans="1:18" x14ac:dyDescent="0.25">
      <c r="A70" s="39"/>
      <c r="B70" s="73"/>
      <c r="C70" s="39"/>
      <c r="D70" s="39"/>
      <c r="E70" s="39"/>
      <c r="F70" s="39"/>
      <c r="G70" s="39"/>
      <c r="H70" s="39"/>
      <c r="I70" s="39"/>
      <c r="J70" s="39"/>
      <c r="K70" s="74"/>
      <c r="L70" s="39"/>
      <c r="M70" s="39"/>
      <c r="N70" s="39"/>
      <c r="O70" s="39"/>
      <c r="P70" s="75"/>
      <c r="Q70" s="39"/>
      <c r="R70" s="39"/>
    </row>
    <row r="71" spans="1:18" x14ac:dyDescent="0.25">
      <c r="A71" s="319" t="s">
        <v>62</v>
      </c>
      <c r="B71" s="320"/>
      <c r="C71" s="37">
        <v>3</v>
      </c>
      <c r="D71" s="37">
        <v>4</v>
      </c>
      <c r="E71" s="193">
        <v>5</v>
      </c>
      <c r="F71" s="37">
        <v>6</v>
      </c>
      <c r="G71" s="37">
        <v>7</v>
      </c>
      <c r="H71" s="37">
        <v>8</v>
      </c>
      <c r="I71" s="37">
        <v>9</v>
      </c>
      <c r="J71" s="37">
        <v>10</v>
      </c>
      <c r="K71" s="37">
        <v>11</v>
      </c>
      <c r="L71" s="37">
        <v>12</v>
      </c>
      <c r="M71" s="37">
        <v>13</v>
      </c>
      <c r="N71" s="37">
        <v>14</v>
      </c>
      <c r="O71" s="37">
        <v>15</v>
      </c>
      <c r="P71" s="193">
        <v>16</v>
      </c>
      <c r="Q71" s="37">
        <v>15</v>
      </c>
      <c r="R71" s="39"/>
    </row>
    <row r="72" spans="1:18" x14ac:dyDescent="0.25">
      <c r="A72" s="40">
        <v>1</v>
      </c>
      <c r="B72" s="41" t="s">
        <v>63</v>
      </c>
      <c r="C72" s="196">
        <v>49439</v>
      </c>
      <c r="D72" s="196">
        <v>1755</v>
      </c>
      <c r="E72" s="47">
        <f t="shared" ref="E72:E79" si="27">C72/D72*100</f>
        <v>2817.037037037037</v>
      </c>
      <c r="F72" s="196">
        <v>19</v>
      </c>
      <c r="G72" s="196">
        <v>0</v>
      </c>
      <c r="H72" s="47" t="e">
        <f t="shared" ref="H72:H78" si="28">F72/G72*100</f>
        <v>#DIV/0!</v>
      </c>
      <c r="I72" s="196">
        <v>122819</v>
      </c>
      <c r="J72" s="196">
        <v>102053</v>
      </c>
      <c r="K72" s="47">
        <f>I72/J72*100</f>
        <v>120.34825041889998</v>
      </c>
      <c r="L72" s="196">
        <v>53172</v>
      </c>
      <c r="M72" s="196">
        <v>14000</v>
      </c>
      <c r="N72" s="47">
        <v>0</v>
      </c>
      <c r="O72" s="196">
        <v>177</v>
      </c>
      <c r="P72" s="62">
        <v>55</v>
      </c>
      <c r="Q72" s="196">
        <v>179</v>
      </c>
      <c r="R72" s="45">
        <f t="shared" ref="R72:R79" si="29">O72*P72</f>
        <v>9735</v>
      </c>
    </row>
    <row r="73" spans="1:18" x14ac:dyDescent="0.25">
      <c r="A73" s="40">
        <v>2</v>
      </c>
      <c r="B73" s="41" t="s">
        <v>40</v>
      </c>
      <c r="C73" s="51">
        <v>304634</v>
      </c>
      <c r="D73" s="51">
        <v>203693</v>
      </c>
      <c r="E73" s="47">
        <f t="shared" si="27"/>
        <v>149.55545845954452</v>
      </c>
      <c r="F73" s="51">
        <v>33484</v>
      </c>
      <c r="G73" s="51">
        <v>32324</v>
      </c>
      <c r="H73" s="47">
        <f t="shared" si="28"/>
        <v>103.58866476921173</v>
      </c>
      <c r="I73" s="51">
        <v>304339</v>
      </c>
      <c r="J73" s="51">
        <v>205331</v>
      </c>
      <c r="K73" s="47">
        <f t="shared" ref="K73:K79" si="30">I73/J73*100</f>
        <v>148.21872975829271</v>
      </c>
      <c r="L73" s="51">
        <v>304339</v>
      </c>
      <c r="M73" s="51">
        <v>205227</v>
      </c>
      <c r="N73" s="47">
        <f t="shared" ref="N73" si="31">L73/M73*100</f>
        <v>148.29384047907925</v>
      </c>
      <c r="O73" s="196">
        <v>24</v>
      </c>
      <c r="P73" s="44">
        <v>68</v>
      </c>
      <c r="Q73" s="196">
        <v>24</v>
      </c>
      <c r="R73" s="45">
        <f t="shared" si="29"/>
        <v>1632</v>
      </c>
    </row>
    <row r="74" spans="1:18" x14ac:dyDescent="0.25">
      <c r="A74" s="40">
        <v>3</v>
      </c>
      <c r="B74" s="41" t="s">
        <v>64</v>
      </c>
      <c r="C74" s="196">
        <v>27699</v>
      </c>
      <c r="D74" s="196">
        <v>6288</v>
      </c>
      <c r="E74" s="47">
        <f t="shared" si="27"/>
        <v>440.50572519083966</v>
      </c>
      <c r="F74" s="196">
        <v>1681</v>
      </c>
      <c r="G74" s="196">
        <v>1009</v>
      </c>
      <c r="H74" s="47">
        <f t="shared" si="28"/>
        <v>166.60059464816649</v>
      </c>
      <c r="I74" s="196">
        <v>26653</v>
      </c>
      <c r="J74" s="196">
        <v>6706</v>
      </c>
      <c r="K74" s="47">
        <f t="shared" si="30"/>
        <v>397.45004473605724</v>
      </c>
      <c r="L74" s="196">
        <v>4160</v>
      </c>
      <c r="M74" s="196">
        <v>0</v>
      </c>
      <c r="N74" s="47">
        <v>0</v>
      </c>
      <c r="O74" s="196">
        <v>42</v>
      </c>
      <c r="P74" s="62">
        <v>45</v>
      </c>
      <c r="Q74" s="196">
        <v>42</v>
      </c>
      <c r="R74" s="45">
        <f t="shared" si="29"/>
        <v>1890</v>
      </c>
    </row>
    <row r="75" spans="1:18" x14ac:dyDescent="0.25">
      <c r="A75" s="40">
        <v>4</v>
      </c>
      <c r="B75" s="41" t="s">
        <v>65</v>
      </c>
      <c r="C75" s="196">
        <v>23538</v>
      </c>
      <c r="D75" s="196">
        <v>14130</v>
      </c>
      <c r="E75" s="47">
        <f t="shared" si="27"/>
        <v>166.58174097664545</v>
      </c>
      <c r="F75" s="196">
        <v>10739</v>
      </c>
      <c r="G75" s="196">
        <v>2242</v>
      </c>
      <c r="H75" s="47">
        <f t="shared" si="28"/>
        <v>478.9919714540589</v>
      </c>
      <c r="I75" s="196">
        <v>15522</v>
      </c>
      <c r="J75" s="196">
        <v>9441</v>
      </c>
      <c r="K75" s="47">
        <f t="shared" si="30"/>
        <v>164.4105497299015</v>
      </c>
      <c r="L75" s="196">
        <v>3325</v>
      </c>
      <c r="M75" s="196">
        <v>0</v>
      </c>
      <c r="N75" s="47">
        <v>0</v>
      </c>
      <c r="O75" s="196">
        <v>74</v>
      </c>
      <c r="P75" s="76">
        <v>50</v>
      </c>
      <c r="Q75" s="196">
        <v>73</v>
      </c>
      <c r="R75" s="45">
        <f t="shared" si="29"/>
        <v>3700</v>
      </c>
    </row>
    <row r="76" spans="1:18" x14ac:dyDescent="0.25">
      <c r="A76" s="40">
        <v>5</v>
      </c>
      <c r="B76" s="41" t="s">
        <v>66</v>
      </c>
      <c r="C76" s="196">
        <v>55373</v>
      </c>
      <c r="D76" s="196">
        <v>30022</v>
      </c>
      <c r="E76" s="47">
        <f t="shared" si="27"/>
        <v>184.44140963293586</v>
      </c>
      <c r="F76" s="196">
        <v>44190</v>
      </c>
      <c r="G76" s="196">
        <v>125</v>
      </c>
      <c r="H76" s="34">
        <f t="shared" si="28"/>
        <v>35352</v>
      </c>
      <c r="I76" s="196">
        <v>56089</v>
      </c>
      <c r="J76" s="196">
        <v>33716</v>
      </c>
      <c r="K76" s="47">
        <f t="shared" si="30"/>
        <v>166.35721912445129</v>
      </c>
      <c r="L76" s="196">
        <v>43968</v>
      </c>
      <c r="M76" s="196">
        <v>0</v>
      </c>
      <c r="N76" s="47">
        <v>0</v>
      </c>
      <c r="O76" s="196">
        <v>64</v>
      </c>
      <c r="P76" s="62">
        <v>62</v>
      </c>
      <c r="Q76" s="196">
        <v>64</v>
      </c>
      <c r="R76" s="45">
        <f t="shared" si="29"/>
        <v>3968</v>
      </c>
    </row>
    <row r="77" spans="1:18" x14ac:dyDescent="0.25">
      <c r="A77" s="40">
        <v>6</v>
      </c>
      <c r="B77" s="41" t="s">
        <v>67</v>
      </c>
      <c r="C77" s="196">
        <v>2156</v>
      </c>
      <c r="D77" s="196">
        <v>3459</v>
      </c>
      <c r="E77" s="47">
        <f t="shared" si="27"/>
        <v>62.330153223474994</v>
      </c>
      <c r="F77" s="196">
        <v>448</v>
      </c>
      <c r="G77" s="196">
        <v>817</v>
      </c>
      <c r="H77" s="47">
        <f t="shared" si="28"/>
        <v>54.834761321909419</v>
      </c>
      <c r="I77" s="196">
        <v>2053</v>
      </c>
      <c r="J77" s="196">
        <v>3733</v>
      </c>
      <c r="K77" s="47">
        <f t="shared" si="30"/>
        <v>54.995981784087867</v>
      </c>
      <c r="L77" s="196">
        <v>22</v>
      </c>
      <c r="M77" s="196">
        <v>146</v>
      </c>
      <c r="N77" s="47">
        <f t="shared" ref="N77:N78" si="32">L77/M77*100</f>
        <v>15.068493150684931</v>
      </c>
      <c r="O77" s="196">
        <v>10</v>
      </c>
      <c r="P77" s="62">
        <v>70</v>
      </c>
      <c r="Q77" s="196">
        <v>8</v>
      </c>
      <c r="R77" s="45">
        <f t="shared" si="29"/>
        <v>700</v>
      </c>
    </row>
    <row r="78" spans="1:18" x14ac:dyDescent="0.25">
      <c r="A78" s="40">
        <v>7</v>
      </c>
      <c r="B78" s="41" t="s">
        <v>168</v>
      </c>
      <c r="C78" s="196">
        <v>482432</v>
      </c>
      <c r="D78" s="196">
        <v>377229</v>
      </c>
      <c r="E78" s="47">
        <f t="shared" si="27"/>
        <v>127.88836489241284</v>
      </c>
      <c r="F78" s="196">
        <v>124454</v>
      </c>
      <c r="G78" s="196">
        <v>42582</v>
      </c>
      <c r="H78" s="47">
        <f t="shared" si="28"/>
        <v>292.269033864074</v>
      </c>
      <c r="I78" s="196">
        <v>43504</v>
      </c>
      <c r="J78" s="196">
        <v>378933</v>
      </c>
      <c r="K78" s="47">
        <f t="shared" si="30"/>
        <v>11.480657530486919</v>
      </c>
      <c r="L78" s="196">
        <v>66587</v>
      </c>
      <c r="M78" s="196">
        <v>115970</v>
      </c>
      <c r="N78" s="47">
        <f t="shared" si="32"/>
        <v>57.41743554367509</v>
      </c>
      <c r="O78" s="196">
        <v>149</v>
      </c>
      <c r="P78" s="44">
        <v>200</v>
      </c>
      <c r="Q78" s="196">
        <v>149</v>
      </c>
      <c r="R78" s="45">
        <f t="shared" si="29"/>
        <v>29800</v>
      </c>
    </row>
    <row r="79" spans="1:18" x14ac:dyDescent="0.25">
      <c r="A79" s="40">
        <v>8</v>
      </c>
      <c r="B79" s="41" t="s">
        <v>68</v>
      </c>
      <c r="C79" s="196">
        <v>2716</v>
      </c>
      <c r="D79" s="196">
        <v>3258</v>
      </c>
      <c r="E79" s="47">
        <f t="shared" si="27"/>
        <v>83.364027010435848</v>
      </c>
      <c r="F79" s="196">
        <v>0</v>
      </c>
      <c r="G79" s="196">
        <v>0</v>
      </c>
      <c r="H79" s="47">
        <v>0</v>
      </c>
      <c r="I79" s="196">
        <v>2988</v>
      </c>
      <c r="J79" s="196">
        <v>3583</v>
      </c>
      <c r="K79" s="47">
        <f t="shared" si="30"/>
        <v>83.393804074797657</v>
      </c>
      <c r="L79" s="196">
        <v>0</v>
      </c>
      <c r="M79" s="196">
        <v>0</v>
      </c>
      <c r="N79" s="47">
        <v>0</v>
      </c>
      <c r="O79" s="196">
        <v>20</v>
      </c>
      <c r="P79" s="62">
        <v>40</v>
      </c>
      <c r="Q79" s="196">
        <v>20</v>
      </c>
      <c r="R79" s="45">
        <f t="shared" si="29"/>
        <v>800</v>
      </c>
    </row>
    <row r="80" spans="1:18" s="60" customFormat="1" x14ac:dyDescent="0.25">
      <c r="A80" s="315" t="s">
        <v>211</v>
      </c>
      <c r="B80" s="315" t="s">
        <v>69</v>
      </c>
      <c r="C80" s="56">
        <f>SUM(C72:C79)</f>
        <v>947987</v>
      </c>
      <c r="D80" s="56">
        <f>SUM(D72:D79)</f>
        <v>639834</v>
      </c>
      <c r="E80" s="57">
        <f>C80/D80*100</f>
        <v>148.16139811263548</v>
      </c>
      <c r="F80" s="56">
        <f>SUM(F72:F79)</f>
        <v>215015</v>
      </c>
      <c r="G80" s="56">
        <f>SUM(G72:G79)</f>
        <v>79099</v>
      </c>
      <c r="H80" s="57">
        <f>F80/G80*100</f>
        <v>271.83023805610691</v>
      </c>
      <c r="I80" s="56">
        <f>SUM(I72:I79)</f>
        <v>573967</v>
      </c>
      <c r="J80" s="56">
        <f>SUM(J72:J79)</f>
        <v>743496</v>
      </c>
      <c r="K80" s="57">
        <f>I80/J80*100</f>
        <v>77.198397839396577</v>
      </c>
      <c r="L80" s="56">
        <f>SUM(L72:L79)</f>
        <v>475573</v>
      </c>
      <c r="M80" s="56">
        <f>SUM(M72:M79)</f>
        <v>335343</v>
      </c>
      <c r="N80" s="58">
        <f>L80/M80*100</f>
        <v>141.81688599434011</v>
      </c>
      <c r="O80" s="56">
        <f>SUM(O72:O79)</f>
        <v>560</v>
      </c>
      <c r="P80" s="57">
        <f>R80/O80</f>
        <v>93.258928571428569</v>
      </c>
      <c r="Q80" s="56">
        <f>SUM(Q72:Q79)</f>
        <v>559</v>
      </c>
      <c r="R80" s="59">
        <f>SUM(R72:R79)</f>
        <v>52225</v>
      </c>
    </row>
    <row r="81" spans="1:18" s="211" customFormat="1" x14ac:dyDescent="0.25">
      <c r="A81" s="352" t="s">
        <v>70</v>
      </c>
      <c r="B81" s="352" t="s">
        <v>70</v>
      </c>
      <c r="C81" s="212">
        <f>C57+C69+C80</f>
        <v>4117244</v>
      </c>
      <c r="D81" s="212">
        <f>D57+D69+D80</f>
        <v>3082808</v>
      </c>
      <c r="E81" s="210">
        <f>C81/D81*100</f>
        <v>133.55499272092197</v>
      </c>
      <c r="F81" s="212">
        <f>F57+F69+F80</f>
        <v>703601</v>
      </c>
      <c r="G81" s="212">
        <f>G57+G69+G80</f>
        <v>472055</v>
      </c>
      <c r="H81" s="210">
        <f>F81/G81*100</f>
        <v>149.05064028555995</v>
      </c>
      <c r="I81" s="212">
        <f>I57+I69+I80</f>
        <v>3260996</v>
      </c>
      <c r="J81" s="212">
        <f>J57+J69+J80</f>
        <v>3300770</v>
      </c>
      <c r="K81" s="210">
        <f>I81/J81*100</f>
        <v>98.795008437425196</v>
      </c>
      <c r="L81" s="212">
        <f>L57+L69+L80</f>
        <v>2140974</v>
      </c>
      <c r="M81" s="212">
        <f>M57+M69+M80</f>
        <v>1726742</v>
      </c>
      <c r="N81" s="210">
        <f>L81/M81*100</f>
        <v>123.98922363618885</v>
      </c>
      <c r="O81" s="212">
        <f>O57+O69+O80</f>
        <v>1970</v>
      </c>
      <c r="P81" s="210">
        <f>R81/O81</f>
        <v>82.924365482233497</v>
      </c>
      <c r="Q81" s="212">
        <f>Q57+Q69+Q80</f>
        <v>1950</v>
      </c>
      <c r="R81" s="213">
        <f>R57+R69+R80</f>
        <v>163361</v>
      </c>
    </row>
    <row r="82" spans="1:18" x14ac:dyDescent="0.25">
      <c r="A82" s="196"/>
      <c r="B82" s="61"/>
      <c r="C82" s="196"/>
      <c r="D82" s="196"/>
      <c r="E82" s="196"/>
      <c r="F82" s="196"/>
      <c r="G82" s="196"/>
      <c r="H82" s="196"/>
      <c r="I82" s="196"/>
      <c r="J82" s="196"/>
      <c r="K82" s="34"/>
      <c r="L82" s="196"/>
      <c r="M82" s="196"/>
      <c r="N82" s="196"/>
      <c r="O82" s="196"/>
      <c r="P82" s="62"/>
      <c r="Q82" s="196"/>
      <c r="R82" s="39"/>
    </row>
    <row r="83" spans="1:18" x14ac:dyDescent="0.25">
      <c r="A83" s="316" t="s">
        <v>18</v>
      </c>
      <c r="B83" s="317"/>
      <c r="C83" s="37">
        <v>3</v>
      </c>
      <c r="D83" s="37">
        <v>4</v>
      </c>
      <c r="E83" s="193">
        <v>5</v>
      </c>
      <c r="F83" s="37">
        <v>6</v>
      </c>
      <c r="G83" s="37">
        <v>7</v>
      </c>
      <c r="H83" s="37">
        <v>8</v>
      </c>
      <c r="I83" s="37">
        <v>9</v>
      </c>
      <c r="J83" s="37">
        <v>10</v>
      </c>
      <c r="K83" s="37">
        <v>11</v>
      </c>
      <c r="L83" s="37">
        <v>12</v>
      </c>
      <c r="M83" s="37">
        <v>13</v>
      </c>
      <c r="N83" s="37">
        <v>14</v>
      </c>
      <c r="O83" s="37">
        <v>15</v>
      </c>
      <c r="P83" s="193">
        <v>16</v>
      </c>
      <c r="Q83" s="37">
        <v>15</v>
      </c>
      <c r="R83" s="39"/>
    </row>
    <row r="84" spans="1:18" x14ac:dyDescent="0.25">
      <c r="A84" s="77">
        <v>1</v>
      </c>
      <c r="B84" s="78" t="s">
        <v>71</v>
      </c>
      <c r="C84" s="51">
        <v>10925</v>
      </c>
      <c r="D84" s="51">
        <v>35844</v>
      </c>
      <c r="E84" s="47">
        <f>C84/D84*100</f>
        <v>30.479299185358776</v>
      </c>
      <c r="F84" s="51">
        <v>168</v>
      </c>
      <c r="G84" s="51">
        <v>13469</v>
      </c>
      <c r="H84" s="47">
        <f>F84/G84*100</f>
        <v>1.2473086346425124</v>
      </c>
      <c r="I84" s="51">
        <v>8352</v>
      </c>
      <c r="J84" s="51">
        <v>41745</v>
      </c>
      <c r="K84" s="47">
        <f>I84/J84*100</f>
        <v>20.007186489399928</v>
      </c>
      <c r="L84" s="196">
        <v>0</v>
      </c>
      <c r="M84" s="51">
        <v>5674</v>
      </c>
      <c r="N84" s="47">
        <v>0</v>
      </c>
      <c r="O84" s="196">
        <v>2719</v>
      </c>
      <c r="P84" s="51">
        <v>113</v>
      </c>
      <c r="Q84" s="196">
        <v>2783</v>
      </c>
      <c r="R84" s="45">
        <f t="shared" ref="R84:R94" si="33">O84*P84</f>
        <v>307247</v>
      </c>
    </row>
    <row r="85" spans="1:18" s="80" customFormat="1" x14ac:dyDescent="0.25">
      <c r="A85" s="79">
        <v>2</v>
      </c>
      <c r="B85" s="78" t="s">
        <v>72</v>
      </c>
      <c r="C85" s="51">
        <v>335609</v>
      </c>
      <c r="D85" s="51">
        <v>391891</v>
      </c>
      <c r="E85" s="47">
        <f>C85/D85*100</f>
        <v>85.638353521770085</v>
      </c>
      <c r="F85" s="51">
        <v>61836</v>
      </c>
      <c r="G85" s="51">
        <v>64804</v>
      </c>
      <c r="H85" s="47">
        <f t="shared" ref="H85:H94" si="34">F85/G85*100</f>
        <v>95.420035800259242</v>
      </c>
      <c r="I85" s="51">
        <v>374973</v>
      </c>
      <c r="J85" s="51">
        <v>377995</v>
      </c>
      <c r="K85" s="47">
        <f>I85/J85*100</f>
        <v>99.200518525377319</v>
      </c>
      <c r="L85" s="51">
        <v>370362</v>
      </c>
      <c r="M85" s="51">
        <v>373313</v>
      </c>
      <c r="N85" s="47">
        <f t="shared" ref="N85:N94" si="35">L85/M85*100</f>
        <v>99.209510517983574</v>
      </c>
      <c r="O85" s="196">
        <v>568</v>
      </c>
      <c r="P85" s="51">
        <v>98</v>
      </c>
      <c r="Q85" s="196">
        <v>562</v>
      </c>
      <c r="R85" s="45">
        <f t="shared" si="33"/>
        <v>55664</v>
      </c>
    </row>
    <row r="86" spans="1:18" x14ac:dyDescent="0.25">
      <c r="A86" s="77">
        <v>3</v>
      </c>
      <c r="B86" s="78" t="s">
        <v>73</v>
      </c>
      <c r="C86" s="51">
        <v>411639</v>
      </c>
      <c r="D86" s="51">
        <v>404921</v>
      </c>
      <c r="E86" s="47">
        <f>C86/D86*100</f>
        <v>101.65908905687778</v>
      </c>
      <c r="F86" s="51">
        <v>166594</v>
      </c>
      <c r="G86" s="51">
        <v>74520</v>
      </c>
      <c r="H86" s="47">
        <f t="shared" si="34"/>
        <v>223.55609232420827</v>
      </c>
      <c r="I86" s="51">
        <v>1058745</v>
      </c>
      <c r="J86" s="51">
        <v>669559</v>
      </c>
      <c r="K86" s="47">
        <f>I86/J86*100</f>
        <v>158.12572155702483</v>
      </c>
      <c r="L86" s="51">
        <v>245357</v>
      </c>
      <c r="M86" s="51">
        <v>128200</v>
      </c>
      <c r="N86" s="47">
        <f t="shared" si="35"/>
        <v>191.38611544461779</v>
      </c>
      <c r="O86" s="196">
        <v>22</v>
      </c>
      <c r="P86" s="51">
        <v>306</v>
      </c>
      <c r="Q86" s="196">
        <v>21</v>
      </c>
      <c r="R86" s="45">
        <f t="shared" si="33"/>
        <v>6732</v>
      </c>
    </row>
    <row r="87" spans="1:18" x14ac:dyDescent="0.25">
      <c r="A87" s="79">
        <v>4</v>
      </c>
      <c r="B87" s="78" t="s">
        <v>74</v>
      </c>
      <c r="C87" s="51">
        <v>483378</v>
      </c>
      <c r="D87" s="51">
        <v>435489</v>
      </c>
      <c r="E87" s="47">
        <f t="shared" ref="E87:E94" si="36">C87/D87*100</f>
        <v>110.99660381777726</v>
      </c>
      <c r="F87" s="51">
        <v>77928</v>
      </c>
      <c r="G87" s="51">
        <v>46439</v>
      </c>
      <c r="H87" s="47">
        <f t="shared" si="34"/>
        <v>167.80723099119274</v>
      </c>
      <c r="I87" s="51">
        <v>451128</v>
      </c>
      <c r="J87" s="51">
        <v>433860</v>
      </c>
      <c r="K87" s="47">
        <f t="shared" ref="K87:K94" si="37">I87/J87*100</f>
        <v>103.98008574194442</v>
      </c>
      <c r="L87" s="196">
        <v>300159</v>
      </c>
      <c r="M87" s="51">
        <v>251530</v>
      </c>
      <c r="N87" s="47">
        <f t="shared" si="35"/>
        <v>119.33328032441459</v>
      </c>
      <c r="O87" s="196">
        <v>196</v>
      </c>
      <c r="P87" s="51">
        <v>40</v>
      </c>
      <c r="Q87" s="196">
        <v>196</v>
      </c>
      <c r="R87" s="45">
        <f t="shared" si="33"/>
        <v>7840</v>
      </c>
    </row>
    <row r="88" spans="1:18" x14ac:dyDescent="0.25">
      <c r="A88" s="77">
        <v>5</v>
      </c>
      <c r="B88" s="78" t="s">
        <v>75</v>
      </c>
      <c r="C88" s="62">
        <v>181725</v>
      </c>
      <c r="D88" s="62">
        <v>153034</v>
      </c>
      <c r="E88" s="47">
        <f t="shared" si="36"/>
        <v>118.74812133251433</v>
      </c>
      <c r="F88" s="62">
        <v>29338</v>
      </c>
      <c r="G88" s="62">
        <v>30781</v>
      </c>
      <c r="H88" s="47">
        <f t="shared" si="34"/>
        <v>95.312043143497618</v>
      </c>
      <c r="I88" s="62">
        <v>180888</v>
      </c>
      <c r="J88" s="62">
        <v>149477</v>
      </c>
      <c r="K88" s="47">
        <f t="shared" si="37"/>
        <v>121.01393525425317</v>
      </c>
      <c r="L88" s="196">
        <v>78594</v>
      </c>
      <c r="M88" s="62">
        <v>0</v>
      </c>
      <c r="N88" s="47">
        <v>0</v>
      </c>
      <c r="O88" s="196">
        <v>86</v>
      </c>
      <c r="P88" s="62">
        <v>46</v>
      </c>
      <c r="Q88" s="196">
        <v>87</v>
      </c>
      <c r="R88" s="45">
        <f t="shared" si="33"/>
        <v>3956</v>
      </c>
    </row>
    <row r="89" spans="1:18" x14ac:dyDescent="0.25">
      <c r="A89" s="79">
        <v>6</v>
      </c>
      <c r="B89" s="78" t="s">
        <v>76</v>
      </c>
      <c r="C89" s="196">
        <v>0</v>
      </c>
      <c r="D89" s="196">
        <v>0</v>
      </c>
      <c r="E89" s="43">
        <v>0</v>
      </c>
      <c r="F89" s="196">
        <v>0</v>
      </c>
      <c r="G89" s="196">
        <v>0</v>
      </c>
      <c r="H89" s="43">
        <v>0</v>
      </c>
      <c r="I89" s="196">
        <v>0</v>
      </c>
      <c r="J89" s="196">
        <v>0</v>
      </c>
      <c r="K89" s="43">
        <v>0</v>
      </c>
      <c r="L89" s="196">
        <v>0</v>
      </c>
      <c r="M89" s="196">
        <v>0</v>
      </c>
      <c r="N89" s="47">
        <v>0</v>
      </c>
      <c r="O89" s="196">
        <v>0</v>
      </c>
      <c r="P89" s="44">
        <v>0</v>
      </c>
      <c r="Q89" s="196">
        <v>0</v>
      </c>
      <c r="R89" s="45">
        <f t="shared" si="33"/>
        <v>0</v>
      </c>
    </row>
    <row r="90" spans="1:18" x14ac:dyDescent="0.25">
      <c r="A90" s="77">
        <v>7</v>
      </c>
      <c r="B90" s="78" t="s">
        <v>77</v>
      </c>
      <c r="C90" s="51">
        <v>406</v>
      </c>
      <c r="D90" s="62">
        <v>839</v>
      </c>
      <c r="E90" s="47">
        <v>839</v>
      </c>
      <c r="F90" s="51">
        <v>101</v>
      </c>
      <c r="G90" s="62">
        <v>429</v>
      </c>
      <c r="H90" s="47">
        <f t="shared" ref="H90:H91" si="38">F90/G90*100</f>
        <v>23.543123543123542</v>
      </c>
      <c r="I90" s="51">
        <v>406</v>
      </c>
      <c r="J90" s="62">
        <v>839</v>
      </c>
      <c r="K90" s="47">
        <f t="shared" ref="K90:K91" si="39">I90/J90*100</f>
        <v>48.390941597139452</v>
      </c>
      <c r="L90" s="196">
        <v>0</v>
      </c>
      <c r="M90" s="62">
        <v>0</v>
      </c>
      <c r="N90" s="47">
        <v>0</v>
      </c>
      <c r="O90" s="196">
        <v>12</v>
      </c>
      <c r="P90" s="51">
        <v>75</v>
      </c>
      <c r="Q90" s="196">
        <v>12</v>
      </c>
      <c r="R90" s="45">
        <f t="shared" si="33"/>
        <v>900</v>
      </c>
    </row>
    <row r="91" spans="1:18" x14ac:dyDescent="0.25">
      <c r="A91" s="79">
        <v>8</v>
      </c>
      <c r="B91" s="81" t="s">
        <v>78</v>
      </c>
      <c r="C91" s="62">
        <v>528754</v>
      </c>
      <c r="D91" s="62">
        <v>521633</v>
      </c>
      <c r="E91" s="47">
        <f t="shared" si="36"/>
        <v>101.36513602475303</v>
      </c>
      <c r="F91" s="62">
        <v>132406</v>
      </c>
      <c r="G91" s="62">
        <v>107471</v>
      </c>
      <c r="H91" s="47">
        <f t="shared" si="38"/>
        <v>123.20160787561296</v>
      </c>
      <c r="I91" s="62">
        <v>596663</v>
      </c>
      <c r="J91" s="62">
        <v>607674</v>
      </c>
      <c r="K91" s="47">
        <f t="shared" si="39"/>
        <v>98.18800870203431</v>
      </c>
      <c r="L91" s="196">
        <v>125193</v>
      </c>
      <c r="M91" s="62">
        <v>107004</v>
      </c>
      <c r="N91" s="47">
        <f t="shared" si="35"/>
        <v>116.99842996523495</v>
      </c>
      <c r="O91" s="196">
        <v>80</v>
      </c>
      <c r="P91" s="51">
        <v>85</v>
      </c>
      <c r="Q91" s="196">
        <v>79</v>
      </c>
      <c r="R91" s="45">
        <f t="shared" si="33"/>
        <v>6800</v>
      </c>
    </row>
    <row r="92" spans="1:18" x14ac:dyDescent="0.25">
      <c r="A92" s="77">
        <v>9</v>
      </c>
      <c r="B92" s="81" t="s">
        <v>79</v>
      </c>
      <c r="C92" s="51">
        <v>1126084</v>
      </c>
      <c r="D92" s="51">
        <v>1196799</v>
      </c>
      <c r="E92" s="47">
        <f t="shared" si="36"/>
        <v>94.091321934593864</v>
      </c>
      <c r="F92" s="51">
        <v>195714</v>
      </c>
      <c r="G92" s="51">
        <v>228677</v>
      </c>
      <c r="H92" s="47">
        <f t="shared" si="34"/>
        <v>85.585345268654038</v>
      </c>
      <c r="I92" s="51">
        <v>1079971</v>
      </c>
      <c r="J92" s="51">
        <v>1344182</v>
      </c>
      <c r="K92" s="47">
        <f t="shared" si="37"/>
        <v>80.344105188136723</v>
      </c>
      <c r="L92" s="196">
        <v>0</v>
      </c>
      <c r="M92" s="51">
        <v>0</v>
      </c>
      <c r="N92" s="47">
        <v>0</v>
      </c>
      <c r="O92" s="196">
        <v>128</v>
      </c>
      <c r="P92" s="51">
        <v>145</v>
      </c>
      <c r="Q92" s="196">
        <v>128</v>
      </c>
      <c r="R92" s="45">
        <f t="shared" si="33"/>
        <v>18560</v>
      </c>
    </row>
    <row r="93" spans="1:18" x14ac:dyDescent="0.25">
      <c r="A93" s="79">
        <v>10</v>
      </c>
      <c r="B93" s="78" t="s">
        <v>80</v>
      </c>
      <c r="C93" s="51">
        <v>730185</v>
      </c>
      <c r="D93" s="51">
        <v>631918</v>
      </c>
      <c r="E93" s="47">
        <f t="shared" si="36"/>
        <v>115.55059358967461</v>
      </c>
      <c r="F93" s="51">
        <v>64256</v>
      </c>
      <c r="G93" s="51">
        <v>63525</v>
      </c>
      <c r="H93" s="47">
        <f t="shared" si="34"/>
        <v>101.15072805981897</v>
      </c>
      <c r="I93" s="51">
        <v>732205</v>
      </c>
      <c r="J93" s="51">
        <v>535998</v>
      </c>
      <c r="K93" s="47">
        <f t="shared" si="37"/>
        <v>136.60592017134391</v>
      </c>
      <c r="L93" s="196">
        <v>356767</v>
      </c>
      <c r="M93" s="51">
        <v>274603</v>
      </c>
      <c r="N93" s="47">
        <f t="shared" si="35"/>
        <v>129.92101324457491</v>
      </c>
      <c r="O93" s="196">
        <v>114</v>
      </c>
      <c r="P93" s="51">
        <v>140</v>
      </c>
      <c r="Q93" s="196">
        <v>114</v>
      </c>
      <c r="R93" s="45">
        <f t="shared" si="33"/>
        <v>15960</v>
      </c>
    </row>
    <row r="94" spans="1:18" x14ac:dyDescent="0.25">
      <c r="A94" s="77">
        <v>11</v>
      </c>
      <c r="B94" s="78" t="s">
        <v>81</v>
      </c>
      <c r="C94" s="77">
        <v>162251</v>
      </c>
      <c r="D94" s="181">
        <v>146999</v>
      </c>
      <c r="E94" s="47">
        <f t="shared" si="36"/>
        <v>110.37558078626387</v>
      </c>
      <c r="F94" s="51">
        <v>26643</v>
      </c>
      <c r="G94" s="51">
        <v>24252</v>
      </c>
      <c r="H94" s="47">
        <f t="shared" si="34"/>
        <v>109.85898070262246</v>
      </c>
      <c r="I94" s="82">
        <v>1951491</v>
      </c>
      <c r="J94" s="83">
        <v>1920819</v>
      </c>
      <c r="K94" s="47">
        <f t="shared" si="37"/>
        <v>101.59681885695633</v>
      </c>
      <c r="L94" s="82">
        <v>18431</v>
      </c>
      <c r="M94" s="83">
        <v>0</v>
      </c>
      <c r="N94" s="47" t="e">
        <f t="shared" si="35"/>
        <v>#DIV/0!</v>
      </c>
      <c r="O94" s="196">
        <v>52</v>
      </c>
      <c r="P94" s="51">
        <v>250</v>
      </c>
      <c r="Q94" s="196">
        <v>52</v>
      </c>
      <c r="R94" s="45">
        <f t="shared" si="33"/>
        <v>13000</v>
      </c>
    </row>
    <row r="95" spans="1:18" s="60" customFormat="1" x14ac:dyDescent="0.25">
      <c r="A95" s="315" t="s">
        <v>82</v>
      </c>
      <c r="B95" s="315" t="s">
        <v>83</v>
      </c>
      <c r="C95" s="58">
        <f>SUM(C84:C94)</f>
        <v>3970956</v>
      </c>
      <c r="D95" s="58">
        <f>SUM(D84:D94)</f>
        <v>3919367</v>
      </c>
      <c r="E95" s="57">
        <f>C95/D95*100</f>
        <v>101.31625846724739</v>
      </c>
      <c r="F95" s="58">
        <f>SUM(F84:F94)</f>
        <v>754984</v>
      </c>
      <c r="G95" s="58">
        <f>SUM(G84:G94)</f>
        <v>654367</v>
      </c>
      <c r="H95" s="57">
        <f>F95/G95*100</f>
        <v>115.37623382597229</v>
      </c>
      <c r="I95" s="58">
        <f>SUM(I84:I94)</f>
        <v>6434822</v>
      </c>
      <c r="J95" s="58">
        <f>SUM(J84:J94)</f>
        <v>6082148</v>
      </c>
      <c r="K95" s="57">
        <f>I95/J95*100</f>
        <v>105.79851065774788</v>
      </c>
      <c r="L95" s="58">
        <f>SUM(L84:L94)</f>
        <v>1494863</v>
      </c>
      <c r="M95" s="58">
        <f>SUM(M84:M94)</f>
        <v>1140324</v>
      </c>
      <c r="N95" s="57">
        <f>L95/M95*100</f>
        <v>131.0910758696651</v>
      </c>
      <c r="O95" s="56">
        <f>SUM(O84:O94)</f>
        <v>3977</v>
      </c>
      <c r="P95" s="57">
        <f>R95/O95</f>
        <v>109.79607744531053</v>
      </c>
      <c r="Q95" s="56">
        <f>SUM(Q84:Q94)</f>
        <v>4034</v>
      </c>
      <c r="R95" s="59">
        <f>SUM(R84:R94)</f>
        <v>436659</v>
      </c>
    </row>
    <row r="96" spans="1:18" x14ac:dyDescent="0.25">
      <c r="A96" s="196"/>
      <c r="B96" s="196"/>
      <c r="C96" s="196"/>
      <c r="D96" s="196"/>
      <c r="E96" s="196"/>
      <c r="F96" s="196"/>
      <c r="G96" s="196"/>
      <c r="H96" s="196"/>
      <c r="I96" s="196"/>
      <c r="J96" s="196"/>
      <c r="K96" s="34"/>
      <c r="L96" s="196"/>
      <c r="M96" s="196"/>
      <c r="N96" s="196"/>
      <c r="O96" s="196"/>
      <c r="P96" s="62"/>
      <c r="Q96" s="196"/>
      <c r="R96" s="39"/>
    </row>
    <row r="97" spans="1:18" x14ac:dyDescent="0.25">
      <c r="A97" s="316" t="s">
        <v>19</v>
      </c>
      <c r="B97" s="317"/>
      <c r="C97" s="37">
        <v>3</v>
      </c>
      <c r="D97" s="37">
        <v>4</v>
      </c>
      <c r="E97" s="193">
        <v>5</v>
      </c>
      <c r="F97" s="37">
        <v>6</v>
      </c>
      <c r="G97" s="37">
        <v>7</v>
      </c>
      <c r="H97" s="37">
        <v>8</v>
      </c>
      <c r="I97" s="37">
        <v>9</v>
      </c>
      <c r="J97" s="37">
        <v>10</v>
      </c>
      <c r="K97" s="37">
        <v>11</v>
      </c>
      <c r="L97" s="37">
        <v>12</v>
      </c>
      <c r="M97" s="37">
        <v>13</v>
      </c>
      <c r="N97" s="37">
        <v>14</v>
      </c>
      <c r="O97" s="37">
        <v>15</v>
      </c>
      <c r="P97" s="193">
        <v>16</v>
      </c>
      <c r="Q97" s="37">
        <v>15</v>
      </c>
      <c r="R97" s="39"/>
    </row>
    <row r="98" spans="1:18" x14ac:dyDescent="0.25">
      <c r="A98" s="85">
        <v>1</v>
      </c>
      <c r="B98" s="81" t="s">
        <v>84</v>
      </c>
      <c r="C98" s="87">
        <v>170648</v>
      </c>
      <c r="D98" s="87">
        <v>199442</v>
      </c>
      <c r="E98" s="47">
        <f>C98/D98*100</f>
        <v>85.562719988768663</v>
      </c>
      <c r="F98" s="87">
        <v>31715</v>
      </c>
      <c r="G98" s="87">
        <v>39768</v>
      </c>
      <c r="H98" s="47">
        <f>F98/G98*100</f>
        <v>79.750050291691807</v>
      </c>
      <c r="I98" s="87">
        <v>159788</v>
      </c>
      <c r="J98" s="86">
        <v>199502</v>
      </c>
      <c r="K98" s="47">
        <f>I98/J98*100</f>
        <v>80.093432647291749</v>
      </c>
      <c r="L98" s="87">
        <v>159743</v>
      </c>
      <c r="M98" s="87">
        <v>195799</v>
      </c>
      <c r="N98" s="47">
        <f t="shared" ref="N98" si="40">L98/M98*100</f>
        <v>81.585197064336384</v>
      </c>
      <c r="O98" s="129">
        <v>315</v>
      </c>
      <c r="P98" s="62">
        <v>85</v>
      </c>
      <c r="Q98" s="129">
        <v>251</v>
      </c>
      <c r="R98" s="45">
        <f t="shared" ref="R98:R122" si="41">O98*P98</f>
        <v>26775</v>
      </c>
    </row>
    <row r="99" spans="1:18" x14ac:dyDescent="0.25">
      <c r="A99" s="85">
        <v>2</v>
      </c>
      <c r="B99" s="81" t="s">
        <v>85</v>
      </c>
      <c r="C99" s="196">
        <v>0</v>
      </c>
      <c r="D99" s="196">
        <v>0</v>
      </c>
      <c r="E99" s="43">
        <v>0</v>
      </c>
      <c r="F99" s="196">
        <v>0</v>
      </c>
      <c r="G99" s="196">
        <v>0</v>
      </c>
      <c r="H99" s="43">
        <v>0</v>
      </c>
      <c r="I99" s="196">
        <v>0</v>
      </c>
      <c r="J99" s="196">
        <v>0</v>
      </c>
      <c r="K99" s="43">
        <v>0</v>
      </c>
      <c r="L99" s="196">
        <v>0</v>
      </c>
      <c r="M99" s="196">
        <v>0</v>
      </c>
      <c r="N99" s="34">
        <v>0</v>
      </c>
      <c r="O99" s="196">
        <v>0</v>
      </c>
      <c r="P99" s="44">
        <v>0</v>
      </c>
      <c r="Q99" s="196">
        <v>0</v>
      </c>
      <c r="R99" s="45">
        <f t="shared" si="41"/>
        <v>0</v>
      </c>
    </row>
    <row r="100" spans="1:18" x14ac:dyDescent="0.25">
      <c r="A100" s="85">
        <v>3</v>
      </c>
      <c r="B100" s="78" t="s">
        <v>86</v>
      </c>
      <c r="C100" s="196">
        <v>0</v>
      </c>
      <c r="D100" s="196">
        <v>0</v>
      </c>
      <c r="E100" s="43">
        <v>0</v>
      </c>
      <c r="F100" s="196">
        <v>0</v>
      </c>
      <c r="G100" s="196">
        <v>0</v>
      </c>
      <c r="H100" s="43">
        <v>0</v>
      </c>
      <c r="I100" s="196">
        <v>0</v>
      </c>
      <c r="J100" s="196">
        <v>0</v>
      </c>
      <c r="K100" s="43">
        <v>0</v>
      </c>
      <c r="L100" s="196">
        <v>0</v>
      </c>
      <c r="M100" s="196">
        <v>0</v>
      </c>
      <c r="N100" s="34">
        <v>0</v>
      </c>
      <c r="O100" s="196">
        <v>0</v>
      </c>
      <c r="P100" s="44">
        <v>0</v>
      </c>
      <c r="Q100" s="196">
        <v>0</v>
      </c>
      <c r="R100" s="45">
        <f t="shared" si="41"/>
        <v>0</v>
      </c>
    </row>
    <row r="101" spans="1:18" x14ac:dyDescent="0.25">
      <c r="A101" s="85">
        <v>4</v>
      </c>
      <c r="B101" s="81" t="s">
        <v>87</v>
      </c>
      <c r="C101" s="86">
        <v>0</v>
      </c>
      <c r="D101" s="87">
        <v>27688</v>
      </c>
      <c r="E101" s="47">
        <f t="shared" ref="E101:E122" si="42">C101/D101*100</f>
        <v>0</v>
      </c>
      <c r="F101" s="86">
        <v>0</v>
      </c>
      <c r="G101" s="87">
        <v>0</v>
      </c>
      <c r="H101" s="47">
        <v>0</v>
      </c>
      <c r="I101" s="86">
        <v>9664</v>
      </c>
      <c r="J101" s="86">
        <v>16681</v>
      </c>
      <c r="K101" s="47">
        <f t="shared" ref="K101:K122" si="43">I101/J101*100</f>
        <v>57.934176608117014</v>
      </c>
      <c r="L101" s="87">
        <v>0</v>
      </c>
      <c r="M101" s="87">
        <v>0</v>
      </c>
      <c r="N101" s="34">
        <v>0</v>
      </c>
      <c r="O101" s="129">
        <v>6</v>
      </c>
      <c r="P101" s="87">
        <v>68</v>
      </c>
      <c r="Q101" s="129">
        <v>6</v>
      </c>
      <c r="R101" s="45">
        <f t="shared" si="41"/>
        <v>408</v>
      </c>
    </row>
    <row r="102" spans="1:18" x14ac:dyDescent="0.25">
      <c r="A102" s="85">
        <v>5</v>
      </c>
      <c r="B102" s="81" t="s">
        <v>88</v>
      </c>
      <c r="C102" s="87">
        <v>322620</v>
      </c>
      <c r="D102" s="87">
        <v>386192</v>
      </c>
      <c r="E102" s="47">
        <f t="shared" si="42"/>
        <v>83.538757923519896</v>
      </c>
      <c r="F102" s="87">
        <v>44326</v>
      </c>
      <c r="G102" s="87">
        <v>58196</v>
      </c>
      <c r="H102" s="47">
        <f t="shared" ref="H102:H122" si="44">F102/G102*100</f>
        <v>76.166746855453979</v>
      </c>
      <c r="I102" s="87">
        <v>388143</v>
      </c>
      <c r="J102" s="87">
        <v>386192</v>
      </c>
      <c r="K102" s="47">
        <f t="shared" si="43"/>
        <v>100.50518912872353</v>
      </c>
      <c r="L102" s="87">
        <v>388143</v>
      </c>
      <c r="M102" s="87">
        <v>386192</v>
      </c>
      <c r="N102" s="47">
        <f t="shared" ref="N102:N110" si="45">L102/M102*100</f>
        <v>100.50518912872353</v>
      </c>
      <c r="O102" s="129">
        <v>438</v>
      </c>
      <c r="P102" s="87">
        <v>52</v>
      </c>
      <c r="Q102" s="129">
        <v>440</v>
      </c>
      <c r="R102" s="45">
        <f t="shared" si="41"/>
        <v>22776</v>
      </c>
    </row>
    <row r="103" spans="1:18" x14ac:dyDescent="0.25">
      <c r="A103" s="85">
        <v>6</v>
      </c>
      <c r="B103" s="81" t="s">
        <v>89</v>
      </c>
      <c r="C103" s="196">
        <v>0</v>
      </c>
      <c r="D103" s="196">
        <v>0</v>
      </c>
      <c r="E103" s="43">
        <v>0</v>
      </c>
      <c r="F103" s="196">
        <v>0</v>
      </c>
      <c r="G103" s="196">
        <v>0</v>
      </c>
      <c r="H103" s="43">
        <v>0</v>
      </c>
      <c r="I103" s="196">
        <v>0</v>
      </c>
      <c r="J103" s="196">
        <v>0</v>
      </c>
      <c r="K103" s="43">
        <v>0</v>
      </c>
      <c r="L103" s="196">
        <v>0</v>
      </c>
      <c r="M103" s="196">
        <v>0</v>
      </c>
      <c r="N103" s="34">
        <v>0</v>
      </c>
      <c r="O103" s="196">
        <v>0</v>
      </c>
      <c r="P103" s="44">
        <v>0</v>
      </c>
      <c r="Q103" s="196">
        <v>0</v>
      </c>
      <c r="R103" s="45">
        <f t="shared" si="41"/>
        <v>0</v>
      </c>
    </row>
    <row r="104" spans="1:18" x14ac:dyDescent="0.25">
      <c r="A104" s="85">
        <v>7</v>
      </c>
      <c r="B104" s="78" t="s">
        <v>90</v>
      </c>
      <c r="C104" s="196">
        <v>0</v>
      </c>
      <c r="D104" s="196">
        <v>0</v>
      </c>
      <c r="E104" s="43">
        <v>0</v>
      </c>
      <c r="F104" s="196">
        <v>0</v>
      </c>
      <c r="G104" s="196">
        <v>0</v>
      </c>
      <c r="H104" s="43">
        <v>0</v>
      </c>
      <c r="I104" s="196">
        <v>0</v>
      </c>
      <c r="J104" s="196">
        <v>0</v>
      </c>
      <c r="K104" s="43">
        <v>0</v>
      </c>
      <c r="L104" s="196">
        <v>0</v>
      </c>
      <c r="M104" s="196">
        <v>0</v>
      </c>
      <c r="N104" s="34">
        <v>0</v>
      </c>
      <c r="O104" s="196">
        <v>0</v>
      </c>
      <c r="P104" s="44">
        <v>0</v>
      </c>
      <c r="Q104" s="196">
        <v>0</v>
      </c>
      <c r="R104" s="45">
        <f t="shared" si="41"/>
        <v>0</v>
      </c>
    </row>
    <row r="105" spans="1:18" x14ac:dyDescent="0.25">
      <c r="A105" s="85">
        <v>8</v>
      </c>
      <c r="B105" s="81" t="s">
        <v>91</v>
      </c>
      <c r="C105" s="51">
        <v>179506</v>
      </c>
      <c r="D105" s="51">
        <v>206121</v>
      </c>
      <c r="E105" s="190">
        <f t="shared" si="42"/>
        <v>87.087681507464069</v>
      </c>
      <c r="F105" s="51">
        <v>33319</v>
      </c>
      <c r="G105" s="51">
        <v>42081</v>
      </c>
      <c r="H105" s="51">
        <f t="shared" ref="H105:H109" si="46">F105/G105*100</f>
        <v>79.178251467408089</v>
      </c>
      <c r="I105" s="51">
        <v>107325</v>
      </c>
      <c r="J105" s="51">
        <v>134146</v>
      </c>
      <c r="K105" s="51">
        <f t="shared" si="43"/>
        <v>80.006112742832443</v>
      </c>
      <c r="L105" s="51">
        <v>1917</v>
      </c>
      <c r="M105" s="51">
        <v>33480</v>
      </c>
      <c r="N105" s="51">
        <f t="shared" si="45"/>
        <v>5.725806451612903</v>
      </c>
      <c r="O105" s="51">
        <v>150</v>
      </c>
      <c r="P105" s="51">
        <v>66</v>
      </c>
      <c r="Q105" s="51">
        <v>105</v>
      </c>
      <c r="R105" s="45">
        <f t="shared" si="41"/>
        <v>9900</v>
      </c>
    </row>
    <row r="106" spans="1:18" x14ac:dyDescent="0.25">
      <c r="A106" s="85">
        <v>9</v>
      </c>
      <c r="B106" s="81" t="s">
        <v>92</v>
      </c>
      <c r="C106" s="196">
        <v>0</v>
      </c>
      <c r="D106" s="196">
        <v>0</v>
      </c>
      <c r="E106" s="43">
        <v>0</v>
      </c>
      <c r="F106" s="196">
        <v>0</v>
      </c>
      <c r="G106" s="196">
        <v>0</v>
      </c>
      <c r="H106" s="43">
        <v>0</v>
      </c>
      <c r="I106" s="196">
        <v>0</v>
      </c>
      <c r="J106" s="196">
        <v>0</v>
      </c>
      <c r="K106" s="43">
        <v>0</v>
      </c>
      <c r="L106" s="196">
        <v>0</v>
      </c>
      <c r="M106" s="196">
        <v>0</v>
      </c>
      <c r="N106" s="34">
        <v>0</v>
      </c>
      <c r="O106" s="196">
        <v>0</v>
      </c>
      <c r="P106" s="44">
        <v>0</v>
      </c>
      <c r="Q106" s="196">
        <v>0</v>
      </c>
      <c r="R106" s="45">
        <f t="shared" si="41"/>
        <v>0</v>
      </c>
    </row>
    <row r="107" spans="1:18" x14ac:dyDescent="0.25">
      <c r="A107" s="85">
        <v>10</v>
      </c>
      <c r="B107" s="78" t="s">
        <v>93</v>
      </c>
      <c r="C107" s="196">
        <v>54263</v>
      </c>
      <c r="D107" s="196">
        <v>107359</v>
      </c>
      <c r="E107" s="47">
        <f t="shared" ref="E107" si="47">C107/D107*100</f>
        <v>50.543503572127157</v>
      </c>
      <c r="F107" s="196">
        <v>0</v>
      </c>
      <c r="G107" s="196">
        <v>17382</v>
      </c>
      <c r="H107" s="43">
        <v>0</v>
      </c>
      <c r="I107" s="196">
        <v>54263</v>
      </c>
      <c r="J107" s="196">
        <v>107359</v>
      </c>
      <c r="K107" s="47">
        <f t="shared" ref="K107" si="48">I107/J107*100</f>
        <v>50.543503572127157</v>
      </c>
      <c r="L107" s="196">
        <v>54263</v>
      </c>
      <c r="M107" s="196">
        <v>107359</v>
      </c>
      <c r="N107" s="34">
        <f t="shared" si="45"/>
        <v>50.543503572127157</v>
      </c>
      <c r="O107" s="129">
        <v>76</v>
      </c>
      <c r="P107" s="87">
        <v>36</v>
      </c>
      <c r="Q107" s="129">
        <v>74</v>
      </c>
      <c r="R107" s="45">
        <f t="shared" si="41"/>
        <v>2736</v>
      </c>
    </row>
    <row r="108" spans="1:18" x14ac:dyDescent="0.25">
      <c r="A108" s="85">
        <v>11</v>
      </c>
      <c r="B108" s="81" t="s">
        <v>94</v>
      </c>
      <c r="C108" s="196">
        <v>0</v>
      </c>
      <c r="D108" s="196">
        <v>0</v>
      </c>
      <c r="E108" s="47">
        <v>0</v>
      </c>
      <c r="F108" s="196">
        <v>0</v>
      </c>
      <c r="G108" s="196">
        <v>0</v>
      </c>
      <c r="H108" s="43">
        <v>0</v>
      </c>
      <c r="I108" s="196">
        <v>0</v>
      </c>
      <c r="J108" s="196">
        <v>0</v>
      </c>
      <c r="K108" s="47">
        <v>0</v>
      </c>
      <c r="L108" s="196">
        <v>0</v>
      </c>
      <c r="M108" s="196">
        <v>0</v>
      </c>
      <c r="N108" s="34">
        <v>0</v>
      </c>
      <c r="O108" s="196">
        <v>0</v>
      </c>
      <c r="P108" s="44">
        <v>0</v>
      </c>
      <c r="Q108" s="196">
        <v>0</v>
      </c>
      <c r="R108" s="45">
        <f t="shared" si="41"/>
        <v>0</v>
      </c>
    </row>
    <row r="109" spans="1:18" x14ac:dyDescent="0.25">
      <c r="A109" s="85">
        <v>12</v>
      </c>
      <c r="B109" s="81" t="s">
        <v>95</v>
      </c>
      <c r="C109" s="86">
        <v>52447</v>
      </c>
      <c r="D109" s="87">
        <v>60071</v>
      </c>
      <c r="E109" s="47">
        <f t="shared" si="42"/>
        <v>87.3083517837226</v>
      </c>
      <c r="F109" s="86">
        <v>8031</v>
      </c>
      <c r="G109" s="87">
        <v>12239</v>
      </c>
      <c r="H109" s="47">
        <f t="shared" si="46"/>
        <v>65.618106054416216</v>
      </c>
      <c r="I109" s="86">
        <v>42700</v>
      </c>
      <c r="J109" s="86">
        <v>49860</v>
      </c>
      <c r="K109" s="47">
        <f t="shared" ref="K109" si="49">I109/J109*100</f>
        <v>85.639791415964709</v>
      </c>
      <c r="L109" s="87">
        <v>0</v>
      </c>
      <c r="M109" s="87">
        <v>0</v>
      </c>
      <c r="N109" s="34">
        <v>0</v>
      </c>
      <c r="O109" s="129">
        <v>22</v>
      </c>
      <c r="P109" s="87">
        <v>50</v>
      </c>
      <c r="Q109" s="129">
        <v>22</v>
      </c>
      <c r="R109" s="45">
        <f t="shared" si="41"/>
        <v>1100</v>
      </c>
    </row>
    <row r="110" spans="1:18" x14ac:dyDescent="0.25">
      <c r="A110" s="85">
        <v>13</v>
      </c>
      <c r="B110" s="81" t="s">
        <v>96</v>
      </c>
      <c r="C110" s="86">
        <v>39798</v>
      </c>
      <c r="D110" s="87">
        <v>72802</v>
      </c>
      <c r="E110" s="47">
        <f t="shared" si="42"/>
        <v>54.666080602181253</v>
      </c>
      <c r="F110" s="86">
        <v>2394</v>
      </c>
      <c r="G110" s="86">
        <v>16018</v>
      </c>
      <c r="H110" s="47">
        <f t="shared" si="44"/>
        <v>14.945686103133973</v>
      </c>
      <c r="I110" s="86">
        <v>81113</v>
      </c>
      <c r="J110" s="86">
        <v>68918</v>
      </c>
      <c r="K110" s="47">
        <f t="shared" si="43"/>
        <v>117.69494181491046</v>
      </c>
      <c r="L110" s="87">
        <v>75528</v>
      </c>
      <c r="M110" s="87">
        <v>67156</v>
      </c>
      <c r="N110" s="47">
        <f t="shared" si="45"/>
        <v>112.46649591994759</v>
      </c>
      <c r="O110" s="129">
        <v>98</v>
      </c>
      <c r="P110" s="87">
        <v>50</v>
      </c>
      <c r="Q110" s="129">
        <v>139</v>
      </c>
      <c r="R110" s="45">
        <f t="shared" si="41"/>
        <v>4900</v>
      </c>
    </row>
    <row r="111" spans="1:18" x14ac:dyDescent="0.25">
      <c r="A111" s="85">
        <v>14</v>
      </c>
      <c r="B111" s="81" t="s">
        <v>97</v>
      </c>
      <c r="C111" s="196">
        <v>0</v>
      </c>
      <c r="D111" s="196">
        <v>0</v>
      </c>
      <c r="E111" s="43">
        <v>0</v>
      </c>
      <c r="F111" s="196">
        <v>0</v>
      </c>
      <c r="G111" s="196">
        <v>0</v>
      </c>
      <c r="H111" s="43">
        <v>0</v>
      </c>
      <c r="I111" s="196">
        <v>0</v>
      </c>
      <c r="J111" s="196">
        <v>0</v>
      </c>
      <c r="K111" s="43">
        <v>0</v>
      </c>
      <c r="L111" s="196">
        <v>0</v>
      </c>
      <c r="M111" s="196">
        <v>0</v>
      </c>
      <c r="N111" s="34">
        <v>0</v>
      </c>
      <c r="O111" s="196">
        <v>0</v>
      </c>
      <c r="P111" s="44">
        <v>0</v>
      </c>
      <c r="Q111" s="196">
        <v>0</v>
      </c>
      <c r="R111" s="45">
        <f t="shared" si="41"/>
        <v>0</v>
      </c>
    </row>
    <row r="112" spans="1:18" x14ac:dyDescent="0.25">
      <c r="A112" s="85">
        <v>15</v>
      </c>
      <c r="B112" s="81" t="s">
        <v>98</v>
      </c>
      <c r="C112" s="196">
        <v>0</v>
      </c>
      <c r="D112" s="196">
        <v>0</v>
      </c>
      <c r="E112" s="43">
        <v>0</v>
      </c>
      <c r="F112" s="196">
        <v>0</v>
      </c>
      <c r="G112" s="196">
        <v>0</v>
      </c>
      <c r="H112" s="43">
        <v>0</v>
      </c>
      <c r="I112" s="196">
        <v>0</v>
      </c>
      <c r="J112" s="196">
        <v>0</v>
      </c>
      <c r="K112" s="43">
        <v>0</v>
      </c>
      <c r="L112" s="196">
        <v>0</v>
      </c>
      <c r="M112" s="196">
        <v>0</v>
      </c>
      <c r="N112" s="34">
        <v>0</v>
      </c>
      <c r="O112" s="196">
        <v>0</v>
      </c>
      <c r="P112" s="44">
        <v>0</v>
      </c>
      <c r="Q112" s="196">
        <v>0</v>
      </c>
      <c r="R112" s="45">
        <f t="shared" si="41"/>
        <v>0</v>
      </c>
    </row>
    <row r="113" spans="1:91" x14ac:dyDescent="0.25">
      <c r="A113" s="85">
        <v>16</v>
      </c>
      <c r="B113" s="81" t="s">
        <v>99</v>
      </c>
      <c r="C113" s="51">
        <v>279955</v>
      </c>
      <c r="D113" s="51">
        <v>462989</v>
      </c>
      <c r="E113" s="47">
        <f t="shared" si="42"/>
        <v>60.466879342705774</v>
      </c>
      <c r="F113" s="51">
        <v>54714</v>
      </c>
      <c r="G113" s="51">
        <v>111469</v>
      </c>
      <c r="H113" s="47">
        <f t="shared" si="44"/>
        <v>49.08449882927092</v>
      </c>
      <c r="I113" s="51">
        <v>262328</v>
      </c>
      <c r="J113" s="51">
        <v>415797</v>
      </c>
      <c r="K113" s="47">
        <f t="shared" ref="K113" si="50">I113/J113*100</f>
        <v>63.09040228765479</v>
      </c>
      <c r="L113" s="51">
        <v>0</v>
      </c>
      <c r="M113" s="51">
        <v>0</v>
      </c>
      <c r="N113" s="34">
        <v>0</v>
      </c>
      <c r="O113" s="129">
        <v>85</v>
      </c>
      <c r="P113" s="44">
        <v>68</v>
      </c>
      <c r="Q113" s="129">
        <v>89</v>
      </c>
      <c r="R113" s="45">
        <f t="shared" si="41"/>
        <v>5780</v>
      </c>
    </row>
    <row r="114" spans="1:91" x14ac:dyDescent="0.25">
      <c r="A114" s="85">
        <v>17</v>
      </c>
      <c r="B114" s="81" t="s">
        <v>100</v>
      </c>
      <c r="C114" s="86">
        <v>50869</v>
      </c>
      <c r="D114" s="87">
        <v>329997</v>
      </c>
      <c r="E114" s="47">
        <f t="shared" si="42"/>
        <v>15.414988621108677</v>
      </c>
      <c r="F114" s="86">
        <v>105788</v>
      </c>
      <c r="G114" s="86">
        <v>54300</v>
      </c>
      <c r="H114" s="47">
        <f t="shared" si="44"/>
        <v>194.82136279926334</v>
      </c>
      <c r="I114" s="86">
        <v>437743</v>
      </c>
      <c r="J114" s="86">
        <v>306122</v>
      </c>
      <c r="K114" s="47">
        <f t="shared" si="43"/>
        <v>142.99625639450937</v>
      </c>
      <c r="L114" s="87">
        <v>0</v>
      </c>
      <c r="M114" s="87">
        <v>0</v>
      </c>
      <c r="N114" s="34">
        <v>0</v>
      </c>
      <c r="O114" s="129">
        <v>185</v>
      </c>
      <c r="P114" s="87">
        <v>70</v>
      </c>
      <c r="Q114" s="129">
        <v>186</v>
      </c>
      <c r="R114" s="45">
        <f t="shared" si="41"/>
        <v>12950</v>
      </c>
    </row>
    <row r="115" spans="1:91" x14ac:dyDescent="0.25">
      <c r="A115" s="85">
        <v>18</v>
      </c>
      <c r="B115" s="78" t="s">
        <v>101</v>
      </c>
      <c r="C115" s="51">
        <v>242389</v>
      </c>
      <c r="D115" s="51">
        <v>0</v>
      </c>
      <c r="E115" s="47">
        <v>0</v>
      </c>
      <c r="F115" s="51">
        <v>29184</v>
      </c>
      <c r="G115" s="51">
        <v>0</v>
      </c>
      <c r="H115" s="47">
        <v>0</v>
      </c>
      <c r="I115" s="51">
        <v>242389</v>
      </c>
      <c r="J115" s="51">
        <v>0</v>
      </c>
      <c r="K115" s="47">
        <v>0</v>
      </c>
      <c r="L115" s="51">
        <v>242389</v>
      </c>
      <c r="M115" s="51">
        <v>0</v>
      </c>
      <c r="N115" s="34">
        <v>0</v>
      </c>
      <c r="O115" s="129">
        <v>344</v>
      </c>
      <c r="P115" s="87">
        <v>65</v>
      </c>
      <c r="Q115" s="129">
        <v>329</v>
      </c>
      <c r="R115" s="45">
        <f t="shared" si="41"/>
        <v>22360</v>
      </c>
    </row>
    <row r="116" spans="1:91" x14ac:dyDescent="0.25">
      <c r="A116" s="85">
        <v>19</v>
      </c>
      <c r="B116" s="81" t="s">
        <v>102</v>
      </c>
      <c r="C116" s="196">
        <v>0</v>
      </c>
      <c r="D116" s="196">
        <v>0</v>
      </c>
      <c r="E116" s="43">
        <v>0</v>
      </c>
      <c r="F116" s="196">
        <v>0</v>
      </c>
      <c r="G116" s="196">
        <v>0</v>
      </c>
      <c r="H116" s="43">
        <v>0</v>
      </c>
      <c r="I116" s="196">
        <v>0</v>
      </c>
      <c r="J116" s="196">
        <v>0</v>
      </c>
      <c r="K116" s="43">
        <v>0</v>
      </c>
      <c r="L116" s="196">
        <v>0</v>
      </c>
      <c r="M116" s="196">
        <v>0</v>
      </c>
      <c r="N116" s="34">
        <v>0</v>
      </c>
      <c r="O116" s="196">
        <v>0</v>
      </c>
      <c r="P116" s="44">
        <v>0</v>
      </c>
      <c r="Q116" s="196">
        <v>0</v>
      </c>
      <c r="R116" s="45">
        <f t="shared" si="41"/>
        <v>0</v>
      </c>
    </row>
    <row r="117" spans="1:91" x14ac:dyDescent="0.25">
      <c r="A117" s="85">
        <v>20</v>
      </c>
      <c r="B117" s="81" t="s">
        <v>103</v>
      </c>
      <c r="C117" s="196">
        <v>0</v>
      </c>
      <c r="D117" s="196">
        <v>0</v>
      </c>
      <c r="E117" s="43">
        <v>0</v>
      </c>
      <c r="F117" s="196">
        <v>0</v>
      </c>
      <c r="G117" s="196">
        <v>0</v>
      </c>
      <c r="H117" s="43">
        <v>0</v>
      </c>
      <c r="I117" s="196">
        <v>0</v>
      </c>
      <c r="J117" s="196">
        <v>0</v>
      </c>
      <c r="K117" s="43">
        <v>0</v>
      </c>
      <c r="L117" s="196">
        <v>0</v>
      </c>
      <c r="M117" s="196">
        <v>0</v>
      </c>
      <c r="N117" s="34">
        <v>0</v>
      </c>
      <c r="O117" s="196">
        <v>0</v>
      </c>
      <c r="P117" s="44">
        <v>0</v>
      </c>
      <c r="Q117" s="196">
        <v>0</v>
      </c>
      <c r="R117" s="45">
        <f t="shared" si="41"/>
        <v>0</v>
      </c>
    </row>
    <row r="118" spans="1:91" x14ac:dyDescent="0.25">
      <c r="A118" s="85">
        <v>21</v>
      </c>
      <c r="B118" s="81" t="s">
        <v>104</v>
      </c>
      <c r="C118" s="87">
        <v>19205</v>
      </c>
      <c r="D118" s="87">
        <v>45960</v>
      </c>
      <c r="E118" s="47">
        <f t="shared" si="42"/>
        <v>41.786335944299388</v>
      </c>
      <c r="F118" s="87">
        <v>5397</v>
      </c>
      <c r="G118" s="87">
        <v>5565</v>
      </c>
      <c r="H118" s="47">
        <f t="shared" ref="H118" si="51">F118/G118*100</f>
        <v>96.981132075471692</v>
      </c>
      <c r="I118" s="87">
        <v>19205</v>
      </c>
      <c r="J118" s="87">
        <v>45960</v>
      </c>
      <c r="K118" s="47">
        <f t="shared" ref="K118" si="52">I118/J118*100</f>
        <v>41.786335944299388</v>
      </c>
      <c r="L118" s="87">
        <v>19205</v>
      </c>
      <c r="M118" s="87">
        <v>38520</v>
      </c>
      <c r="N118" s="47">
        <f t="shared" ref="N118" si="53">L118/M118*100</f>
        <v>49.857217030114228</v>
      </c>
      <c r="O118" s="129">
        <v>14</v>
      </c>
      <c r="P118" s="87">
        <v>48</v>
      </c>
      <c r="Q118" s="129">
        <v>14</v>
      </c>
      <c r="R118" s="45">
        <f t="shared" si="41"/>
        <v>672</v>
      </c>
    </row>
    <row r="119" spans="1:91" x14ac:dyDescent="0.25">
      <c r="A119" s="85">
        <v>22</v>
      </c>
      <c r="B119" s="78" t="s">
        <v>105</v>
      </c>
      <c r="C119" s="86">
        <v>13020</v>
      </c>
      <c r="D119" s="86">
        <v>11600</v>
      </c>
      <c r="E119" s="47">
        <f t="shared" si="42"/>
        <v>112.24137931034484</v>
      </c>
      <c r="F119" s="86">
        <v>2030</v>
      </c>
      <c r="G119" s="86">
        <v>0</v>
      </c>
      <c r="H119" s="47">
        <v>0</v>
      </c>
      <c r="I119" s="86">
        <v>22466</v>
      </c>
      <c r="J119" s="86">
        <v>21879</v>
      </c>
      <c r="K119" s="47">
        <f t="shared" si="43"/>
        <v>102.68293797705563</v>
      </c>
      <c r="L119" s="87">
        <v>0</v>
      </c>
      <c r="M119" s="86">
        <v>0</v>
      </c>
      <c r="N119" s="34">
        <v>0</v>
      </c>
      <c r="O119" s="129">
        <v>13</v>
      </c>
      <c r="P119" s="87">
        <v>63</v>
      </c>
      <c r="Q119" s="129">
        <v>13</v>
      </c>
      <c r="R119" s="45">
        <f t="shared" si="41"/>
        <v>819</v>
      </c>
    </row>
    <row r="120" spans="1:91" x14ac:dyDescent="0.25">
      <c r="A120" s="85">
        <v>23</v>
      </c>
      <c r="B120" s="78" t="s">
        <v>106</v>
      </c>
      <c r="C120" s="86">
        <v>64227</v>
      </c>
      <c r="D120" s="87">
        <v>73725</v>
      </c>
      <c r="E120" s="47">
        <f t="shared" si="42"/>
        <v>87.116988809766028</v>
      </c>
      <c r="F120" s="86">
        <v>12280</v>
      </c>
      <c r="G120" s="86">
        <v>11660</v>
      </c>
      <c r="H120" s="47">
        <f t="shared" si="44"/>
        <v>105.31732418524871</v>
      </c>
      <c r="I120" s="86">
        <v>66257</v>
      </c>
      <c r="J120" s="86">
        <v>76067</v>
      </c>
      <c r="K120" s="47">
        <f t="shared" si="43"/>
        <v>87.103474568472521</v>
      </c>
      <c r="L120" s="87">
        <v>0</v>
      </c>
      <c r="M120" s="87">
        <v>0</v>
      </c>
      <c r="N120" s="34">
        <v>0</v>
      </c>
      <c r="O120" s="129">
        <v>46</v>
      </c>
      <c r="P120" s="87">
        <v>45</v>
      </c>
      <c r="Q120" s="129">
        <v>36</v>
      </c>
      <c r="R120" s="45">
        <f t="shared" si="41"/>
        <v>2070</v>
      </c>
    </row>
    <row r="121" spans="1:91" x14ac:dyDescent="0.25">
      <c r="A121" s="85">
        <v>24</v>
      </c>
      <c r="B121" s="81" t="s">
        <v>107</v>
      </c>
      <c r="C121" s="87">
        <v>19121</v>
      </c>
      <c r="D121" s="87">
        <v>9863</v>
      </c>
      <c r="E121" s="47">
        <f t="shared" si="42"/>
        <v>193.86596370272738</v>
      </c>
      <c r="F121" s="87">
        <v>4841</v>
      </c>
      <c r="G121" s="86">
        <v>3322</v>
      </c>
      <c r="H121" s="47">
        <f t="shared" si="44"/>
        <v>145.72546658639374</v>
      </c>
      <c r="I121" s="87">
        <v>97068</v>
      </c>
      <c r="J121" s="87">
        <v>96030</v>
      </c>
      <c r="K121" s="47">
        <f t="shared" si="43"/>
        <v>101.08091221493282</v>
      </c>
      <c r="L121" s="88">
        <v>0</v>
      </c>
      <c r="M121" s="87">
        <v>0</v>
      </c>
      <c r="N121" s="34">
        <v>0</v>
      </c>
      <c r="O121" s="129">
        <v>56</v>
      </c>
      <c r="P121" s="87">
        <v>55</v>
      </c>
      <c r="Q121" s="129">
        <v>56</v>
      </c>
      <c r="R121" s="45">
        <f t="shared" si="41"/>
        <v>3080</v>
      </c>
    </row>
    <row r="122" spans="1:91" x14ac:dyDescent="0.25">
      <c r="A122" s="85">
        <v>25</v>
      </c>
      <c r="B122" s="81" t="s">
        <v>108</v>
      </c>
      <c r="C122" s="87">
        <v>20272</v>
      </c>
      <c r="D122" s="87">
        <v>29911</v>
      </c>
      <c r="E122" s="47">
        <f t="shared" si="42"/>
        <v>67.774397378890711</v>
      </c>
      <c r="F122" s="87">
        <v>2772</v>
      </c>
      <c r="G122" s="87">
        <v>5006</v>
      </c>
      <c r="H122" s="47">
        <f t="shared" si="44"/>
        <v>55.373551737914504</v>
      </c>
      <c r="I122" s="87">
        <v>20050</v>
      </c>
      <c r="J122" s="87">
        <v>30256</v>
      </c>
      <c r="K122" s="47">
        <f t="shared" si="43"/>
        <v>66.267847699629826</v>
      </c>
      <c r="L122" s="87">
        <v>0</v>
      </c>
      <c r="M122" s="87">
        <v>0</v>
      </c>
      <c r="N122" s="34">
        <v>0</v>
      </c>
      <c r="O122" s="129">
        <v>23</v>
      </c>
      <c r="P122" s="87">
        <v>34</v>
      </c>
      <c r="Q122" s="129">
        <v>23</v>
      </c>
      <c r="R122" s="45">
        <f t="shared" si="41"/>
        <v>782</v>
      </c>
    </row>
    <row r="123" spans="1:91" s="60" customFormat="1" x14ac:dyDescent="0.25">
      <c r="A123" s="315" t="s">
        <v>109</v>
      </c>
      <c r="B123" s="315" t="s">
        <v>109</v>
      </c>
      <c r="C123" s="56">
        <f>SUM(C98:C122)</f>
        <v>1528340</v>
      </c>
      <c r="D123" s="56">
        <f>SUM(D98:D122)</f>
        <v>2023720</v>
      </c>
      <c r="E123" s="57">
        <f>C123/D123*100</f>
        <v>75.521317178265761</v>
      </c>
      <c r="F123" s="56">
        <f>SUM(F98:F122)</f>
        <v>336791</v>
      </c>
      <c r="G123" s="56">
        <f>SUM(G98:G122)</f>
        <v>377006</v>
      </c>
      <c r="H123" s="57">
        <f>F123/G123*100</f>
        <v>89.33306101229158</v>
      </c>
      <c r="I123" s="56">
        <f>SUM(I98:I122)</f>
        <v>2010502</v>
      </c>
      <c r="J123" s="56">
        <f>SUM(J98:J122)</f>
        <v>1954769</v>
      </c>
      <c r="K123" s="57">
        <f>I123/J123*100</f>
        <v>102.85112972427943</v>
      </c>
      <c r="L123" s="56">
        <f>SUM(L98:L122)</f>
        <v>941188</v>
      </c>
      <c r="M123" s="56">
        <f>SUM(M98:M122)</f>
        <v>828506</v>
      </c>
      <c r="N123" s="57">
        <f>L123/M123*100</f>
        <v>113.60062570458149</v>
      </c>
      <c r="O123" s="56">
        <f>SUM(O98:O122)</f>
        <v>1871</v>
      </c>
      <c r="P123" s="57">
        <f>R123/O123</f>
        <v>62.591127739176912</v>
      </c>
      <c r="Q123" s="56">
        <f>SUM(Q98:Q122)</f>
        <v>1783</v>
      </c>
      <c r="R123" s="59">
        <f>SUM(R98:R122)</f>
        <v>117108</v>
      </c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x14ac:dyDescent="0.25">
      <c r="A124" s="85"/>
      <c r="B124" s="81"/>
      <c r="C124" s="196"/>
      <c r="D124" s="196"/>
      <c r="E124" s="196"/>
      <c r="F124" s="196"/>
      <c r="G124" s="196"/>
      <c r="H124" s="196"/>
      <c r="I124" s="196"/>
      <c r="J124" s="196"/>
      <c r="K124" s="196"/>
      <c r="L124" s="196"/>
      <c r="M124" s="196"/>
      <c r="N124" s="86"/>
      <c r="O124" s="196"/>
      <c r="P124" s="44"/>
      <c r="Q124" s="196"/>
      <c r="R124" s="45"/>
    </row>
    <row r="126" spans="1:91" s="145" customFormat="1" x14ac:dyDescent="0.25">
      <c r="A126" s="117"/>
      <c r="B126" s="117"/>
      <c r="C126" s="103"/>
      <c r="D126" s="103"/>
      <c r="E126" s="142"/>
      <c r="F126" s="103"/>
      <c r="G126" s="103"/>
      <c r="H126" s="142"/>
      <c r="I126" s="103"/>
      <c r="J126" s="103"/>
      <c r="K126" s="142"/>
      <c r="L126" s="103"/>
      <c r="M126" s="103"/>
      <c r="N126" s="142"/>
      <c r="O126" s="103"/>
      <c r="P126" s="142"/>
      <c r="Q126" s="103"/>
      <c r="R126" s="45">
        <f t="shared" ref="R126:R134" si="54">O126*P126</f>
        <v>0</v>
      </c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x14ac:dyDescent="0.25">
      <c r="A127" s="37"/>
      <c r="B127" s="37" t="s">
        <v>20</v>
      </c>
      <c r="C127" s="37">
        <v>3</v>
      </c>
      <c r="D127" s="37">
        <v>4</v>
      </c>
      <c r="E127" s="193">
        <v>5</v>
      </c>
      <c r="F127" s="37">
        <v>6</v>
      </c>
      <c r="G127" s="37">
        <v>7</v>
      </c>
      <c r="H127" s="37">
        <v>8</v>
      </c>
      <c r="I127" s="37">
        <v>9</v>
      </c>
      <c r="J127" s="37">
        <v>10</v>
      </c>
      <c r="K127" s="37">
        <v>11</v>
      </c>
      <c r="L127" s="37">
        <v>12</v>
      </c>
      <c r="M127" s="37">
        <v>13</v>
      </c>
      <c r="N127" s="37">
        <v>14</v>
      </c>
      <c r="O127" s="37">
        <v>15</v>
      </c>
      <c r="P127" s="193">
        <v>16</v>
      </c>
      <c r="Q127" s="37">
        <v>15</v>
      </c>
      <c r="R127" s="45">
        <f t="shared" si="54"/>
        <v>240</v>
      </c>
    </row>
    <row r="128" spans="1:91" x14ac:dyDescent="0.25">
      <c r="A128" s="50">
        <v>1</v>
      </c>
      <c r="B128" s="89" t="s">
        <v>110</v>
      </c>
      <c r="C128" s="90">
        <v>0</v>
      </c>
      <c r="D128" s="91">
        <v>0</v>
      </c>
      <c r="E128" s="47">
        <v>0</v>
      </c>
      <c r="F128" s="90">
        <v>0</v>
      </c>
      <c r="G128" s="51">
        <v>0</v>
      </c>
      <c r="H128" s="47">
        <v>0</v>
      </c>
      <c r="I128" s="51">
        <v>0</v>
      </c>
      <c r="J128" s="91">
        <v>0</v>
      </c>
      <c r="K128" s="47">
        <v>0</v>
      </c>
      <c r="L128" s="90">
        <v>0</v>
      </c>
      <c r="M128" s="91">
        <v>0</v>
      </c>
      <c r="N128" s="34">
        <v>0</v>
      </c>
      <c r="O128" s="196">
        <v>0</v>
      </c>
      <c r="P128" s="92">
        <v>0</v>
      </c>
      <c r="Q128" s="196">
        <v>0</v>
      </c>
      <c r="R128" s="45">
        <f t="shared" si="54"/>
        <v>0</v>
      </c>
    </row>
    <row r="129" spans="1:18" x14ac:dyDescent="0.25">
      <c r="A129" s="50">
        <v>2</v>
      </c>
      <c r="B129" s="89" t="s">
        <v>167</v>
      </c>
      <c r="C129" s="196">
        <v>168935</v>
      </c>
      <c r="D129" s="196">
        <v>63750</v>
      </c>
      <c r="E129" s="47">
        <f t="shared" ref="E129" si="55">C129/D129*100</f>
        <v>264.99607843137255</v>
      </c>
      <c r="F129" s="196">
        <v>23331</v>
      </c>
      <c r="G129" s="196">
        <v>27623</v>
      </c>
      <c r="H129" s="34">
        <f t="shared" ref="H129" si="56">F129/G129*100</f>
        <v>84.462223509394335</v>
      </c>
      <c r="I129" s="196">
        <v>202714</v>
      </c>
      <c r="J129" s="196">
        <v>55284</v>
      </c>
      <c r="K129" s="47">
        <f t="shared" ref="K129:K134" si="57">I129/J129*100</f>
        <v>366.67751971637364</v>
      </c>
      <c r="L129" s="196">
        <v>0</v>
      </c>
      <c r="M129" s="196">
        <v>0</v>
      </c>
      <c r="N129" s="34">
        <v>0</v>
      </c>
      <c r="O129" s="62">
        <v>81</v>
      </c>
      <c r="P129" s="44">
        <v>80</v>
      </c>
      <c r="Q129" s="196">
        <v>80</v>
      </c>
      <c r="R129" s="45">
        <f t="shared" si="54"/>
        <v>6480</v>
      </c>
    </row>
    <row r="130" spans="1:18" x14ac:dyDescent="0.25">
      <c r="A130" s="50">
        <v>3</v>
      </c>
      <c r="B130" s="89" t="s">
        <v>166</v>
      </c>
      <c r="C130" s="196">
        <v>0</v>
      </c>
      <c r="D130" s="196">
        <v>0</v>
      </c>
      <c r="E130" s="196">
        <v>0</v>
      </c>
      <c r="F130" s="196">
        <v>0</v>
      </c>
      <c r="G130" s="196">
        <v>0</v>
      </c>
      <c r="H130" s="196">
        <v>0</v>
      </c>
      <c r="I130" s="196">
        <v>0</v>
      </c>
      <c r="J130" s="196">
        <v>0</v>
      </c>
      <c r="K130" s="196">
        <v>0</v>
      </c>
      <c r="L130" s="196">
        <v>0</v>
      </c>
      <c r="M130" s="196">
        <v>0</v>
      </c>
      <c r="N130" s="86">
        <v>0</v>
      </c>
      <c r="O130" s="196">
        <v>0</v>
      </c>
      <c r="P130" s="44">
        <v>0</v>
      </c>
      <c r="Q130" s="196">
        <v>0</v>
      </c>
      <c r="R130" s="45">
        <f t="shared" si="54"/>
        <v>0</v>
      </c>
    </row>
    <row r="131" spans="1:18" x14ac:dyDescent="0.25">
      <c r="A131" s="50">
        <v>4</v>
      </c>
      <c r="B131" s="89" t="s">
        <v>111</v>
      </c>
      <c r="C131" s="196">
        <v>0</v>
      </c>
      <c r="D131" s="196">
        <v>0</v>
      </c>
      <c r="E131" s="196">
        <v>0</v>
      </c>
      <c r="F131" s="196">
        <v>0</v>
      </c>
      <c r="G131" s="196">
        <v>0</v>
      </c>
      <c r="H131" s="196">
        <v>0</v>
      </c>
      <c r="I131" s="196">
        <v>0</v>
      </c>
      <c r="J131" s="196">
        <v>0</v>
      </c>
      <c r="K131" s="196">
        <v>0</v>
      </c>
      <c r="L131" s="196">
        <v>0</v>
      </c>
      <c r="M131" s="196">
        <v>0</v>
      </c>
      <c r="N131" s="86">
        <v>0</v>
      </c>
      <c r="O131" s="196">
        <v>0</v>
      </c>
      <c r="P131" s="44">
        <v>0</v>
      </c>
      <c r="Q131" s="196">
        <v>0</v>
      </c>
      <c r="R131" s="45">
        <f t="shared" si="54"/>
        <v>0</v>
      </c>
    </row>
    <row r="132" spans="1:18" x14ac:dyDescent="0.25">
      <c r="A132" s="50">
        <v>5</v>
      </c>
      <c r="B132" s="93" t="s">
        <v>112</v>
      </c>
      <c r="C132" s="86">
        <v>2940</v>
      </c>
      <c r="D132" s="86">
        <v>481</v>
      </c>
      <c r="E132" s="47">
        <f t="shared" ref="E132" si="58">C132/D132*100</f>
        <v>611.22661122661123</v>
      </c>
      <c r="F132" s="86">
        <v>0</v>
      </c>
      <c r="G132" s="86">
        <v>0</v>
      </c>
      <c r="H132" s="47">
        <v>0</v>
      </c>
      <c r="I132" s="86">
        <v>4316</v>
      </c>
      <c r="J132" s="86">
        <v>7012</v>
      </c>
      <c r="K132" s="94">
        <f t="shared" ref="K132" si="59">I132/J132*100</f>
        <v>61.551625784369655</v>
      </c>
      <c r="L132" s="86">
        <v>0</v>
      </c>
      <c r="M132" s="86">
        <v>0</v>
      </c>
      <c r="N132" s="86">
        <v>0</v>
      </c>
      <c r="O132" s="62">
        <v>7</v>
      </c>
      <c r="P132" s="92">
        <v>45</v>
      </c>
      <c r="Q132" s="197">
        <v>7</v>
      </c>
      <c r="R132" s="45">
        <f t="shared" si="54"/>
        <v>315</v>
      </c>
    </row>
    <row r="133" spans="1:18" s="66" customFormat="1" x14ac:dyDescent="0.25">
      <c r="A133" s="50">
        <v>6</v>
      </c>
      <c r="B133" s="93" t="s">
        <v>113</v>
      </c>
      <c r="C133" s="86">
        <v>0</v>
      </c>
      <c r="D133" s="86">
        <v>0</v>
      </c>
      <c r="E133" s="94">
        <v>0</v>
      </c>
      <c r="F133" s="86">
        <v>0</v>
      </c>
      <c r="G133" s="86">
        <v>0</v>
      </c>
      <c r="H133" s="47">
        <v>0</v>
      </c>
      <c r="I133" s="95">
        <v>0</v>
      </c>
      <c r="J133" s="86">
        <v>0</v>
      </c>
      <c r="K133" s="94">
        <v>0</v>
      </c>
      <c r="L133" s="86">
        <v>0</v>
      </c>
      <c r="M133" s="86">
        <v>0</v>
      </c>
      <c r="N133" s="86">
        <v>0</v>
      </c>
      <c r="O133" s="196">
        <v>0</v>
      </c>
      <c r="P133" s="88">
        <v>60</v>
      </c>
      <c r="Q133" s="196"/>
      <c r="R133" s="45">
        <f t="shared" si="54"/>
        <v>0</v>
      </c>
    </row>
    <row r="134" spans="1:18" x14ac:dyDescent="0.25">
      <c r="A134" s="50">
        <v>7</v>
      </c>
      <c r="B134" s="89" t="s">
        <v>114</v>
      </c>
      <c r="C134" s="51">
        <v>11149</v>
      </c>
      <c r="D134" s="51">
        <v>17568</v>
      </c>
      <c r="E134" s="47">
        <f t="shared" ref="E134" si="60">C134/D134*100</f>
        <v>63.461976320582878</v>
      </c>
      <c r="F134" s="51">
        <v>1010</v>
      </c>
      <c r="G134" s="51">
        <v>1330</v>
      </c>
      <c r="H134" s="47">
        <f t="shared" ref="H134" si="61">F134/G134*100</f>
        <v>75.939849624060145</v>
      </c>
      <c r="I134" s="51">
        <v>11149</v>
      </c>
      <c r="J134" s="51">
        <v>17568</v>
      </c>
      <c r="K134" s="94">
        <f t="shared" si="57"/>
        <v>63.461976320582878</v>
      </c>
      <c r="L134" s="51">
        <v>0</v>
      </c>
      <c r="M134" s="51">
        <v>0</v>
      </c>
      <c r="N134" s="34">
        <v>0</v>
      </c>
      <c r="O134" s="62">
        <v>13</v>
      </c>
      <c r="P134" s="87">
        <v>50</v>
      </c>
      <c r="Q134" s="196">
        <v>13</v>
      </c>
      <c r="R134" s="45">
        <f t="shared" si="54"/>
        <v>650</v>
      </c>
    </row>
    <row r="135" spans="1:18" s="60" customFormat="1" x14ac:dyDescent="0.25">
      <c r="A135" s="315" t="s">
        <v>115</v>
      </c>
      <c r="B135" s="315" t="s">
        <v>115</v>
      </c>
      <c r="C135" s="56">
        <f>SUM(C128:C134)</f>
        <v>183024</v>
      </c>
      <c r="D135" s="56">
        <f>SUM(D128:D134)</f>
        <v>81799</v>
      </c>
      <c r="E135" s="57">
        <f>C135/D135*100</f>
        <v>223.74845658259881</v>
      </c>
      <c r="F135" s="56">
        <f>SUM(F128:F134)</f>
        <v>24341</v>
      </c>
      <c r="G135" s="56">
        <f>SUM(G128:G134)</f>
        <v>28953</v>
      </c>
      <c r="H135" s="57">
        <f>F135/G135*100</f>
        <v>84.070735329672232</v>
      </c>
      <c r="I135" s="56">
        <f>SUM(I128:I134)</f>
        <v>218179</v>
      </c>
      <c r="J135" s="56">
        <f>SUM(J128:J134)</f>
        <v>79864</v>
      </c>
      <c r="K135" s="57">
        <f>I135/J135*100</f>
        <v>273.18816988881099</v>
      </c>
      <c r="L135" s="56">
        <f>SUM(L128:L134)</f>
        <v>0</v>
      </c>
      <c r="M135" s="56">
        <f>SUM(M128:M134)</f>
        <v>0</v>
      </c>
      <c r="N135" s="58">
        <v>0</v>
      </c>
      <c r="O135" s="56">
        <f>SUM(O128:O134)</f>
        <v>101</v>
      </c>
      <c r="P135" s="58">
        <f>R135/O135</f>
        <v>73.712871287128706</v>
      </c>
      <c r="Q135" s="56">
        <f>SUM(Q128:Q134)</f>
        <v>100</v>
      </c>
      <c r="R135" s="59">
        <f>SUM(R128:R134)</f>
        <v>7445</v>
      </c>
    </row>
    <row r="136" spans="1:18" x14ac:dyDescent="0.25">
      <c r="A136" s="196"/>
      <c r="B136" s="196"/>
      <c r="C136" s="196"/>
      <c r="D136" s="196"/>
      <c r="E136" s="196"/>
      <c r="F136" s="196"/>
      <c r="G136" s="196"/>
      <c r="H136" s="196"/>
      <c r="I136" s="196"/>
      <c r="J136" s="196"/>
      <c r="K136" s="34"/>
      <c r="L136" s="196"/>
      <c r="M136" s="196"/>
      <c r="N136" s="196"/>
      <c r="O136" s="196"/>
      <c r="P136" s="62"/>
      <c r="Q136" s="196"/>
      <c r="R136" s="39"/>
    </row>
    <row r="137" spans="1:18" x14ac:dyDescent="0.25">
      <c r="A137" s="316" t="s">
        <v>208</v>
      </c>
      <c r="B137" s="317"/>
      <c r="C137" s="37">
        <v>3</v>
      </c>
      <c r="D137" s="37">
        <v>4</v>
      </c>
      <c r="E137" s="193">
        <v>5</v>
      </c>
      <c r="F137" s="37">
        <v>6</v>
      </c>
      <c r="G137" s="37">
        <v>7</v>
      </c>
      <c r="H137" s="37">
        <v>8</v>
      </c>
      <c r="I137" s="37">
        <v>9</v>
      </c>
      <c r="J137" s="37">
        <v>10</v>
      </c>
      <c r="K137" s="37">
        <v>11</v>
      </c>
      <c r="L137" s="37">
        <v>12</v>
      </c>
      <c r="M137" s="37">
        <v>13</v>
      </c>
      <c r="N137" s="37">
        <v>14</v>
      </c>
      <c r="O137" s="37">
        <v>15</v>
      </c>
      <c r="P137" s="193">
        <v>16</v>
      </c>
      <c r="Q137" s="37">
        <v>15</v>
      </c>
      <c r="R137" s="31"/>
    </row>
    <row r="138" spans="1:18" x14ac:dyDescent="0.25">
      <c r="A138" s="96">
        <v>1</v>
      </c>
      <c r="B138" s="78" t="s">
        <v>117</v>
      </c>
      <c r="C138" s="62">
        <v>67621043</v>
      </c>
      <c r="D138" s="62">
        <v>58974552</v>
      </c>
      <c r="E138" s="47">
        <f t="shared" ref="E138:E141" si="62">C138/D138*100</f>
        <v>114.66139327349192</v>
      </c>
      <c r="F138" s="62">
        <v>10557485</v>
      </c>
      <c r="G138" s="62">
        <v>8768939</v>
      </c>
      <c r="H138" s="47">
        <f>F138/G138*100</f>
        <v>120.39637862687836</v>
      </c>
      <c r="I138" s="96">
        <v>66733427</v>
      </c>
      <c r="J138" s="96">
        <v>57777726</v>
      </c>
      <c r="K138" s="47">
        <f>I138/J138*100</f>
        <v>115.50026562139189</v>
      </c>
      <c r="L138" s="96">
        <v>31397424</v>
      </c>
      <c r="M138" s="96">
        <v>26568723</v>
      </c>
      <c r="N138" s="47">
        <f>L138/M138*100</f>
        <v>118.17438120755747</v>
      </c>
      <c r="O138" s="196">
        <v>2945</v>
      </c>
      <c r="P138" s="62">
        <v>145</v>
      </c>
      <c r="Q138" s="196">
        <v>2945</v>
      </c>
      <c r="R138" s="45">
        <f t="shared" ref="R138:R142" si="63">O138*P138</f>
        <v>427025</v>
      </c>
    </row>
    <row r="139" spans="1:18" x14ac:dyDescent="0.25">
      <c r="A139" s="96">
        <v>2</v>
      </c>
      <c r="B139" s="78" t="s">
        <v>118</v>
      </c>
      <c r="C139" s="62">
        <v>15458035</v>
      </c>
      <c r="D139" s="62">
        <v>14209433</v>
      </c>
      <c r="E139" s="47">
        <f t="shared" si="62"/>
        <v>108.78713457461673</v>
      </c>
      <c r="F139" s="62">
        <v>2388924</v>
      </c>
      <c r="G139" s="62">
        <v>2153059</v>
      </c>
      <c r="H139" s="47">
        <f t="shared" ref="H139:H141" si="64">F139/G139*100</f>
        <v>110.95487861688882</v>
      </c>
      <c r="I139" s="96">
        <v>13418319</v>
      </c>
      <c r="J139" s="96">
        <v>18942785</v>
      </c>
      <c r="K139" s="47">
        <f t="shared" ref="K139:K141" si="65">I139/J139*100</f>
        <v>70.836041268482958</v>
      </c>
      <c r="L139" s="196">
        <v>13418319</v>
      </c>
      <c r="M139" s="196">
        <v>12942785</v>
      </c>
      <c r="N139" s="47">
        <f t="shared" ref="N139:N141" si="66">L139/M139*100</f>
        <v>103.67412423214941</v>
      </c>
      <c r="O139" s="196">
        <v>940</v>
      </c>
      <c r="P139" s="62">
        <v>120</v>
      </c>
      <c r="Q139" s="196">
        <v>934</v>
      </c>
      <c r="R139" s="45">
        <f t="shared" si="63"/>
        <v>112800</v>
      </c>
    </row>
    <row r="140" spans="1:18" s="66" customFormat="1" x14ac:dyDescent="0.25">
      <c r="A140" s="96">
        <v>3</v>
      </c>
      <c r="B140" s="78" t="s">
        <v>119</v>
      </c>
      <c r="C140" s="62">
        <v>13789037</v>
      </c>
      <c r="D140" s="62">
        <v>16322646</v>
      </c>
      <c r="E140" s="47">
        <f t="shared" si="62"/>
        <v>84.477951675236966</v>
      </c>
      <c r="F140" s="62">
        <v>1593716</v>
      </c>
      <c r="G140" s="62">
        <v>2452305</v>
      </c>
      <c r="H140" s="47">
        <f t="shared" si="64"/>
        <v>64.988490420237284</v>
      </c>
      <c r="I140" s="96">
        <v>8892578</v>
      </c>
      <c r="J140" s="96">
        <v>14662638</v>
      </c>
      <c r="K140" s="47">
        <f t="shared" si="65"/>
        <v>60.647872504251964</v>
      </c>
      <c r="L140" s="96">
        <v>8892578</v>
      </c>
      <c r="M140" s="96">
        <v>14662838</v>
      </c>
      <c r="N140" s="47">
        <f t="shared" si="66"/>
        <v>60.647045271863462</v>
      </c>
      <c r="O140" s="196">
        <v>1205</v>
      </c>
      <c r="P140" s="76">
        <v>306</v>
      </c>
      <c r="Q140" s="196">
        <v>1205</v>
      </c>
      <c r="R140" s="45">
        <f t="shared" si="63"/>
        <v>368730</v>
      </c>
    </row>
    <row r="141" spans="1:18" x14ac:dyDescent="0.25">
      <c r="A141" s="96">
        <v>4</v>
      </c>
      <c r="B141" s="78" t="s">
        <v>120</v>
      </c>
      <c r="C141" s="76">
        <v>2805287</v>
      </c>
      <c r="D141" s="76">
        <v>4341794</v>
      </c>
      <c r="E141" s="47">
        <f t="shared" si="62"/>
        <v>64.611241344015852</v>
      </c>
      <c r="F141" s="197">
        <v>460920</v>
      </c>
      <c r="G141" s="197">
        <v>796057</v>
      </c>
      <c r="H141" s="47">
        <f t="shared" si="64"/>
        <v>57.90037648057865</v>
      </c>
      <c r="I141" s="196">
        <v>2539190</v>
      </c>
      <c r="J141" s="196">
        <v>4224929</v>
      </c>
      <c r="K141" s="47">
        <f t="shared" si="65"/>
        <v>60.10018156518133</v>
      </c>
      <c r="L141" s="197">
        <v>2539190</v>
      </c>
      <c r="M141" s="197">
        <v>4224929</v>
      </c>
      <c r="N141" s="47">
        <f t="shared" si="66"/>
        <v>60.10018156518133</v>
      </c>
      <c r="O141" s="196">
        <v>559</v>
      </c>
      <c r="P141" s="62">
        <v>150</v>
      </c>
      <c r="Q141" s="196">
        <v>551</v>
      </c>
      <c r="R141" s="45">
        <f t="shared" si="63"/>
        <v>83850</v>
      </c>
    </row>
    <row r="142" spans="1:18" x14ac:dyDescent="0.25">
      <c r="A142" s="96">
        <v>5</v>
      </c>
      <c r="B142" s="78" t="s">
        <v>203</v>
      </c>
      <c r="C142" s="196">
        <v>0</v>
      </c>
      <c r="D142" s="196">
        <v>0</v>
      </c>
      <c r="E142" s="43">
        <v>0</v>
      </c>
      <c r="F142" s="196">
        <v>0</v>
      </c>
      <c r="G142" s="196">
        <v>0</v>
      </c>
      <c r="H142" s="43">
        <v>0</v>
      </c>
      <c r="I142" s="196">
        <v>0</v>
      </c>
      <c r="J142" s="196">
        <v>0</v>
      </c>
      <c r="K142" s="43">
        <v>0</v>
      </c>
      <c r="L142" s="196">
        <v>0</v>
      </c>
      <c r="M142" s="196">
        <v>0</v>
      </c>
      <c r="N142" s="47">
        <v>0</v>
      </c>
      <c r="O142" s="196">
        <v>0</v>
      </c>
      <c r="P142" s="44">
        <v>0</v>
      </c>
      <c r="Q142" s="196">
        <v>0</v>
      </c>
      <c r="R142" s="45">
        <f t="shared" si="63"/>
        <v>0</v>
      </c>
    </row>
    <row r="143" spans="1:18" s="60" customFormat="1" x14ac:dyDescent="0.25">
      <c r="A143" s="315" t="s">
        <v>207</v>
      </c>
      <c r="B143" s="315" t="s">
        <v>133</v>
      </c>
      <c r="C143" s="58">
        <f>SUM(C138:C142)</f>
        <v>99673402</v>
      </c>
      <c r="D143" s="58">
        <f>SUM(D138:D142)</f>
        <v>93848425</v>
      </c>
      <c r="E143" s="57">
        <f>C143/D143*100</f>
        <v>106.20679249545211</v>
      </c>
      <c r="F143" s="58">
        <f t="shared" ref="F143:G143" si="67">SUM(F138:F142)</f>
        <v>15001045</v>
      </c>
      <c r="G143" s="58">
        <f t="shared" si="67"/>
        <v>14170360</v>
      </c>
      <c r="H143" s="57">
        <f>F143/G143*100</f>
        <v>105.8621305316167</v>
      </c>
      <c r="I143" s="58">
        <f t="shared" ref="I143" si="68">SUM(I138:I142)</f>
        <v>91583514</v>
      </c>
      <c r="J143" s="58">
        <f t="shared" ref="J143" si="69">SUM(J138:J142)</f>
        <v>95608078</v>
      </c>
      <c r="K143" s="57">
        <f>I143/J143*100</f>
        <v>95.79056070973418</v>
      </c>
      <c r="L143" s="58">
        <f t="shared" ref="L143:M143" si="70">SUM(L138:L142)</f>
        <v>56247511</v>
      </c>
      <c r="M143" s="58">
        <f t="shared" si="70"/>
        <v>58399275</v>
      </c>
      <c r="N143" s="57">
        <f>L143/M143*100</f>
        <v>96.315426861035519</v>
      </c>
      <c r="O143" s="58">
        <f t="shared" ref="O143" si="71">SUM(O138:O142)</f>
        <v>5649</v>
      </c>
      <c r="P143" s="58">
        <f>R143/O143</f>
        <v>175.6779961055054</v>
      </c>
      <c r="Q143" s="58">
        <f t="shared" ref="Q143:R143" si="72">SUM(Q138:Q142)</f>
        <v>5635</v>
      </c>
      <c r="R143" s="58">
        <f t="shared" si="72"/>
        <v>992405</v>
      </c>
    </row>
    <row r="144" spans="1:18" s="208" customFormat="1" x14ac:dyDescent="0.25">
      <c r="A144" s="203"/>
      <c r="B144" s="203"/>
      <c r="C144" s="204"/>
      <c r="D144" s="204"/>
      <c r="E144" s="205"/>
      <c r="F144" s="206"/>
      <c r="G144" s="206"/>
      <c r="H144" s="205"/>
      <c r="I144" s="206"/>
      <c r="J144" s="206"/>
      <c r="K144" s="205"/>
      <c r="L144" s="206"/>
      <c r="M144" s="206"/>
      <c r="N144" s="205"/>
      <c r="O144" s="206"/>
      <c r="P144" s="204"/>
      <c r="Q144" s="206"/>
      <c r="R144" s="207"/>
    </row>
    <row r="145" spans="1:18" s="208" customFormat="1" x14ac:dyDescent="0.25">
      <c r="A145" s="203"/>
      <c r="B145" s="203" t="s">
        <v>204</v>
      </c>
      <c r="C145" s="37">
        <v>3</v>
      </c>
      <c r="D145" s="37">
        <v>4</v>
      </c>
      <c r="E145" s="200">
        <v>5</v>
      </c>
      <c r="F145" s="37">
        <v>6</v>
      </c>
      <c r="G145" s="37">
        <v>7</v>
      </c>
      <c r="H145" s="37">
        <v>8</v>
      </c>
      <c r="I145" s="37">
        <v>9</v>
      </c>
      <c r="J145" s="37">
        <v>10</v>
      </c>
      <c r="K145" s="37">
        <v>11</v>
      </c>
      <c r="L145" s="37">
        <v>12</v>
      </c>
      <c r="M145" s="37">
        <v>13</v>
      </c>
      <c r="N145" s="37">
        <v>14</v>
      </c>
      <c r="O145" s="37">
        <v>15</v>
      </c>
      <c r="P145" s="200">
        <v>16</v>
      </c>
      <c r="Q145" s="37">
        <v>15</v>
      </c>
      <c r="R145" s="207"/>
    </row>
    <row r="146" spans="1:18" x14ac:dyDescent="0.25">
      <c r="A146" s="96">
        <v>6</v>
      </c>
      <c r="B146" s="78" t="s">
        <v>122</v>
      </c>
      <c r="C146" s="62">
        <v>11919210</v>
      </c>
      <c r="D146" s="62">
        <v>12425687</v>
      </c>
      <c r="E146" s="47">
        <f t="shared" ref="E146:E151" si="73">C146/D146*100</f>
        <v>95.923951729992879</v>
      </c>
      <c r="F146" s="62">
        <v>1913187</v>
      </c>
      <c r="G146" s="62">
        <v>1699499</v>
      </c>
      <c r="H146" s="47">
        <f t="shared" ref="H146:H151" si="74">F146/G146*100</f>
        <v>112.57358786324676</v>
      </c>
      <c r="I146" s="96">
        <v>11882372</v>
      </c>
      <c r="J146" s="96">
        <v>12344753</v>
      </c>
      <c r="K146" s="47">
        <f t="shared" ref="K146:K151" si="75">I146/J146*100</f>
        <v>96.254432956252742</v>
      </c>
      <c r="L146" s="96">
        <v>11882372</v>
      </c>
      <c r="M146" s="96">
        <v>12344753</v>
      </c>
      <c r="N146" s="47">
        <f>L146/M146*100</f>
        <v>96.254432956252742</v>
      </c>
      <c r="O146" s="196">
        <v>469</v>
      </c>
      <c r="P146" s="76">
        <v>150</v>
      </c>
      <c r="Q146" s="196">
        <v>468</v>
      </c>
      <c r="R146" s="45">
        <f t="shared" ref="R146:R152" si="76">O146*P146</f>
        <v>70350</v>
      </c>
    </row>
    <row r="147" spans="1:18" x14ac:dyDescent="0.25">
      <c r="A147" s="96">
        <v>10</v>
      </c>
      <c r="B147" s="78" t="s">
        <v>126</v>
      </c>
      <c r="C147" s="76">
        <v>24282150</v>
      </c>
      <c r="D147" s="76">
        <v>26278634</v>
      </c>
      <c r="E147" s="47">
        <f t="shared" si="73"/>
        <v>92.40263401819135</v>
      </c>
      <c r="F147" s="76">
        <v>2857122</v>
      </c>
      <c r="G147" s="76">
        <v>3748148</v>
      </c>
      <c r="H147" s="47">
        <f t="shared" si="74"/>
        <v>76.227566254053997</v>
      </c>
      <c r="I147" s="196">
        <v>23966133</v>
      </c>
      <c r="J147" s="196">
        <v>26871241</v>
      </c>
      <c r="K147" s="47">
        <f t="shared" si="75"/>
        <v>89.188783651637081</v>
      </c>
      <c r="L147" s="196">
        <v>23893862</v>
      </c>
      <c r="M147" s="196">
        <v>26835888</v>
      </c>
      <c r="N147" s="47">
        <f>L147/M147*100</f>
        <v>89.036971685080815</v>
      </c>
      <c r="O147" s="196">
        <v>668</v>
      </c>
      <c r="P147" s="62">
        <v>134</v>
      </c>
      <c r="Q147" s="196">
        <v>666</v>
      </c>
      <c r="R147" s="45">
        <f t="shared" si="76"/>
        <v>89512</v>
      </c>
    </row>
    <row r="148" spans="1:18" x14ac:dyDescent="0.25">
      <c r="A148" s="96">
        <v>11</v>
      </c>
      <c r="B148" s="78" t="s">
        <v>127</v>
      </c>
      <c r="C148" s="62">
        <v>17699015</v>
      </c>
      <c r="D148" s="62">
        <v>18232341</v>
      </c>
      <c r="E148" s="47">
        <f t="shared" si="73"/>
        <v>97.074835315991521</v>
      </c>
      <c r="F148" s="196">
        <v>2719587</v>
      </c>
      <c r="G148" s="196">
        <v>2336144</v>
      </c>
      <c r="H148" s="47">
        <f t="shared" si="74"/>
        <v>116.41350019519345</v>
      </c>
      <c r="I148" s="196">
        <v>17926262</v>
      </c>
      <c r="J148" s="196">
        <v>17996399</v>
      </c>
      <c r="K148" s="47">
        <f t="shared" si="75"/>
        <v>99.610272032754992</v>
      </c>
      <c r="L148" s="197">
        <v>17926262</v>
      </c>
      <c r="M148" s="197">
        <v>17996399</v>
      </c>
      <c r="N148" s="47">
        <f>L148/M148*100</f>
        <v>99.610272032754992</v>
      </c>
      <c r="O148" s="196">
        <v>169</v>
      </c>
      <c r="P148" s="62">
        <v>168</v>
      </c>
      <c r="Q148" s="196">
        <v>558</v>
      </c>
      <c r="R148" s="45">
        <f t="shared" si="76"/>
        <v>28392</v>
      </c>
    </row>
    <row r="149" spans="1:18" x14ac:dyDescent="0.25">
      <c r="A149" s="96">
        <v>14</v>
      </c>
      <c r="B149" s="78" t="s">
        <v>130</v>
      </c>
      <c r="C149" s="76">
        <v>2395239</v>
      </c>
      <c r="D149" s="76">
        <v>1578764</v>
      </c>
      <c r="E149" s="47">
        <f t="shared" si="73"/>
        <v>151.71608929517015</v>
      </c>
      <c r="F149" s="96">
        <v>362116</v>
      </c>
      <c r="G149" s="96">
        <v>248702</v>
      </c>
      <c r="H149" s="47">
        <f t="shared" si="74"/>
        <v>145.60236749201857</v>
      </c>
      <c r="I149" s="96">
        <v>2342797</v>
      </c>
      <c r="J149" s="96">
        <v>1640112</v>
      </c>
      <c r="K149" s="47">
        <f t="shared" si="75"/>
        <v>142.84372042884877</v>
      </c>
      <c r="L149" s="96">
        <v>0</v>
      </c>
      <c r="M149" s="96">
        <v>0</v>
      </c>
      <c r="N149" s="47">
        <v>0</v>
      </c>
      <c r="O149" s="196">
        <v>313</v>
      </c>
      <c r="P149" s="76">
        <v>58</v>
      </c>
      <c r="Q149" s="196">
        <v>312</v>
      </c>
      <c r="R149" s="45">
        <f t="shared" si="76"/>
        <v>18154</v>
      </c>
    </row>
    <row r="150" spans="1:18" s="66" customFormat="1" x14ac:dyDescent="0.25">
      <c r="A150" s="96">
        <v>9</v>
      </c>
      <c r="B150" s="78" t="s">
        <v>125</v>
      </c>
      <c r="C150" s="76">
        <v>16573938</v>
      </c>
      <c r="D150" s="76">
        <v>10641927</v>
      </c>
      <c r="E150" s="47">
        <f t="shared" si="73"/>
        <v>155.74188772390565</v>
      </c>
      <c r="F150" s="196">
        <v>2640349</v>
      </c>
      <c r="G150" s="196">
        <v>2157643</v>
      </c>
      <c r="H150" s="47">
        <f t="shared" si="74"/>
        <v>122.37191231357552</v>
      </c>
      <c r="I150" s="196">
        <v>16945063</v>
      </c>
      <c r="J150" s="196">
        <v>9898630</v>
      </c>
      <c r="K150" s="47">
        <f t="shared" si="75"/>
        <v>171.18594189296903</v>
      </c>
      <c r="L150" s="196">
        <v>16945063</v>
      </c>
      <c r="M150" s="196">
        <v>9898630</v>
      </c>
      <c r="N150" s="47">
        <f>L150/M150*100</f>
        <v>171.18594189296903</v>
      </c>
      <c r="O150" s="196">
        <v>905</v>
      </c>
      <c r="P150" s="62">
        <v>100</v>
      </c>
      <c r="Q150" s="196">
        <v>902</v>
      </c>
      <c r="R150" s="45">
        <f>O150*P150</f>
        <v>90500</v>
      </c>
    </row>
    <row r="151" spans="1:18" x14ac:dyDescent="0.25">
      <c r="A151" s="96">
        <v>15</v>
      </c>
      <c r="B151" s="78" t="s">
        <v>131</v>
      </c>
      <c r="C151" s="62">
        <v>18715847</v>
      </c>
      <c r="D151" s="62">
        <v>19500191</v>
      </c>
      <c r="E151" s="47">
        <f t="shared" si="73"/>
        <v>95.977762474223965</v>
      </c>
      <c r="F151" s="196">
        <v>2829824</v>
      </c>
      <c r="G151" s="196">
        <v>2105948</v>
      </c>
      <c r="H151" s="47">
        <f t="shared" si="74"/>
        <v>134.37292848636341</v>
      </c>
      <c r="I151" s="196">
        <v>16960752</v>
      </c>
      <c r="J151" s="196">
        <v>19251419</v>
      </c>
      <c r="K151" s="47">
        <f t="shared" si="75"/>
        <v>88.101308272392814</v>
      </c>
      <c r="L151" s="196">
        <v>16893606</v>
      </c>
      <c r="M151" s="196">
        <v>19183985</v>
      </c>
      <c r="N151" s="47">
        <f>L151/M151*100</f>
        <v>88.060984201144862</v>
      </c>
      <c r="O151" s="196">
        <v>647</v>
      </c>
      <c r="P151" s="62">
        <v>130</v>
      </c>
      <c r="Q151" s="196">
        <v>648</v>
      </c>
      <c r="R151" s="45">
        <f t="shared" si="76"/>
        <v>84110</v>
      </c>
    </row>
    <row r="152" spans="1:18" x14ac:dyDescent="0.25">
      <c r="A152" s="96">
        <v>13</v>
      </c>
      <c r="B152" s="78" t="s">
        <v>129</v>
      </c>
      <c r="C152" s="196">
        <v>0</v>
      </c>
      <c r="D152" s="196">
        <v>0</v>
      </c>
      <c r="E152" s="43">
        <v>0</v>
      </c>
      <c r="F152" s="196">
        <v>0</v>
      </c>
      <c r="G152" s="196">
        <v>0</v>
      </c>
      <c r="H152" s="43">
        <v>0</v>
      </c>
      <c r="I152" s="196">
        <v>0</v>
      </c>
      <c r="J152" s="196">
        <v>0</v>
      </c>
      <c r="K152" s="43">
        <v>0</v>
      </c>
      <c r="L152" s="196">
        <v>0</v>
      </c>
      <c r="M152" s="196">
        <v>0</v>
      </c>
      <c r="N152" s="47">
        <v>0</v>
      </c>
      <c r="O152" s="196">
        <v>0</v>
      </c>
      <c r="P152" s="44">
        <v>0</v>
      </c>
      <c r="Q152" s="196">
        <v>0</v>
      </c>
      <c r="R152" s="45">
        <f t="shared" si="76"/>
        <v>0</v>
      </c>
    </row>
    <row r="153" spans="1:18" s="60" customFormat="1" x14ac:dyDescent="0.25">
      <c r="A153" s="315" t="s">
        <v>205</v>
      </c>
      <c r="B153" s="315" t="s">
        <v>133</v>
      </c>
      <c r="C153" s="58">
        <f>SUM(C146:C152)</f>
        <v>91585399</v>
      </c>
      <c r="D153" s="58">
        <f>SUM(D146:D152)</f>
        <v>88657544</v>
      </c>
      <c r="E153" s="57">
        <f>C153/D153*100</f>
        <v>103.30243188329243</v>
      </c>
      <c r="F153" s="58">
        <f>SUM(F146:F152)</f>
        <v>13322185</v>
      </c>
      <c r="G153" s="58">
        <f>SUM(G146:G152)</f>
        <v>12296084</v>
      </c>
      <c r="H153" s="57">
        <f>F153/G153*100</f>
        <v>108.344941365072</v>
      </c>
      <c r="I153" s="58">
        <f>SUM(I146:I152)</f>
        <v>90023379</v>
      </c>
      <c r="J153" s="58">
        <f>SUM(J146:J152)</f>
        <v>88002554</v>
      </c>
      <c r="K153" s="57">
        <f>I153/J153*100</f>
        <v>102.29632539982873</v>
      </c>
      <c r="L153" s="58">
        <f>SUM(L146:L152)</f>
        <v>87541165</v>
      </c>
      <c r="M153" s="58">
        <f>SUM(M146:M152)</f>
        <v>86259655</v>
      </c>
      <c r="N153" s="57">
        <f>L153/M153*100</f>
        <v>101.48564238982871</v>
      </c>
      <c r="O153" s="56">
        <f>SUM(O146:O152)</f>
        <v>3171</v>
      </c>
      <c r="P153" s="58">
        <f>R153/O153</f>
        <v>120.15704824976348</v>
      </c>
      <c r="Q153" s="56">
        <f>SUM(Q146:Q152)</f>
        <v>3554</v>
      </c>
      <c r="R153" s="59">
        <f>SUM(R146:R152)</f>
        <v>381018</v>
      </c>
    </row>
    <row r="154" spans="1:18" s="211" customFormat="1" x14ac:dyDescent="0.25">
      <c r="A154" s="353" t="s">
        <v>206</v>
      </c>
      <c r="B154" s="353" t="s">
        <v>70</v>
      </c>
      <c r="C154" s="209">
        <f>C143+C153</f>
        <v>191258801</v>
      </c>
      <c r="D154" s="209">
        <f>D143+D153</f>
        <v>182505969</v>
      </c>
      <c r="E154" s="210">
        <f>C154/D154*100</f>
        <v>104.79591546948252</v>
      </c>
      <c r="F154" s="209">
        <f>F143+F153</f>
        <v>28323230</v>
      </c>
      <c r="G154" s="209">
        <f>G143+G153</f>
        <v>26466444</v>
      </c>
      <c r="H154" s="210">
        <f>F154/G154*100</f>
        <v>107.01562325486566</v>
      </c>
      <c r="I154" s="209">
        <f>I143+I153</f>
        <v>181606893</v>
      </c>
      <c r="J154" s="209">
        <f>J143+J153</f>
        <v>183610632</v>
      </c>
      <c r="K154" s="210">
        <f>I154/J154*100</f>
        <v>98.908702084310676</v>
      </c>
      <c r="L154" s="209">
        <f>L143+L153</f>
        <v>143788676</v>
      </c>
      <c r="M154" s="209">
        <f>M143+M153</f>
        <v>144658930</v>
      </c>
      <c r="N154" s="210">
        <f>L154/M154*100</f>
        <v>99.398409762881556</v>
      </c>
      <c r="O154" s="209">
        <f>O143+O153</f>
        <v>8820</v>
      </c>
      <c r="P154" s="210">
        <f>R154/O154</f>
        <v>155.71689342403627</v>
      </c>
      <c r="Q154" s="209">
        <f>Q143+Q153</f>
        <v>9189</v>
      </c>
      <c r="R154" s="209">
        <f>R143+R153</f>
        <v>1373423</v>
      </c>
    </row>
    <row r="155" spans="1:18" s="208" customFormat="1" x14ac:dyDescent="0.25">
      <c r="A155" s="203"/>
      <c r="B155" s="203"/>
      <c r="C155" s="204"/>
      <c r="D155" s="204"/>
      <c r="E155" s="205"/>
      <c r="F155" s="206"/>
      <c r="G155" s="206"/>
      <c r="H155" s="205"/>
      <c r="I155" s="206"/>
      <c r="J155" s="206"/>
      <c r="K155" s="205"/>
      <c r="L155" s="206"/>
      <c r="M155" s="206"/>
      <c r="N155" s="205"/>
      <c r="O155" s="206"/>
      <c r="P155" s="204"/>
      <c r="Q155" s="206"/>
      <c r="R155" s="207"/>
    </row>
    <row r="156" spans="1:18" x14ac:dyDescent="0.25">
      <c r="A156" s="23"/>
      <c r="B156" s="23"/>
      <c r="C156" s="31"/>
      <c r="D156" s="31"/>
      <c r="E156" s="223"/>
      <c r="F156" s="31"/>
      <c r="G156" s="31"/>
      <c r="H156" s="223"/>
      <c r="I156" s="31"/>
      <c r="J156" s="31"/>
      <c r="K156" s="74"/>
      <c r="L156" s="31"/>
      <c r="M156" s="31"/>
      <c r="N156" s="223"/>
      <c r="O156" s="224"/>
      <c r="P156" s="225"/>
      <c r="Q156" s="224"/>
      <c r="R156" s="31"/>
    </row>
    <row r="157" spans="1:18" x14ac:dyDescent="0.25">
      <c r="A157" s="99"/>
      <c r="B157" s="99" t="s">
        <v>13</v>
      </c>
      <c r="C157" s="37">
        <v>3</v>
      </c>
      <c r="D157" s="37">
        <v>4</v>
      </c>
      <c r="E157" s="202">
        <v>5</v>
      </c>
      <c r="F157" s="37">
        <v>6</v>
      </c>
      <c r="G157" s="37">
        <v>7</v>
      </c>
      <c r="H157" s="37">
        <v>8</v>
      </c>
      <c r="I157" s="37">
        <v>9</v>
      </c>
      <c r="J157" s="37">
        <v>10</v>
      </c>
      <c r="K157" s="37">
        <v>11</v>
      </c>
      <c r="L157" s="37">
        <v>12</v>
      </c>
      <c r="M157" s="37">
        <v>13</v>
      </c>
      <c r="N157" s="37">
        <v>14</v>
      </c>
      <c r="O157" s="37">
        <v>15</v>
      </c>
      <c r="P157" s="202">
        <v>16</v>
      </c>
      <c r="Q157" s="37">
        <v>15</v>
      </c>
      <c r="R157" s="100"/>
    </row>
    <row r="158" spans="1:18" x14ac:dyDescent="0.25">
      <c r="A158" s="96">
        <v>1</v>
      </c>
      <c r="B158" s="84" t="s">
        <v>134</v>
      </c>
      <c r="C158" s="96">
        <v>38667</v>
      </c>
      <c r="D158" s="96">
        <v>58598</v>
      </c>
      <c r="E158" s="47">
        <f>C158/D158*100</f>
        <v>65.98689375063995</v>
      </c>
      <c r="F158" s="34">
        <v>8067</v>
      </c>
      <c r="G158" s="96">
        <v>7076</v>
      </c>
      <c r="H158" s="47">
        <f>F158/G158*100</f>
        <v>114.00508762012436</v>
      </c>
      <c r="I158" s="96">
        <v>38667</v>
      </c>
      <c r="J158" s="96">
        <v>58598</v>
      </c>
      <c r="K158" s="47">
        <f t="shared" ref="K158:K162" si="77">I158/J158*100</f>
        <v>65.98689375063995</v>
      </c>
      <c r="L158" s="96">
        <v>0</v>
      </c>
      <c r="M158" s="96">
        <v>0</v>
      </c>
      <c r="N158" s="47">
        <v>0</v>
      </c>
      <c r="O158" s="96">
        <v>52</v>
      </c>
      <c r="P158" s="76">
        <v>76</v>
      </c>
      <c r="Q158" s="96">
        <v>53</v>
      </c>
      <c r="R158" s="45">
        <f t="shared" ref="R158:R162" si="78">O158*P158</f>
        <v>3952</v>
      </c>
    </row>
    <row r="159" spans="1:18" s="66" customFormat="1" x14ac:dyDescent="0.25">
      <c r="A159" s="96">
        <v>2</v>
      </c>
      <c r="B159" s="84" t="s">
        <v>135</v>
      </c>
      <c r="C159" s="51">
        <v>2672309</v>
      </c>
      <c r="D159" s="51">
        <v>3503090</v>
      </c>
      <c r="E159" s="47">
        <f t="shared" ref="E159:E162" si="79">C159/D159*100</f>
        <v>76.284337541998639</v>
      </c>
      <c r="F159" s="51">
        <v>488478</v>
      </c>
      <c r="G159" s="51">
        <v>543865</v>
      </c>
      <c r="H159" s="47">
        <f t="shared" ref="H159:H162" si="80">F159/G159*100</f>
        <v>89.816038906713985</v>
      </c>
      <c r="I159" s="51">
        <v>2905495</v>
      </c>
      <c r="J159" s="51">
        <v>3506816</v>
      </c>
      <c r="K159" s="47">
        <f t="shared" si="77"/>
        <v>82.852792960908133</v>
      </c>
      <c r="L159" s="51">
        <v>979712</v>
      </c>
      <c r="M159" s="51">
        <v>1392744</v>
      </c>
      <c r="N159" s="47">
        <f t="shared" ref="N159:N161" si="81">L159/M159*100</f>
        <v>70.344011534065118</v>
      </c>
      <c r="O159" s="96">
        <v>505</v>
      </c>
      <c r="P159" s="76">
        <v>110</v>
      </c>
      <c r="Q159" s="96">
        <v>508</v>
      </c>
      <c r="R159" s="45">
        <f t="shared" si="78"/>
        <v>55550</v>
      </c>
    </row>
    <row r="160" spans="1:18" x14ac:dyDescent="0.25">
      <c r="A160" s="96">
        <v>3</v>
      </c>
      <c r="B160" s="84" t="s">
        <v>136</v>
      </c>
      <c r="C160" s="196">
        <v>0</v>
      </c>
      <c r="D160" s="196">
        <v>0</v>
      </c>
      <c r="E160" s="43">
        <v>0</v>
      </c>
      <c r="F160" s="196">
        <v>0</v>
      </c>
      <c r="G160" s="196">
        <v>0</v>
      </c>
      <c r="H160" s="43">
        <v>0</v>
      </c>
      <c r="I160" s="196">
        <v>0</v>
      </c>
      <c r="J160" s="196">
        <v>0</v>
      </c>
      <c r="K160" s="43">
        <v>0</v>
      </c>
      <c r="L160" s="196">
        <v>0</v>
      </c>
      <c r="M160" s="196">
        <v>0</v>
      </c>
      <c r="N160" s="47">
        <v>0</v>
      </c>
      <c r="O160" s="196">
        <v>0</v>
      </c>
      <c r="P160" s="44">
        <v>0</v>
      </c>
      <c r="Q160" s="196">
        <v>0</v>
      </c>
      <c r="R160" s="45">
        <f t="shared" si="78"/>
        <v>0</v>
      </c>
    </row>
    <row r="161" spans="1:18" x14ac:dyDescent="0.25">
      <c r="A161" s="96">
        <v>4</v>
      </c>
      <c r="B161" s="84" t="s">
        <v>137</v>
      </c>
      <c r="C161" s="96">
        <v>2042541</v>
      </c>
      <c r="D161" s="96">
        <v>2017650</v>
      </c>
      <c r="E161" s="47">
        <f t="shared" si="79"/>
        <v>101.23366292468961</v>
      </c>
      <c r="F161" s="96">
        <v>390656</v>
      </c>
      <c r="G161" s="101">
        <v>269835</v>
      </c>
      <c r="H161" s="47">
        <f t="shared" si="80"/>
        <v>144.77588155724794</v>
      </c>
      <c r="I161" s="101">
        <v>2077237</v>
      </c>
      <c r="J161" s="101">
        <v>1349187</v>
      </c>
      <c r="K161" s="47">
        <f t="shared" ref="K161" si="82">I161/J161*100</f>
        <v>153.96212682155993</v>
      </c>
      <c r="L161" s="101">
        <v>1347377</v>
      </c>
      <c r="M161" s="101">
        <v>343779</v>
      </c>
      <c r="N161" s="47">
        <f t="shared" si="81"/>
        <v>391.93115344450939</v>
      </c>
      <c r="O161" s="96">
        <v>310</v>
      </c>
      <c r="P161" s="76">
        <v>80</v>
      </c>
      <c r="Q161" s="96">
        <v>305</v>
      </c>
      <c r="R161" s="45">
        <f t="shared" si="78"/>
        <v>24800</v>
      </c>
    </row>
    <row r="162" spans="1:18" x14ac:dyDescent="0.25">
      <c r="A162" s="96">
        <v>5</v>
      </c>
      <c r="B162" s="84" t="s">
        <v>138</v>
      </c>
      <c r="C162" s="96">
        <v>1609624</v>
      </c>
      <c r="D162" s="96">
        <v>1978928</v>
      </c>
      <c r="E162" s="47">
        <f t="shared" si="79"/>
        <v>81.338179054518406</v>
      </c>
      <c r="F162" s="96">
        <v>296947</v>
      </c>
      <c r="G162" s="96">
        <v>555390</v>
      </c>
      <c r="H162" s="47">
        <f t="shared" si="80"/>
        <v>53.466392985109565</v>
      </c>
      <c r="I162" s="96">
        <v>1527121</v>
      </c>
      <c r="J162" s="96">
        <v>2372627</v>
      </c>
      <c r="K162" s="47">
        <f t="shared" si="77"/>
        <v>64.364141519084114</v>
      </c>
      <c r="L162" s="96">
        <v>0</v>
      </c>
      <c r="M162" s="96">
        <v>0</v>
      </c>
      <c r="N162" s="47">
        <v>0</v>
      </c>
      <c r="O162" s="96">
        <v>385</v>
      </c>
      <c r="P162" s="76">
        <v>51</v>
      </c>
      <c r="Q162" s="96">
        <v>399</v>
      </c>
      <c r="R162" s="45">
        <f t="shared" si="78"/>
        <v>19635</v>
      </c>
    </row>
    <row r="163" spans="1:18" s="60" customFormat="1" x14ac:dyDescent="0.25">
      <c r="A163" s="315" t="s">
        <v>174</v>
      </c>
      <c r="B163" s="315" t="s">
        <v>139</v>
      </c>
      <c r="C163" s="56">
        <f>SUM(C158:C162)</f>
        <v>6363141</v>
      </c>
      <c r="D163" s="56">
        <f>SUM(D158:D162)</f>
        <v>7558266</v>
      </c>
      <c r="E163" s="57">
        <f>C163/D163*100</f>
        <v>84.18784149697828</v>
      </c>
      <c r="F163" s="56">
        <f>SUM(F158:F162)</f>
        <v>1184148</v>
      </c>
      <c r="G163" s="56">
        <f>SUM(G158:G162)</f>
        <v>1376166</v>
      </c>
      <c r="H163" s="57">
        <f>F163/G163*100</f>
        <v>86.046886785460472</v>
      </c>
      <c r="I163" s="56">
        <f>SUM(I158:I162)</f>
        <v>6548520</v>
      </c>
      <c r="J163" s="56">
        <f>SUM(J158:J162)</f>
        <v>7287228</v>
      </c>
      <c r="K163" s="57">
        <f>I163/J163*100</f>
        <v>89.862976703898937</v>
      </c>
      <c r="L163" s="56">
        <f>SUM(L158:L162)</f>
        <v>2327089</v>
      </c>
      <c r="M163" s="56">
        <f>SUM(M158:M162)</f>
        <v>1736523</v>
      </c>
      <c r="N163" s="57">
        <f>L163/M163*100</f>
        <v>134.00853314352875</v>
      </c>
      <c r="O163" s="56">
        <f>SUM(O158:O162)</f>
        <v>1252</v>
      </c>
      <c r="P163" s="57">
        <f>R163/O163</f>
        <v>83.016773162939302</v>
      </c>
      <c r="Q163" s="56">
        <f>SUM(Q158:Q162)</f>
        <v>1265</v>
      </c>
      <c r="R163" s="59">
        <f>SUM(R158:R162)</f>
        <v>103937</v>
      </c>
    </row>
    <row r="164" spans="1:18" x14ac:dyDescent="0.25">
      <c r="A164" s="102"/>
      <c r="B164" s="103"/>
      <c r="C164" s="104"/>
      <c r="D164" s="104"/>
      <c r="E164" s="105"/>
      <c r="F164" s="104"/>
      <c r="G164" s="104"/>
      <c r="H164" s="105"/>
      <c r="I164" s="104"/>
      <c r="J164" s="104"/>
      <c r="K164" s="105"/>
      <c r="L164" s="104"/>
      <c r="M164" s="176"/>
      <c r="N164" s="177"/>
      <c r="O164" s="176"/>
      <c r="P164" s="104"/>
      <c r="Q164" s="176"/>
      <c r="R164" s="106"/>
    </row>
    <row r="165" spans="1:18" x14ac:dyDescent="0.25">
      <c r="A165" s="350" t="s">
        <v>177</v>
      </c>
      <c r="B165" s="350"/>
      <c r="C165" s="37">
        <v>3</v>
      </c>
      <c r="D165" s="37">
        <v>4</v>
      </c>
      <c r="E165" s="193">
        <v>5</v>
      </c>
      <c r="F165" s="37">
        <v>6</v>
      </c>
      <c r="G165" s="37">
        <v>7</v>
      </c>
      <c r="H165" s="37">
        <v>8</v>
      </c>
      <c r="I165" s="37">
        <v>9</v>
      </c>
      <c r="J165" s="37">
        <v>10</v>
      </c>
      <c r="K165" s="37">
        <v>11</v>
      </c>
      <c r="L165" s="37">
        <v>12</v>
      </c>
      <c r="M165" s="37">
        <v>13</v>
      </c>
      <c r="N165" s="37">
        <v>14</v>
      </c>
      <c r="O165" s="37">
        <v>15</v>
      </c>
      <c r="P165" s="193">
        <v>16</v>
      </c>
      <c r="Q165" s="37">
        <v>15</v>
      </c>
      <c r="R165" s="45"/>
    </row>
    <row r="166" spans="1:18" x14ac:dyDescent="0.25">
      <c r="A166" s="196">
        <v>1</v>
      </c>
      <c r="B166" s="78" t="s">
        <v>191</v>
      </c>
      <c r="C166" s="196">
        <v>660338</v>
      </c>
      <c r="D166" s="196">
        <v>457998</v>
      </c>
      <c r="E166" s="47">
        <f>C166/D166*100</f>
        <v>144.1792322237215</v>
      </c>
      <c r="F166" s="196">
        <v>132999</v>
      </c>
      <c r="G166" s="196">
        <v>126168</v>
      </c>
      <c r="H166" s="47">
        <f>F166/G166*100</f>
        <v>105.41420962526156</v>
      </c>
      <c r="I166" s="196">
        <v>608477</v>
      </c>
      <c r="J166" s="196">
        <v>334793</v>
      </c>
      <c r="K166" s="47">
        <f>I166/J166*100</f>
        <v>181.74722888471385</v>
      </c>
      <c r="L166" s="196">
        <v>181965</v>
      </c>
      <c r="M166" s="196">
        <v>49251</v>
      </c>
      <c r="N166" s="47">
        <f t="shared" ref="N166" si="83">L166/M166*100</f>
        <v>369.46457939940302</v>
      </c>
      <c r="O166" s="196">
        <v>75</v>
      </c>
      <c r="P166" s="196">
        <v>71</v>
      </c>
      <c r="Q166" s="196">
        <v>75</v>
      </c>
      <c r="R166" s="45">
        <f>O166*P166</f>
        <v>5325</v>
      </c>
    </row>
    <row r="167" spans="1:18" x14ac:dyDescent="0.25">
      <c r="A167" s="196">
        <v>2</v>
      </c>
      <c r="B167" s="146" t="s">
        <v>192</v>
      </c>
      <c r="C167" s="196">
        <v>652269</v>
      </c>
      <c r="D167" s="196">
        <v>0</v>
      </c>
      <c r="E167" s="47">
        <v>0</v>
      </c>
      <c r="F167" s="196">
        <v>172067</v>
      </c>
      <c r="G167" s="196">
        <v>0</v>
      </c>
      <c r="H167" s="47">
        <v>0</v>
      </c>
      <c r="I167" s="196">
        <v>739309</v>
      </c>
      <c r="J167" s="196">
        <v>0</v>
      </c>
      <c r="K167" s="47">
        <v>0</v>
      </c>
      <c r="L167" s="196">
        <v>17776</v>
      </c>
      <c r="M167" s="196">
        <v>0</v>
      </c>
      <c r="N167" s="34">
        <v>0</v>
      </c>
      <c r="O167" s="196">
        <v>31</v>
      </c>
      <c r="P167" s="196">
        <v>85</v>
      </c>
      <c r="Q167" s="196">
        <v>32</v>
      </c>
      <c r="R167" s="45">
        <f>O167*P167</f>
        <v>2635</v>
      </c>
    </row>
    <row r="168" spans="1:18" x14ac:dyDescent="0.25">
      <c r="A168" s="196">
        <v>3</v>
      </c>
      <c r="B168" s="146" t="s">
        <v>193</v>
      </c>
      <c r="C168" s="196">
        <v>886048</v>
      </c>
      <c r="D168" s="196">
        <v>1209115</v>
      </c>
      <c r="E168" s="47">
        <f>C168/D168*100</f>
        <v>73.280705309255112</v>
      </c>
      <c r="F168" s="196">
        <v>139950</v>
      </c>
      <c r="G168" s="196">
        <v>277537</v>
      </c>
      <c r="H168" s="47">
        <f>F168/G168*100</f>
        <v>50.425709004565157</v>
      </c>
      <c r="I168" s="196">
        <v>911044</v>
      </c>
      <c r="J168" s="196">
        <v>1012952</v>
      </c>
      <c r="K168" s="47">
        <f>I168/J168*100</f>
        <v>89.939503550020135</v>
      </c>
      <c r="L168" s="196">
        <v>0</v>
      </c>
      <c r="M168" s="196">
        <v>0</v>
      </c>
      <c r="N168" s="34">
        <v>0</v>
      </c>
      <c r="O168" s="196">
        <v>420</v>
      </c>
      <c r="P168" s="196">
        <v>100</v>
      </c>
      <c r="Q168" s="196">
        <v>421</v>
      </c>
      <c r="R168" s="45">
        <f>O168*P168</f>
        <v>42000</v>
      </c>
    </row>
    <row r="169" spans="1:18" x14ac:dyDescent="0.25">
      <c r="A169" s="315" t="s">
        <v>190</v>
      </c>
      <c r="B169" s="315" t="s">
        <v>109</v>
      </c>
      <c r="C169" s="56">
        <f>SUM(C166:C168)</f>
        <v>2198655</v>
      </c>
      <c r="D169" s="56">
        <f>SUM(D166:D168)</f>
        <v>1667113</v>
      </c>
      <c r="E169" s="57">
        <f>C169/D169*100</f>
        <v>131.8839814697624</v>
      </c>
      <c r="F169" s="56">
        <f>SUM(F166:F168)</f>
        <v>445016</v>
      </c>
      <c r="G169" s="56">
        <f>SUM(G166:G168)</f>
        <v>403705</v>
      </c>
      <c r="H169" s="57">
        <f>F169/G169*100</f>
        <v>110.23296714184863</v>
      </c>
      <c r="I169" s="56">
        <f>SUM(I166:I168)</f>
        <v>2258830</v>
      </c>
      <c r="J169" s="56">
        <f>SUM(J166:J168)</f>
        <v>1347745</v>
      </c>
      <c r="K169" s="57">
        <f>I169/J169*100</f>
        <v>167.60069597735477</v>
      </c>
      <c r="L169" s="56">
        <f>SUM(L166:L168)</f>
        <v>199741</v>
      </c>
      <c r="M169" s="56">
        <f>SUM(M166:M168)</f>
        <v>49251</v>
      </c>
      <c r="N169" s="57">
        <v>0</v>
      </c>
      <c r="O169" s="56">
        <f>SUM(O166:O168)</f>
        <v>526</v>
      </c>
      <c r="P169" s="58">
        <f>R169/O169</f>
        <v>94.980988593155899</v>
      </c>
      <c r="Q169" s="56">
        <f>SUM(Q166:Q168)</f>
        <v>528</v>
      </c>
      <c r="R169" s="59">
        <f>SUM(R166:R168)</f>
        <v>49960</v>
      </c>
    </row>
    <row r="170" spans="1:18" x14ac:dyDescent="0.25">
      <c r="A170" s="102"/>
      <c r="B170" s="103"/>
      <c r="C170" s="104"/>
      <c r="D170" s="220"/>
      <c r="E170" s="221"/>
      <c r="F170" s="222"/>
      <c r="G170" s="104"/>
      <c r="H170" s="105"/>
      <c r="I170" s="104"/>
      <c r="J170" s="104"/>
      <c r="K170" s="105"/>
      <c r="L170" s="220"/>
      <c r="M170" s="176"/>
      <c r="N170" s="177"/>
      <c r="O170" s="176"/>
      <c r="P170" s="104"/>
      <c r="Q170" s="176"/>
      <c r="R170" s="106"/>
    </row>
    <row r="171" spans="1:18" x14ac:dyDescent="0.25">
      <c r="A171" s="319" t="s">
        <v>140</v>
      </c>
      <c r="B171" s="320"/>
      <c r="C171" s="37">
        <v>3</v>
      </c>
      <c r="D171" s="37">
        <v>4</v>
      </c>
      <c r="E171" s="193">
        <v>5</v>
      </c>
      <c r="F171" s="37">
        <v>6</v>
      </c>
      <c r="G171" s="37">
        <v>7</v>
      </c>
      <c r="H171" s="37">
        <v>8</v>
      </c>
      <c r="I171" s="37">
        <v>9</v>
      </c>
      <c r="J171" s="37">
        <v>10</v>
      </c>
      <c r="K171" s="37">
        <v>11</v>
      </c>
      <c r="L171" s="37">
        <v>12</v>
      </c>
      <c r="M171" s="27">
        <v>13</v>
      </c>
      <c r="N171" s="27">
        <v>14</v>
      </c>
      <c r="O171" s="27">
        <v>15</v>
      </c>
      <c r="P171" s="193">
        <v>16</v>
      </c>
      <c r="Q171" s="27">
        <v>15</v>
      </c>
      <c r="R171" s="23"/>
    </row>
    <row r="172" spans="1:18" x14ac:dyDescent="0.25">
      <c r="A172" s="102">
        <v>1</v>
      </c>
      <c r="B172" s="113" t="s">
        <v>141</v>
      </c>
      <c r="C172" s="96">
        <v>278</v>
      </c>
      <c r="D172" s="96">
        <v>3906</v>
      </c>
      <c r="E172" s="97">
        <f t="shared" ref="E172:E181" si="84">C172/D172*100</f>
        <v>7.1172555043522783</v>
      </c>
      <c r="F172" s="96">
        <v>0</v>
      </c>
      <c r="G172" s="96">
        <v>0</v>
      </c>
      <c r="H172" s="96">
        <v>0</v>
      </c>
      <c r="I172" s="96">
        <v>20763</v>
      </c>
      <c r="J172" s="96">
        <v>18418</v>
      </c>
      <c r="K172" s="97">
        <f t="shared" ref="K172:K181" si="85">I172/J172*100</f>
        <v>112.73210989249647</v>
      </c>
      <c r="L172" s="96">
        <v>0</v>
      </c>
      <c r="M172" s="96">
        <v>0</v>
      </c>
      <c r="N172" s="96">
        <v>0</v>
      </c>
      <c r="O172" s="96">
        <v>71</v>
      </c>
      <c r="P172" s="96">
        <v>114</v>
      </c>
      <c r="Q172" s="96">
        <v>71</v>
      </c>
      <c r="R172" s="45">
        <f t="shared" ref="R172:R181" si="86">O172*P172</f>
        <v>8094</v>
      </c>
    </row>
    <row r="173" spans="1:18" x14ac:dyDescent="0.25">
      <c r="A173" s="112">
        <v>2</v>
      </c>
      <c r="B173" s="113" t="s">
        <v>142</v>
      </c>
      <c r="C173" s="96">
        <v>481032</v>
      </c>
      <c r="D173" s="96">
        <v>355573</v>
      </c>
      <c r="E173" s="96">
        <f t="shared" si="84"/>
        <v>135.28361264775447</v>
      </c>
      <c r="F173" s="96">
        <v>15112</v>
      </c>
      <c r="G173" s="96">
        <v>22082</v>
      </c>
      <c r="H173" s="96">
        <f t="shared" ref="H173" si="87">F173/G173*100</f>
        <v>68.43583008785437</v>
      </c>
      <c r="I173" s="96">
        <v>481032</v>
      </c>
      <c r="J173" s="96">
        <v>355573</v>
      </c>
      <c r="K173" s="96">
        <f t="shared" si="85"/>
        <v>135.28361264775447</v>
      </c>
      <c r="L173" s="96">
        <v>481032</v>
      </c>
      <c r="M173" s="96">
        <v>355573</v>
      </c>
      <c r="N173" s="96">
        <f t="shared" ref="N173" si="88">L173/M173*100</f>
        <v>135.28361264775447</v>
      </c>
      <c r="O173" s="96">
        <v>130</v>
      </c>
      <c r="P173" s="96">
        <v>108</v>
      </c>
      <c r="Q173" s="96">
        <v>128</v>
      </c>
      <c r="R173" s="45">
        <f t="shared" si="86"/>
        <v>14040</v>
      </c>
    </row>
    <row r="174" spans="1:18" s="80" customFormat="1" x14ac:dyDescent="0.25">
      <c r="A174" s="102">
        <v>3</v>
      </c>
      <c r="B174" s="113" t="s">
        <v>143</v>
      </c>
      <c r="C174" s="96">
        <v>0</v>
      </c>
      <c r="D174" s="96">
        <v>97150</v>
      </c>
      <c r="E174" s="96">
        <f t="shared" si="84"/>
        <v>0</v>
      </c>
      <c r="F174" s="96">
        <v>0</v>
      </c>
      <c r="G174" s="96">
        <v>494</v>
      </c>
      <c r="H174" s="96">
        <f t="shared" ref="H174:H180" si="89">F174/G174*100</f>
        <v>0</v>
      </c>
      <c r="I174" s="96">
        <v>0</v>
      </c>
      <c r="J174" s="96">
        <v>95041</v>
      </c>
      <c r="K174" s="96">
        <f t="shared" si="85"/>
        <v>0</v>
      </c>
      <c r="L174" s="96">
        <v>0</v>
      </c>
      <c r="M174" s="96">
        <v>88047</v>
      </c>
      <c r="N174" s="96">
        <f t="shared" ref="N174:N181" si="90">L174/M174*100</f>
        <v>0</v>
      </c>
      <c r="O174" s="96">
        <v>10</v>
      </c>
      <c r="P174" s="96">
        <v>46</v>
      </c>
      <c r="Q174" s="96">
        <v>42</v>
      </c>
      <c r="R174" s="45">
        <f t="shared" si="86"/>
        <v>460</v>
      </c>
    </row>
    <row r="175" spans="1:18" x14ac:dyDescent="0.25">
      <c r="A175" s="112">
        <v>4</v>
      </c>
      <c r="B175" s="113" t="s">
        <v>144</v>
      </c>
      <c r="C175" s="96">
        <v>2631767</v>
      </c>
      <c r="D175" s="96">
        <v>2374734</v>
      </c>
      <c r="E175" s="114">
        <f t="shared" si="84"/>
        <v>110.82365435455085</v>
      </c>
      <c r="F175" s="96">
        <v>1030158</v>
      </c>
      <c r="G175" s="96">
        <v>384296</v>
      </c>
      <c r="H175" s="114">
        <f t="shared" si="89"/>
        <v>268.06368007993842</v>
      </c>
      <c r="I175" s="96">
        <v>2631767</v>
      </c>
      <c r="J175" s="96">
        <v>2374734</v>
      </c>
      <c r="K175" s="114">
        <f t="shared" si="85"/>
        <v>110.82365435455085</v>
      </c>
      <c r="L175" s="96">
        <v>2631767</v>
      </c>
      <c r="M175" s="96">
        <v>2374734</v>
      </c>
      <c r="N175" s="47">
        <f t="shared" si="90"/>
        <v>110.82365435455085</v>
      </c>
      <c r="O175" s="96">
        <v>148</v>
      </c>
      <c r="P175" s="115">
        <v>161</v>
      </c>
      <c r="Q175" s="96">
        <v>145</v>
      </c>
      <c r="R175" s="45">
        <f t="shared" si="86"/>
        <v>23828</v>
      </c>
    </row>
    <row r="176" spans="1:18" x14ac:dyDescent="0.25">
      <c r="A176" s="102">
        <v>5</v>
      </c>
      <c r="B176" s="113" t="s">
        <v>145</v>
      </c>
      <c r="C176" s="96">
        <v>442364</v>
      </c>
      <c r="D176" s="96">
        <v>1386406</v>
      </c>
      <c r="E176" s="114">
        <f t="shared" si="84"/>
        <v>31.907247949013488</v>
      </c>
      <c r="F176" s="96">
        <v>22124</v>
      </c>
      <c r="G176" s="96">
        <v>51458</v>
      </c>
      <c r="H176" s="114">
        <f t="shared" si="89"/>
        <v>42.994286602666257</v>
      </c>
      <c r="I176" s="96">
        <v>680635</v>
      </c>
      <c r="J176" s="96">
        <v>1388280</v>
      </c>
      <c r="K176" s="114">
        <f t="shared" si="85"/>
        <v>49.027213530411736</v>
      </c>
      <c r="L176" s="96">
        <v>643722</v>
      </c>
      <c r="M176" s="96">
        <v>1388062</v>
      </c>
      <c r="N176" s="47">
        <f t="shared" si="90"/>
        <v>46.375594173747281</v>
      </c>
      <c r="O176" s="96">
        <v>41</v>
      </c>
      <c r="P176" s="96">
        <v>65</v>
      </c>
      <c r="Q176" s="96">
        <v>44</v>
      </c>
      <c r="R176" s="45">
        <f t="shared" si="86"/>
        <v>2665</v>
      </c>
    </row>
    <row r="177" spans="1:18" x14ac:dyDescent="0.25">
      <c r="A177" s="112">
        <v>6</v>
      </c>
      <c r="B177" s="113" t="s">
        <v>146</v>
      </c>
      <c r="C177" s="196">
        <v>0</v>
      </c>
      <c r="D177" s="196">
        <v>0</v>
      </c>
      <c r="E177" s="43">
        <v>0</v>
      </c>
      <c r="F177" s="196">
        <v>0</v>
      </c>
      <c r="G177" s="196">
        <v>0</v>
      </c>
      <c r="H177" s="43">
        <v>0</v>
      </c>
      <c r="I177" s="196">
        <v>0</v>
      </c>
      <c r="J177" s="196">
        <v>0</v>
      </c>
      <c r="K177" s="43">
        <v>0</v>
      </c>
      <c r="L177" s="196">
        <v>0</v>
      </c>
      <c r="M177" s="196">
        <v>0</v>
      </c>
      <c r="N177" s="47">
        <v>0</v>
      </c>
      <c r="O177" s="196">
        <v>0</v>
      </c>
      <c r="P177" s="44">
        <v>0</v>
      </c>
      <c r="Q177" s="196">
        <v>0</v>
      </c>
      <c r="R177" s="45">
        <f t="shared" si="86"/>
        <v>0</v>
      </c>
    </row>
    <row r="178" spans="1:18" x14ac:dyDescent="0.25">
      <c r="A178" s="102">
        <v>7</v>
      </c>
      <c r="B178" s="113" t="s">
        <v>147</v>
      </c>
      <c r="C178" s="96">
        <v>1718749</v>
      </c>
      <c r="D178" s="96">
        <v>2614925</v>
      </c>
      <c r="E178" s="114">
        <f t="shared" si="84"/>
        <v>65.728424333393889</v>
      </c>
      <c r="F178" s="96">
        <v>265962</v>
      </c>
      <c r="G178" s="96">
        <v>305824</v>
      </c>
      <c r="H178" s="47">
        <f t="shared" si="89"/>
        <v>86.965705765407549</v>
      </c>
      <c r="I178" s="96">
        <v>1710958</v>
      </c>
      <c r="J178" s="96">
        <v>2454317</v>
      </c>
      <c r="K178" s="47">
        <f t="shared" si="85"/>
        <v>69.712184693338315</v>
      </c>
      <c r="L178" s="96">
        <v>1697530</v>
      </c>
      <c r="M178" s="96">
        <v>2453687</v>
      </c>
      <c r="N178" s="47">
        <f t="shared" si="90"/>
        <v>69.182825682330304</v>
      </c>
      <c r="O178" s="96">
        <v>72</v>
      </c>
      <c r="P178" s="96">
        <v>91</v>
      </c>
      <c r="Q178" s="96">
        <v>60</v>
      </c>
      <c r="R178" s="45">
        <f t="shared" si="86"/>
        <v>6552</v>
      </c>
    </row>
    <row r="179" spans="1:18" x14ac:dyDescent="0.25">
      <c r="A179" s="112">
        <v>8</v>
      </c>
      <c r="B179" s="113" t="s">
        <v>148</v>
      </c>
      <c r="C179" s="96">
        <v>494023</v>
      </c>
      <c r="D179" s="96">
        <v>478969</v>
      </c>
      <c r="E179" s="76">
        <f t="shared" si="84"/>
        <v>103.1430009040251</v>
      </c>
      <c r="F179" s="96">
        <v>82046</v>
      </c>
      <c r="G179" s="96">
        <v>145719</v>
      </c>
      <c r="H179" s="76">
        <f t="shared" si="89"/>
        <v>56.304256823063568</v>
      </c>
      <c r="I179" s="96">
        <v>494023</v>
      </c>
      <c r="J179" s="96">
        <v>478969</v>
      </c>
      <c r="K179" s="76">
        <f t="shared" si="85"/>
        <v>103.1430009040251</v>
      </c>
      <c r="L179" s="96">
        <v>494023</v>
      </c>
      <c r="M179" s="96">
        <v>478969</v>
      </c>
      <c r="N179" s="76">
        <f t="shared" si="90"/>
        <v>103.1430009040251</v>
      </c>
      <c r="O179" s="76">
        <v>39</v>
      </c>
      <c r="P179" s="76">
        <v>134</v>
      </c>
      <c r="Q179" s="76">
        <v>42</v>
      </c>
      <c r="R179" s="45">
        <f t="shared" si="86"/>
        <v>5226</v>
      </c>
    </row>
    <row r="180" spans="1:18" x14ac:dyDescent="0.25">
      <c r="A180" s="102">
        <v>9</v>
      </c>
      <c r="B180" s="113" t="s">
        <v>149</v>
      </c>
      <c r="C180" s="96">
        <v>223410</v>
      </c>
      <c r="D180" s="96">
        <v>112699</v>
      </c>
      <c r="E180" s="47">
        <f t="shared" si="84"/>
        <v>198.23600919262816</v>
      </c>
      <c r="F180" s="96">
        <v>0</v>
      </c>
      <c r="G180" s="96">
        <v>0</v>
      </c>
      <c r="H180" s="47" t="e">
        <f t="shared" si="89"/>
        <v>#DIV/0!</v>
      </c>
      <c r="I180" s="96">
        <v>223410</v>
      </c>
      <c r="J180" s="96">
        <v>112699</v>
      </c>
      <c r="K180" s="47">
        <f t="shared" si="85"/>
        <v>198.23600919262816</v>
      </c>
      <c r="L180" s="96">
        <v>223410</v>
      </c>
      <c r="M180" s="96">
        <v>112699</v>
      </c>
      <c r="N180" s="47">
        <f t="shared" si="90"/>
        <v>198.23600919262816</v>
      </c>
      <c r="O180" s="96">
        <v>8</v>
      </c>
      <c r="P180" s="96">
        <v>58</v>
      </c>
      <c r="Q180" s="96">
        <v>8</v>
      </c>
      <c r="R180" s="45">
        <f t="shared" si="86"/>
        <v>464</v>
      </c>
    </row>
    <row r="181" spans="1:18" x14ac:dyDescent="0.25">
      <c r="A181" s="112">
        <v>10</v>
      </c>
      <c r="B181" s="113" t="s">
        <v>150</v>
      </c>
      <c r="C181" s="96">
        <v>132010</v>
      </c>
      <c r="D181" s="96">
        <v>170311</v>
      </c>
      <c r="E181" s="47">
        <f t="shared" si="84"/>
        <v>77.511141382529601</v>
      </c>
      <c r="F181" s="96">
        <v>0</v>
      </c>
      <c r="G181" s="96">
        <v>49700</v>
      </c>
      <c r="H181" s="47">
        <v>0</v>
      </c>
      <c r="I181" s="96">
        <v>132010</v>
      </c>
      <c r="J181" s="96">
        <v>170311</v>
      </c>
      <c r="K181" s="47">
        <f t="shared" si="85"/>
        <v>77.511141382529601</v>
      </c>
      <c r="L181" s="96">
        <v>152610</v>
      </c>
      <c r="M181" s="96">
        <v>170311</v>
      </c>
      <c r="N181" s="47">
        <f t="shared" si="90"/>
        <v>89.60666075591125</v>
      </c>
      <c r="O181" s="96">
        <v>24</v>
      </c>
      <c r="P181" s="96">
        <v>50</v>
      </c>
      <c r="Q181" s="96">
        <v>23</v>
      </c>
      <c r="R181" s="45">
        <f t="shared" si="86"/>
        <v>1200</v>
      </c>
    </row>
    <row r="182" spans="1:18" s="60" customFormat="1" x14ac:dyDescent="0.25">
      <c r="A182" s="315" t="s">
        <v>173</v>
      </c>
      <c r="B182" s="315" t="s">
        <v>139</v>
      </c>
      <c r="C182" s="58">
        <f>SUM(C172:C181)</f>
        <v>6123633</v>
      </c>
      <c r="D182" s="58">
        <f>SUM(D172:D181)</f>
        <v>7594673</v>
      </c>
      <c r="E182" s="57">
        <f>C182/D182*100</f>
        <v>80.630634130001383</v>
      </c>
      <c r="F182" s="58">
        <f>SUM(F172:F181)</f>
        <v>1415402</v>
      </c>
      <c r="G182" s="58">
        <f>SUM(G172:G181)</f>
        <v>959573</v>
      </c>
      <c r="H182" s="57">
        <f>F182/G182*100</f>
        <v>147.50331657935351</v>
      </c>
      <c r="I182" s="58">
        <f>SUM(I172:I181)</f>
        <v>6374598</v>
      </c>
      <c r="J182" s="58">
        <f>SUM(J172:J181)</f>
        <v>7448342</v>
      </c>
      <c r="K182" s="57">
        <f>I182/J182*100</f>
        <v>85.584120600262452</v>
      </c>
      <c r="L182" s="58">
        <f>SUM(L172:L181)</f>
        <v>6324094</v>
      </c>
      <c r="M182" s="56">
        <f>SUM(M172:M181)</f>
        <v>7422082</v>
      </c>
      <c r="N182" s="57">
        <f>L182/M182*100</f>
        <v>85.206469020417714</v>
      </c>
      <c r="O182" s="58">
        <f>SUM(O172:O181)</f>
        <v>543</v>
      </c>
      <c r="P182" s="57">
        <f>R182/O182</f>
        <v>115.15469613259668</v>
      </c>
      <c r="Q182" s="58">
        <f>SUM(Q172:Q181)</f>
        <v>563</v>
      </c>
      <c r="R182" s="59">
        <f>SUM(R172:R181)</f>
        <v>62529</v>
      </c>
    </row>
    <row r="183" spans="1:18" x14ac:dyDescent="0.25">
      <c r="A183" s="117"/>
      <c r="B183" s="117"/>
      <c r="C183" s="98"/>
      <c r="D183" s="98"/>
      <c r="E183" s="97"/>
      <c r="F183" s="118"/>
      <c r="G183" s="118"/>
      <c r="H183" s="97"/>
      <c r="I183" s="196"/>
      <c r="J183" s="196"/>
      <c r="K183" s="119"/>
      <c r="L183" s="196"/>
      <c r="M183" s="196"/>
      <c r="N183" s="196"/>
      <c r="O183" s="196"/>
      <c r="P183" s="62"/>
      <c r="Q183" s="196"/>
      <c r="R183" s="31"/>
    </row>
    <row r="184" spans="1:18" x14ac:dyDescent="0.25">
      <c r="A184" s="321" t="s">
        <v>151</v>
      </c>
      <c r="B184" s="322"/>
      <c r="C184" s="37">
        <v>3</v>
      </c>
      <c r="D184" s="37">
        <v>4</v>
      </c>
      <c r="E184" s="193">
        <v>5</v>
      </c>
      <c r="F184" s="37">
        <v>6</v>
      </c>
      <c r="G184" s="37">
        <v>7</v>
      </c>
      <c r="H184" s="37">
        <v>8</v>
      </c>
      <c r="I184" s="37">
        <v>9</v>
      </c>
      <c r="J184" s="37">
        <v>10</v>
      </c>
      <c r="K184" s="37">
        <v>11</v>
      </c>
      <c r="L184" s="37">
        <v>12</v>
      </c>
      <c r="M184" s="37">
        <v>13</v>
      </c>
      <c r="N184" s="37">
        <v>14</v>
      </c>
      <c r="O184" s="37">
        <v>15</v>
      </c>
      <c r="P184" s="193">
        <v>16</v>
      </c>
      <c r="Q184" s="37">
        <v>15</v>
      </c>
      <c r="R184" s="31"/>
    </row>
    <row r="185" spans="1:18" x14ac:dyDescent="0.25">
      <c r="A185" s="118">
        <v>1</v>
      </c>
      <c r="B185" s="120" t="s">
        <v>152</v>
      </c>
      <c r="C185" s="49">
        <v>509486.7</v>
      </c>
      <c r="D185" s="49">
        <v>481615.4</v>
      </c>
      <c r="E185" s="49">
        <f t="shared" ref="E185:E195" si="91">IF(OR(C185=0,D185=0),0,C185/D185*100)</f>
        <v>105.78704501558714</v>
      </c>
      <c r="F185" s="49">
        <v>66762.600000000006</v>
      </c>
      <c r="G185" s="49">
        <v>170565.5</v>
      </c>
      <c r="H185" s="49">
        <f t="shared" ref="H185:H195" si="92">IF(OR(F185=0,G185=0),0,F185/G185*100)</f>
        <v>39.141913223952088</v>
      </c>
      <c r="I185" s="49">
        <v>402419.3</v>
      </c>
      <c r="J185" s="49">
        <v>494987.9</v>
      </c>
      <c r="K185" s="49">
        <f t="shared" ref="K185:K195" si="93">IF(OR(I185=0,J185=0),0,I185/J185*100)</f>
        <v>81.29881558720929</v>
      </c>
      <c r="L185" s="49">
        <v>0</v>
      </c>
      <c r="M185" s="49">
        <v>0</v>
      </c>
      <c r="N185" s="49">
        <f t="shared" ref="N185:N195" si="94">IF(OR(L185=0,M185=0),0,L185/M185*100)</f>
        <v>0</v>
      </c>
      <c r="O185" s="49">
        <v>341</v>
      </c>
      <c r="P185" s="49">
        <v>268.60000000000002</v>
      </c>
      <c r="Q185" s="49">
        <v>336</v>
      </c>
      <c r="R185" s="74">
        <f t="shared" ref="R185:R195" si="95">O185*P185</f>
        <v>91592.6</v>
      </c>
    </row>
    <row r="186" spans="1:18" x14ac:dyDescent="0.25">
      <c r="A186" s="118">
        <v>2</v>
      </c>
      <c r="B186" s="120" t="s">
        <v>154</v>
      </c>
      <c r="C186" s="49">
        <v>75662</v>
      </c>
      <c r="D186" s="49">
        <v>385432</v>
      </c>
      <c r="E186" s="49">
        <f t="shared" si="91"/>
        <v>19.630440648415284</v>
      </c>
      <c r="F186" s="49">
        <v>21728</v>
      </c>
      <c r="G186" s="49">
        <v>7093</v>
      </c>
      <c r="H186" s="49">
        <f t="shared" si="92"/>
        <v>306.33018468913014</v>
      </c>
      <c r="I186" s="49">
        <v>87546</v>
      </c>
      <c r="J186" s="49">
        <v>385432</v>
      </c>
      <c r="K186" s="49">
        <f t="shared" si="93"/>
        <v>22.71373419954752</v>
      </c>
      <c r="L186" s="49">
        <v>87546</v>
      </c>
      <c r="M186" s="49">
        <v>360784</v>
      </c>
      <c r="N186" s="49">
        <f t="shared" si="94"/>
        <v>24.265488491729123</v>
      </c>
      <c r="O186" s="49">
        <v>47</v>
      </c>
      <c r="P186" s="49">
        <v>136.19999999999999</v>
      </c>
      <c r="Q186" s="49">
        <v>49</v>
      </c>
      <c r="R186" s="74">
        <f t="shared" si="95"/>
        <v>6401.4</v>
      </c>
    </row>
    <row r="187" spans="1:18" x14ac:dyDescent="0.25">
      <c r="A187" s="118">
        <v>3</v>
      </c>
      <c r="B187" s="120" t="s">
        <v>155</v>
      </c>
      <c r="C187" s="49">
        <v>5689</v>
      </c>
      <c r="D187" s="49">
        <v>43886</v>
      </c>
      <c r="E187" s="49">
        <f t="shared" si="91"/>
        <v>12.963131750444335</v>
      </c>
      <c r="F187" s="49">
        <v>950</v>
      </c>
      <c r="G187" s="49">
        <v>794</v>
      </c>
      <c r="H187" s="49">
        <f t="shared" si="92"/>
        <v>119.64735516372795</v>
      </c>
      <c r="I187" s="49">
        <v>2758</v>
      </c>
      <c r="J187" s="49">
        <v>4386</v>
      </c>
      <c r="K187" s="49">
        <f t="shared" si="93"/>
        <v>62.881896944824447</v>
      </c>
      <c r="L187" s="49">
        <v>0</v>
      </c>
      <c r="M187" s="49">
        <v>0</v>
      </c>
      <c r="N187" s="49">
        <f t="shared" si="94"/>
        <v>0</v>
      </c>
      <c r="O187" s="49">
        <v>29</v>
      </c>
      <c r="P187" s="49">
        <v>40</v>
      </c>
      <c r="Q187" s="49">
        <v>28</v>
      </c>
      <c r="R187" s="45">
        <f t="shared" si="95"/>
        <v>1160</v>
      </c>
    </row>
    <row r="188" spans="1:18" ht="36" x14ac:dyDescent="0.25">
      <c r="A188" s="118">
        <v>4</v>
      </c>
      <c r="B188" s="121" t="s">
        <v>156</v>
      </c>
      <c r="C188" s="49">
        <v>76732</v>
      </c>
      <c r="D188" s="49">
        <v>71928</v>
      </c>
      <c r="E188" s="49">
        <f t="shared" si="91"/>
        <v>106.67890112334557</v>
      </c>
      <c r="F188" s="49">
        <v>11889</v>
      </c>
      <c r="G188" s="49">
        <v>11086</v>
      </c>
      <c r="H188" s="49">
        <f t="shared" si="92"/>
        <v>107.2433700162367</v>
      </c>
      <c r="I188" s="49">
        <v>0</v>
      </c>
      <c r="J188" s="49">
        <v>0</v>
      </c>
      <c r="K188" s="49">
        <f t="shared" si="93"/>
        <v>0</v>
      </c>
      <c r="L188" s="49">
        <v>0</v>
      </c>
      <c r="M188" s="49">
        <v>0</v>
      </c>
      <c r="N188" s="49">
        <f t="shared" si="94"/>
        <v>0</v>
      </c>
      <c r="O188" s="49">
        <v>86</v>
      </c>
      <c r="P188" s="49">
        <v>83</v>
      </c>
      <c r="Q188" s="49">
        <v>86</v>
      </c>
      <c r="R188" s="45">
        <f t="shared" si="95"/>
        <v>7138</v>
      </c>
    </row>
    <row r="189" spans="1:18" x14ac:dyDescent="0.25">
      <c r="A189" s="118">
        <v>5</v>
      </c>
      <c r="B189" s="122" t="s">
        <v>157</v>
      </c>
      <c r="C189" s="49">
        <v>639</v>
      </c>
      <c r="D189" s="49">
        <v>291</v>
      </c>
      <c r="E189" s="49">
        <f>IF(OR(C189=0,D189=0),0,C189/D189*100)</f>
        <v>219.58762886597941</v>
      </c>
      <c r="F189" s="49">
        <v>125</v>
      </c>
      <c r="G189" s="49">
        <v>0</v>
      </c>
      <c r="H189" s="49">
        <f t="shared" si="92"/>
        <v>0</v>
      </c>
      <c r="I189" s="49">
        <v>639</v>
      </c>
      <c r="J189" s="49">
        <v>291</v>
      </c>
      <c r="K189" s="49">
        <f t="shared" si="93"/>
        <v>219.58762886597941</v>
      </c>
      <c r="L189" s="49">
        <v>0</v>
      </c>
      <c r="M189" s="49">
        <v>0</v>
      </c>
      <c r="N189" s="49">
        <f t="shared" si="94"/>
        <v>0</v>
      </c>
      <c r="O189" s="49">
        <v>32</v>
      </c>
      <c r="P189" s="49">
        <v>15.2</v>
      </c>
      <c r="Q189" s="49">
        <v>32</v>
      </c>
      <c r="R189" s="45">
        <f t="shared" si="95"/>
        <v>486.4</v>
      </c>
    </row>
    <row r="190" spans="1:18" x14ac:dyDescent="0.25">
      <c r="A190" s="118">
        <v>6</v>
      </c>
      <c r="B190" s="120" t="s">
        <v>158</v>
      </c>
      <c r="C190" s="49">
        <v>10450</v>
      </c>
      <c r="D190" s="49">
        <v>14169</v>
      </c>
      <c r="E190" s="49">
        <f t="shared" si="91"/>
        <v>73.752558402145524</v>
      </c>
      <c r="F190" s="49">
        <v>4601</v>
      </c>
      <c r="G190" s="49">
        <v>3615</v>
      </c>
      <c r="H190" s="49">
        <f t="shared" si="92"/>
        <v>127.27524204702627</v>
      </c>
      <c r="I190" s="49">
        <v>0</v>
      </c>
      <c r="J190" s="49">
        <v>0</v>
      </c>
      <c r="K190" s="49">
        <f t="shared" si="93"/>
        <v>0</v>
      </c>
      <c r="L190" s="49">
        <v>0</v>
      </c>
      <c r="M190" s="49">
        <v>0</v>
      </c>
      <c r="N190" s="49">
        <f t="shared" si="94"/>
        <v>0</v>
      </c>
      <c r="O190" s="49">
        <v>17</v>
      </c>
      <c r="P190" s="49">
        <v>34</v>
      </c>
      <c r="Q190" s="49">
        <v>17</v>
      </c>
      <c r="R190" s="45">
        <f t="shared" si="95"/>
        <v>578</v>
      </c>
    </row>
    <row r="191" spans="1:18" x14ac:dyDescent="0.25">
      <c r="A191" s="118">
        <v>7</v>
      </c>
      <c r="B191" s="120" t="s">
        <v>159</v>
      </c>
      <c r="C191" s="49">
        <v>35067</v>
      </c>
      <c r="D191" s="49">
        <v>46344</v>
      </c>
      <c r="E191" s="49">
        <f t="shared" si="91"/>
        <v>75.666752977731747</v>
      </c>
      <c r="F191" s="49">
        <v>5582</v>
      </c>
      <c r="G191" s="49">
        <v>9633</v>
      </c>
      <c r="H191" s="49">
        <f t="shared" si="92"/>
        <v>57.946641752309766</v>
      </c>
      <c r="I191" s="49">
        <v>35067</v>
      </c>
      <c r="J191" s="49">
        <v>46344</v>
      </c>
      <c r="K191" s="49">
        <f t="shared" si="93"/>
        <v>75.666752977731747</v>
      </c>
      <c r="L191" s="49">
        <v>0</v>
      </c>
      <c r="M191" s="49">
        <v>0</v>
      </c>
      <c r="N191" s="49">
        <f t="shared" si="94"/>
        <v>0</v>
      </c>
      <c r="O191" s="49">
        <v>85</v>
      </c>
      <c r="P191" s="49">
        <v>55.8</v>
      </c>
      <c r="Q191" s="49">
        <v>84</v>
      </c>
      <c r="R191" s="45">
        <f t="shared" si="95"/>
        <v>4743</v>
      </c>
    </row>
    <row r="192" spans="1:18" x14ac:dyDescent="0.25">
      <c r="A192" s="118">
        <v>8</v>
      </c>
      <c r="B192" s="120" t="s">
        <v>160</v>
      </c>
      <c r="C192" s="49">
        <v>6895</v>
      </c>
      <c r="D192" s="49">
        <v>4930</v>
      </c>
      <c r="E192" s="49">
        <f t="shared" si="91"/>
        <v>139.85801217038539</v>
      </c>
      <c r="F192" s="49">
        <v>1025</v>
      </c>
      <c r="G192" s="49">
        <v>1650</v>
      </c>
      <c r="H192" s="49">
        <f t="shared" si="92"/>
        <v>62.121212121212125</v>
      </c>
      <c r="I192" s="49">
        <v>0</v>
      </c>
      <c r="J192" s="49">
        <v>0</v>
      </c>
      <c r="K192" s="49">
        <f t="shared" si="93"/>
        <v>0</v>
      </c>
      <c r="L192" s="49">
        <v>0</v>
      </c>
      <c r="M192" s="49">
        <v>0</v>
      </c>
      <c r="N192" s="49">
        <f t="shared" si="94"/>
        <v>0</v>
      </c>
      <c r="O192" s="49">
        <v>12</v>
      </c>
      <c r="P192" s="49">
        <v>52.5</v>
      </c>
      <c r="Q192" s="49">
        <v>12</v>
      </c>
      <c r="R192" s="45">
        <f t="shared" si="95"/>
        <v>630</v>
      </c>
    </row>
    <row r="193" spans="1:18" x14ac:dyDescent="0.25">
      <c r="A193" s="118">
        <v>9</v>
      </c>
      <c r="B193" s="120" t="s">
        <v>161</v>
      </c>
      <c r="C193" s="49">
        <v>35498</v>
      </c>
      <c r="D193" s="49">
        <v>37896</v>
      </c>
      <c r="E193" s="49">
        <f t="shared" si="91"/>
        <v>93.672155372598681</v>
      </c>
      <c r="F193" s="49">
        <v>4050</v>
      </c>
      <c r="G193" s="49">
        <v>1306</v>
      </c>
      <c r="H193" s="49">
        <f t="shared" si="92"/>
        <v>310.10719754977026</v>
      </c>
      <c r="I193" s="49">
        <v>18359</v>
      </c>
      <c r="J193" s="49">
        <v>36525</v>
      </c>
      <c r="K193" s="49">
        <f t="shared" si="93"/>
        <v>50.264202600958249</v>
      </c>
      <c r="L193" s="49">
        <v>0</v>
      </c>
      <c r="M193" s="49">
        <v>0</v>
      </c>
      <c r="N193" s="49">
        <f t="shared" si="94"/>
        <v>0</v>
      </c>
      <c r="O193" s="49">
        <v>23</v>
      </c>
      <c r="P193" s="49">
        <v>89</v>
      </c>
      <c r="Q193" s="49">
        <v>23</v>
      </c>
      <c r="R193" s="45">
        <f t="shared" si="95"/>
        <v>2047</v>
      </c>
    </row>
    <row r="194" spans="1:18" x14ac:dyDescent="0.25">
      <c r="A194" s="118">
        <v>10</v>
      </c>
      <c r="B194" s="120" t="s">
        <v>162</v>
      </c>
      <c r="C194" s="49">
        <v>13309</v>
      </c>
      <c r="D194" s="49">
        <v>13525</v>
      </c>
      <c r="E194" s="49">
        <f t="shared" si="91"/>
        <v>98.402957486136785</v>
      </c>
      <c r="F194" s="49">
        <v>3049</v>
      </c>
      <c r="G194" s="49">
        <v>3271</v>
      </c>
      <c r="H194" s="49">
        <f t="shared" si="92"/>
        <v>93.213084683583006</v>
      </c>
      <c r="I194" s="49">
        <v>13309</v>
      </c>
      <c r="J194" s="49">
        <v>13525</v>
      </c>
      <c r="K194" s="49">
        <f t="shared" si="93"/>
        <v>98.402957486136785</v>
      </c>
      <c r="L194" s="49">
        <v>0</v>
      </c>
      <c r="M194" s="49">
        <v>0</v>
      </c>
      <c r="N194" s="49">
        <f t="shared" si="94"/>
        <v>0</v>
      </c>
      <c r="O194" s="49">
        <v>24</v>
      </c>
      <c r="P194" s="49">
        <v>49.4</v>
      </c>
      <c r="Q194" s="49">
        <v>21</v>
      </c>
      <c r="R194" s="74">
        <f t="shared" si="95"/>
        <v>1185.5999999999999</v>
      </c>
    </row>
    <row r="195" spans="1:18" x14ac:dyDescent="0.25">
      <c r="A195" s="118">
        <v>11</v>
      </c>
      <c r="B195" s="123" t="s">
        <v>163</v>
      </c>
      <c r="C195" s="49">
        <v>4424</v>
      </c>
      <c r="D195" s="49">
        <v>3445</v>
      </c>
      <c r="E195" s="49">
        <f t="shared" si="91"/>
        <v>128.41799709724236</v>
      </c>
      <c r="F195" s="49">
        <v>1312</v>
      </c>
      <c r="G195" s="49">
        <v>1010</v>
      </c>
      <c r="H195" s="49">
        <f t="shared" si="92"/>
        <v>129.9009900990099</v>
      </c>
      <c r="I195" s="49">
        <v>3084</v>
      </c>
      <c r="J195" s="49">
        <v>3818</v>
      </c>
      <c r="K195" s="49">
        <f t="shared" si="93"/>
        <v>80.775275013095865</v>
      </c>
      <c r="L195" s="49">
        <v>0</v>
      </c>
      <c r="M195" s="49">
        <v>0</v>
      </c>
      <c r="N195" s="49">
        <f t="shared" si="94"/>
        <v>0</v>
      </c>
      <c r="O195" s="49">
        <v>26</v>
      </c>
      <c r="P195" s="49">
        <v>54</v>
      </c>
      <c r="Q195" s="49">
        <v>26</v>
      </c>
      <c r="R195" s="45">
        <f t="shared" si="95"/>
        <v>1404</v>
      </c>
    </row>
    <row r="196" spans="1:18" s="60" customFormat="1" x14ac:dyDescent="0.25">
      <c r="A196" s="315" t="s">
        <v>173</v>
      </c>
      <c r="B196" s="315" t="s">
        <v>139</v>
      </c>
      <c r="C196" s="124">
        <f>SUM(C185:C195)</f>
        <v>773851.7</v>
      </c>
      <c r="D196" s="124">
        <f>SUM(D185:D195)</f>
        <v>1103461.3999999999</v>
      </c>
      <c r="E196" s="57">
        <f t="shared" ref="E196" si="96">C196/D196*100</f>
        <v>70.129476210042327</v>
      </c>
      <c r="F196" s="124">
        <f>SUM(F185:F195)</f>
        <v>121073.60000000001</v>
      </c>
      <c r="G196" s="124">
        <f>SUM(G185:G195)</f>
        <v>210023.5</v>
      </c>
      <c r="H196" s="57">
        <f t="shared" ref="H196" si="97">F196/G196*100</f>
        <v>57.647644192197546</v>
      </c>
      <c r="I196" s="124">
        <f>SUM(I185:I195)</f>
        <v>563181.30000000005</v>
      </c>
      <c r="J196" s="124">
        <f>SUM(J185:J195)</f>
        <v>985308.9</v>
      </c>
      <c r="K196" s="57">
        <f>I196/J196*100</f>
        <v>57.157841566233699</v>
      </c>
      <c r="L196" s="124">
        <f>SUM(L185:L195)</f>
        <v>87546</v>
      </c>
      <c r="M196" s="124">
        <f>SUM(M185:M195)</f>
        <v>360784</v>
      </c>
      <c r="N196" s="57">
        <f>L196/M196*100</f>
        <v>24.265488491729123</v>
      </c>
      <c r="O196" s="124">
        <f>SUM(O185:O195)</f>
        <v>722</v>
      </c>
      <c r="P196" s="57">
        <f>R196/O196</f>
        <v>162.55678670360112</v>
      </c>
      <c r="Q196" s="124">
        <f>SUM(Q185:Q195)</f>
        <v>714</v>
      </c>
      <c r="R196" s="59">
        <f>SUM(R185:R195)</f>
        <v>117366</v>
      </c>
    </row>
    <row r="197" spans="1:18" x14ac:dyDescent="0.25">
      <c r="A197" s="125"/>
      <c r="B197" s="37"/>
      <c r="C197" s="125"/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  <c r="N197" s="125"/>
      <c r="O197" s="125"/>
      <c r="P197" s="125"/>
      <c r="Q197" s="125"/>
      <c r="R197" s="126"/>
    </row>
    <row r="198" spans="1:18" x14ac:dyDescent="0.25">
      <c r="A198" s="226"/>
      <c r="B198" s="201"/>
      <c r="C198" s="125"/>
      <c r="D198" s="125"/>
      <c r="E198" s="125"/>
      <c r="F198" s="125"/>
      <c r="G198" s="125"/>
      <c r="H198" s="125"/>
      <c r="I198" s="125"/>
      <c r="J198" s="125"/>
      <c r="K198" s="125"/>
      <c r="L198" s="125"/>
      <c r="M198" s="125"/>
      <c r="N198" s="125"/>
      <c r="O198" s="125"/>
      <c r="P198" s="125"/>
      <c r="Q198" s="125"/>
      <c r="R198" s="126"/>
    </row>
    <row r="199" spans="1:18" x14ac:dyDescent="0.25">
      <c r="A199" s="226"/>
      <c r="B199" s="201"/>
      <c r="C199" s="125"/>
      <c r="D199" s="125"/>
      <c r="E199" s="125"/>
      <c r="F199" s="125"/>
      <c r="G199" s="125"/>
      <c r="H199" s="125"/>
      <c r="I199" s="125"/>
      <c r="J199" s="125"/>
      <c r="K199" s="125"/>
      <c r="L199" s="125"/>
      <c r="M199" s="125"/>
      <c r="N199" s="125"/>
      <c r="O199" s="125"/>
      <c r="P199" s="125"/>
      <c r="Q199" s="125"/>
      <c r="R199" s="126"/>
    </row>
    <row r="200" spans="1:18" x14ac:dyDescent="0.25">
      <c r="A200" s="323" t="s">
        <v>22</v>
      </c>
      <c r="B200" s="324"/>
      <c r="C200" s="37">
        <v>3</v>
      </c>
      <c r="D200" s="37">
        <v>4</v>
      </c>
      <c r="E200" s="193">
        <v>5</v>
      </c>
      <c r="F200" s="37">
        <v>6</v>
      </c>
      <c r="G200" s="37">
        <v>7</v>
      </c>
      <c r="H200" s="37">
        <v>8</v>
      </c>
      <c r="I200" s="37">
        <v>9</v>
      </c>
      <c r="J200" s="37">
        <v>10</v>
      </c>
      <c r="K200" s="37">
        <v>11</v>
      </c>
      <c r="L200" s="37">
        <v>12</v>
      </c>
      <c r="M200" s="37">
        <v>13</v>
      </c>
      <c r="N200" s="37">
        <v>14</v>
      </c>
      <c r="O200" s="37">
        <v>15</v>
      </c>
      <c r="P200" s="193">
        <v>16</v>
      </c>
      <c r="Q200" s="37">
        <v>15</v>
      </c>
      <c r="R200" s="23"/>
    </row>
    <row r="201" spans="1:18" x14ac:dyDescent="0.25">
      <c r="A201" s="96">
        <v>1</v>
      </c>
      <c r="B201" s="127" t="s">
        <v>164</v>
      </c>
      <c r="C201" s="49">
        <v>54577</v>
      </c>
      <c r="D201" s="49">
        <v>68375</v>
      </c>
      <c r="E201" s="119">
        <f t="shared" ref="E201:E202" si="98">C201/D201*100</f>
        <v>79.820109689213893</v>
      </c>
      <c r="F201" s="49">
        <v>6181</v>
      </c>
      <c r="G201" s="49">
        <v>5679</v>
      </c>
      <c r="H201" s="119">
        <f t="shared" ref="H201:H202" si="99">F201/G201*100</f>
        <v>108.8395844338792</v>
      </c>
      <c r="I201" s="49">
        <v>54577</v>
      </c>
      <c r="J201" s="49">
        <v>68375</v>
      </c>
      <c r="K201" s="97">
        <f t="shared" ref="K201:K202" si="100">IF(OR(I201=0,J201=0),0,I201/J201*100)</f>
        <v>79.820109689213893</v>
      </c>
      <c r="L201" s="49">
        <v>54577</v>
      </c>
      <c r="M201" s="49">
        <v>68375</v>
      </c>
      <c r="N201" s="47">
        <f t="shared" ref="N201:N202" si="101">L201/M201*100</f>
        <v>79.820109689213893</v>
      </c>
      <c r="O201" s="34">
        <v>49</v>
      </c>
      <c r="P201" s="96">
        <v>46</v>
      </c>
      <c r="Q201" s="34">
        <v>48</v>
      </c>
      <c r="R201" s="74">
        <f t="shared" ref="R201:R202" si="102">O201*P201</f>
        <v>2254</v>
      </c>
    </row>
    <row r="202" spans="1:18" x14ac:dyDescent="0.25">
      <c r="A202" s="96">
        <v>2</v>
      </c>
      <c r="B202" s="127" t="s">
        <v>165</v>
      </c>
      <c r="C202" s="49">
        <v>113679</v>
      </c>
      <c r="D202" s="49">
        <v>145425</v>
      </c>
      <c r="E202" s="119">
        <f t="shared" si="98"/>
        <v>78.170190820010305</v>
      </c>
      <c r="F202" s="49">
        <v>14027</v>
      </c>
      <c r="G202" s="49">
        <v>36333</v>
      </c>
      <c r="H202" s="119">
        <f t="shared" si="99"/>
        <v>38.606776208956042</v>
      </c>
      <c r="I202" s="49">
        <v>23666</v>
      </c>
      <c r="J202" s="49">
        <v>152802</v>
      </c>
      <c r="K202" s="97">
        <f t="shared" si="100"/>
        <v>15.488017172550098</v>
      </c>
      <c r="L202" s="49">
        <v>0</v>
      </c>
      <c r="M202" s="49">
        <v>28808</v>
      </c>
      <c r="N202" s="47">
        <f t="shared" si="101"/>
        <v>0</v>
      </c>
      <c r="O202" s="34">
        <v>188</v>
      </c>
      <c r="P202" s="96">
        <v>67</v>
      </c>
      <c r="Q202" s="34">
        <v>189</v>
      </c>
      <c r="R202" s="74">
        <f t="shared" si="102"/>
        <v>12596</v>
      </c>
    </row>
    <row r="203" spans="1:18" s="60" customFormat="1" x14ac:dyDescent="0.25">
      <c r="A203" s="315" t="s">
        <v>173</v>
      </c>
      <c r="B203" s="315" t="s">
        <v>139</v>
      </c>
      <c r="C203" s="56">
        <f>SUM(C201:C202)</f>
        <v>168256</v>
      </c>
      <c r="D203" s="56">
        <f>SUM(D201:D202)</f>
        <v>213800</v>
      </c>
      <c r="E203" s="57">
        <f>C203/D203*100</f>
        <v>78.697848456501404</v>
      </c>
      <c r="F203" s="56">
        <f>SUM(F201:F202)</f>
        <v>20208</v>
      </c>
      <c r="G203" s="56">
        <f>SUM(G201:G202)</f>
        <v>42012</v>
      </c>
      <c r="H203" s="57">
        <f>F203/G203*100</f>
        <v>48.100542702085122</v>
      </c>
      <c r="I203" s="57">
        <f>SUM(I201:I202)</f>
        <v>78243</v>
      </c>
      <c r="J203" s="56">
        <f>SUM(J201:J202)</f>
        <v>221177</v>
      </c>
      <c r="K203" s="57">
        <f>I203/J203*100</f>
        <v>35.375739792112199</v>
      </c>
      <c r="L203" s="58">
        <f>SUM(L201:L202)</f>
        <v>54577</v>
      </c>
      <c r="M203" s="56">
        <f>SUM(M201:M202)</f>
        <v>97183</v>
      </c>
      <c r="N203" s="57">
        <f>L203/M203*100</f>
        <v>56.158999001883046</v>
      </c>
      <c r="O203" s="58">
        <f>SUM(O201:O202)</f>
        <v>237</v>
      </c>
      <c r="P203" s="58">
        <f>R203/O203</f>
        <v>62.658227848101269</v>
      </c>
      <c r="Q203" s="58">
        <f>SUM(Q201:Q202)</f>
        <v>237</v>
      </c>
      <c r="R203" s="59">
        <f>SUM(R201:R202)</f>
        <v>14850</v>
      </c>
    </row>
    <row r="204" spans="1:18" x14ac:dyDescent="0.25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6"/>
    </row>
    <row r="205" spans="1:18" x14ac:dyDescent="0.25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6"/>
    </row>
    <row r="206" spans="1:18" x14ac:dyDescent="0.25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6"/>
    </row>
    <row r="207" spans="1:18" x14ac:dyDescent="0.25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6"/>
    </row>
    <row r="208" spans="1:18" x14ac:dyDescent="0.25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6"/>
    </row>
    <row r="209" spans="1:22" x14ac:dyDescent="0.25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6"/>
    </row>
    <row r="210" spans="1:22" x14ac:dyDescent="0.25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6"/>
    </row>
    <row r="211" spans="1:22" x14ac:dyDescent="0.25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</row>
    <row r="212" spans="1:22" x14ac:dyDescent="0.25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</row>
    <row r="213" spans="1:22" x14ac:dyDescent="0.25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</row>
    <row r="214" spans="1:22" x14ac:dyDescent="0.25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</row>
    <row r="215" spans="1:22" x14ac:dyDescent="0.25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</row>
    <row r="216" spans="1:22" x14ac:dyDescent="0.25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</row>
    <row r="217" spans="1:22" x14ac:dyDescent="0.25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</row>
    <row r="218" spans="1:22" x14ac:dyDescent="0.25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</row>
    <row r="219" spans="1:22" x14ac:dyDescent="0.25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</row>
    <row r="220" spans="1:22" x14ac:dyDescent="0.25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</row>
    <row r="221" spans="1:22" x14ac:dyDescent="0.25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</row>
    <row r="222" spans="1:22" x14ac:dyDescent="0.25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</row>
    <row r="223" spans="1:22" x14ac:dyDescent="0.25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</row>
    <row r="224" spans="1:22" x14ac:dyDescent="0.25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</row>
    <row r="225" spans="1:22" x14ac:dyDescent="0.25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</row>
    <row r="226" spans="1:22" x14ac:dyDescent="0.25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</row>
    <row r="227" spans="1:22" x14ac:dyDescent="0.25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</row>
    <row r="228" spans="1:22" x14ac:dyDescent="0.25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</row>
    <row r="229" spans="1:22" x14ac:dyDescent="0.25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</row>
    <row r="230" spans="1:22" x14ac:dyDescent="0.25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</row>
    <row r="231" spans="1:22" x14ac:dyDescent="0.25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</row>
    <row r="232" spans="1:22" x14ac:dyDescent="0.25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</row>
    <row r="233" spans="1:22" x14ac:dyDescent="0.25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</row>
    <row r="234" spans="1:22" x14ac:dyDescent="0.25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</row>
    <row r="235" spans="1:22" x14ac:dyDescent="0.25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</row>
    <row r="236" spans="1:22" x14ac:dyDescent="0.25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</row>
    <row r="237" spans="1:22" x14ac:dyDescent="0.25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</row>
    <row r="238" spans="1:22" x14ac:dyDescent="0.25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</row>
    <row r="239" spans="1:22" x14ac:dyDescent="0.25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</row>
    <row r="240" spans="1:22" x14ac:dyDescent="0.25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</row>
    <row r="241" spans="1:22" x14ac:dyDescent="0.25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</row>
    <row r="242" spans="1:22" x14ac:dyDescent="0.25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</row>
    <row r="243" spans="1:22" x14ac:dyDescent="0.25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</row>
    <row r="244" spans="1:22" x14ac:dyDescent="0.25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</row>
    <row r="245" spans="1:22" x14ac:dyDescent="0.25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</row>
    <row r="246" spans="1:22" x14ac:dyDescent="0.25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</row>
    <row r="247" spans="1:22" x14ac:dyDescent="0.25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</row>
    <row r="248" spans="1:22" x14ac:dyDescent="0.25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</row>
    <row r="249" spans="1:22" x14ac:dyDescent="0.25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</row>
    <row r="250" spans="1:22" x14ac:dyDescent="0.25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</row>
    <row r="251" spans="1:22" x14ac:dyDescent="0.25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</row>
    <row r="252" spans="1:22" x14ac:dyDescent="0.25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</row>
    <row r="253" spans="1:22" x14ac:dyDescent="0.25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</row>
    <row r="254" spans="1:22" x14ac:dyDescent="0.25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</row>
    <row r="255" spans="1:22" x14ac:dyDescent="0.25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</row>
    <row r="256" spans="1:22" x14ac:dyDescent="0.25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</row>
    <row r="257" spans="1:22" x14ac:dyDescent="0.25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</row>
    <row r="258" spans="1:22" s="18" customFormat="1" x14ac:dyDescent="0.25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</row>
    <row r="259" spans="1:22" s="18" customFormat="1" x14ac:dyDescent="0.25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</row>
    <row r="260" spans="1:22" s="18" customFormat="1" x14ac:dyDescent="0.25"/>
    <row r="261" spans="1:22" s="18" customFormat="1" x14ac:dyDescent="0.25"/>
    <row r="262" spans="1:22" s="18" customFormat="1" x14ac:dyDescent="0.25"/>
    <row r="263" spans="1:22" s="18" customFormat="1" x14ac:dyDescent="0.25"/>
    <row r="264" spans="1:22" s="18" customFormat="1" x14ac:dyDescent="0.25"/>
    <row r="265" spans="1:22" s="18" customFormat="1" x14ac:dyDescent="0.25"/>
    <row r="266" spans="1:22" s="18" customFormat="1" x14ac:dyDescent="0.25"/>
    <row r="267" spans="1:22" s="18" customFormat="1" x14ac:dyDescent="0.25"/>
    <row r="268" spans="1:22" s="18" customFormat="1" x14ac:dyDescent="0.25"/>
    <row r="269" spans="1:22" s="18" customFormat="1" x14ac:dyDescent="0.25"/>
    <row r="270" spans="1:22" s="18" customFormat="1" x14ac:dyDescent="0.25"/>
    <row r="271" spans="1:22" s="18" customFormat="1" x14ac:dyDescent="0.25"/>
    <row r="272" spans="1:2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</sheetData>
  <mergeCells count="54">
    <mergeCell ref="A200:B200"/>
    <mergeCell ref="A203:B203"/>
    <mergeCell ref="A171:B171"/>
    <mergeCell ref="A182:B182"/>
    <mergeCell ref="A184:B184"/>
    <mergeCell ref="A196:B196"/>
    <mergeCell ref="A95:B95"/>
    <mergeCell ref="A97:B97"/>
    <mergeCell ref="A165:B165"/>
    <mergeCell ref="A169:B169"/>
    <mergeCell ref="A135:B135"/>
    <mergeCell ref="A137:B137"/>
    <mergeCell ref="A143:B143"/>
    <mergeCell ref="A153:B153"/>
    <mergeCell ref="A154:B154"/>
    <mergeCell ref="A163:B163"/>
    <mergeCell ref="A123:B123"/>
    <mergeCell ref="Q36:Q37"/>
    <mergeCell ref="P36:P37"/>
    <mergeCell ref="A80:B80"/>
    <mergeCell ref="A81:B81"/>
    <mergeCell ref="A83:B83"/>
    <mergeCell ref="A71:B71"/>
    <mergeCell ref="A39:B39"/>
    <mergeCell ref="A57:B57"/>
    <mergeCell ref="A59:B59"/>
    <mergeCell ref="A69:B69"/>
    <mergeCell ref="O36:O37"/>
    <mergeCell ref="A36:A37"/>
    <mergeCell ref="B36:B37"/>
    <mergeCell ref="C36:G36"/>
    <mergeCell ref="H36:K36"/>
    <mergeCell ref="A33:Q35"/>
    <mergeCell ref="D7:D11"/>
    <mergeCell ref="E7:E11"/>
    <mergeCell ref="F7:F11"/>
    <mergeCell ref="G7:G11"/>
    <mergeCell ref="H7:H11"/>
    <mergeCell ref="I7:I11"/>
    <mergeCell ref="J7:J11"/>
    <mergeCell ref="K7:K11"/>
    <mergeCell ref="L7:L11"/>
    <mergeCell ref="M7:M11"/>
    <mergeCell ref="N7:N11"/>
    <mergeCell ref="A4:Q5"/>
    <mergeCell ref="A6:A11"/>
    <mergeCell ref="B6:B11"/>
    <mergeCell ref="C6:H6"/>
    <mergeCell ref="I6:K6"/>
    <mergeCell ref="L6:N6"/>
    <mergeCell ref="O6:O11"/>
    <mergeCell ref="P6:P11"/>
    <mergeCell ref="Q6:Q11"/>
    <mergeCell ref="C7:C11"/>
  </mergeCells>
  <pageMargins left="0.16" right="0.16" top="0.75" bottom="0.75" header="0.3" footer="0.3"/>
  <pageSetup scale="80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M279"/>
  <sheetViews>
    <sheetView topLeftCell="A37" workbookViewId="0">
      <selection activeCell="C55" sqref="C55"/>
    </sheetView>
  </sheetViews>
  <sheetFormatPr defaultRowHeight="15" x14ac:dyDescent="0.25"/>
  <cols>
    <col min="1" max="1" width="3.28515625" customWidth="1"/>
    <col min="2" max="2" width="27.5703125" customWidth="1"/>
    <col min="3" max="3" width="11.42578125" customWidth="1"/>
    <col min="4" max="4" width="11.5703125" customWidth="1"/>
    <col min="5" max="5" width="9.140625" customWidth="1"/>
    <col min="6" max="6" width="11" customWidth="1"/>
    <col min="7" max="7" width="10.28515625" customWidth="1"/>
    <col min="8" max="8" width="7.140625" customWidth="1"/>
    <col min="9" max="9" width="11.28515625" customWidth="1"/>
    <col min="10" max="10" width="11.42578125" customWidth="1"/>
    <col min="11" max="11" width="6.28515625" customWidth="1"/>
    <col min="12" max="12" width="11.28515625" customWidth="1"/>
    <col min="13" max="13" width="11.42578125" customWidth="1"/>
    <col min="14" max="14" width="6.28515625" customWidth="1"/>
    <col min="15" max="15" width="7.28515625" customWidth="1"/>
    <col min="16" max="16" width="7.42578125" customWidth="1"/>
    <col min="17" max="17" width="7.85546875" customWidth="1"/>
    <col min="18" max="18" width="10.28515625" customWidth="1"/>
  </cols>
  <sheetData>
    <row r="4" spans="1:18" x14ac:dyDescent="0.25">
      <c r="A4" s="337" t="s">
        <v>214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</row>
    <row r="5" spans="1:18" x14ac:dyDescent="0.25">
      <c r="A5" s="338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  <c r="R5" s="1"/>
    </row>
    <row r="6" spans="1:18" x14ac:dyDescent="0.25">
      <c r="A6" s="339" t="s">
        <v>0</v>
      </c>
      <c r="B6" s="340" t="s">
        <v>1</v>
      </c>
      <c r="C6" s="341" t="s">
        <v>172</v>
      </c>
      <c r="D6" s="341"/>
      <c r="E6" s="341"/>
      <c r="F6" s="341"/>
      <c r="G6" s="341"/>
      <c r="H6" s="341"/>
      <c r="I6" s="342" t="s">
        <v>2</v>
      </c>
      <c r="J6" s="343"/>
      <c r="K6" s="344"/>
      <c r="L6" s="345" t="s">
        <v>3</v>
      </c>
      <c r="M6" s="346"/>
      <c r="N6" s="347"/>
      <c r="O6" s="340" t="s">
        <v>4</v>
      </c>
      <c r="P6" s="348" t="s">
        <v>5</v>
      </c>
      <c r="Q6" s="340" t="s">
        <v>6</v>
      </c>
      <c r="R6" s="2"/>
    </row>
    <row r="7" spans="1:18" x14ac:dyDescent="0.25">
      <c r="A7" s="339"/>
      <c r="B7" s="340"/>
      <c r="C7" s="340" t="s">
        <v>7</v>
      </c>
      <c r="D7" s="340" t="s">
        <v>8</v>
      </c>
      <c r="E7" s="349" t="s">
        <v>9</v>
      </c>
      <c r="F7" s="340" t="s">
        <v>10</v>
      </c>
      <c r="G7" s="340" t="s">
        <v>8</v>
      </c>
      <c r="H7" s="349" t="s">
        <v>9</v>
      </c>
      <c r="I7" s="340" t="s">
        <v>11</v>
      </c>
      <c r="J7" s="340" t="s">
        <v>8</v>
      </c>
      <c r="K7" s="349" t="s">
        <v>9</v>
      </c>
      <c r="L7" s="340" t="s">
        <v>11</v>
      </c>
      <c r="M7" s="340" t="s">
        <v>8</v>
      </c>
      <c r="N7" s="349" t="s">
        <v>9</v>
      </c>
      <c r="O7" s="340"/>
      <c r="P7" s="348"/>
      <c r="Q7" s="340"/>
      <c r="R7" s="2"/>
    </row>
    <row r="8" spans="1:18" x14ac:dyDescent="0.25">
      <c r="A8" s="339"/>
      <c r="B8" s="340"/>
      <c r="C8" s="340"/>
      <c r="D8" s="340"/>
      <c r="E8" s="349"/>
      <c r="F8" s="340"/>
      <c r="G8" s="340"/>
      <c r="H8" s="349"/>
      <c r="I8" s="340"/>
      <c r="J8" s="340"/>
      <c r="K8" s="349"/>
      <c r="L8" s="340"/>
      <c r="M8" s="340"/>
      <c r="N8" s="349"/>
      <c r="O8" s="340"/>
      <c r="P8" s="348"/>
      <c r="Q8" s="340"/>
      <c r="R8" s="2"/>
    </row>
    <row r="9" spans="1:18" x14ac:dyDescent="0.25">
      <c r="A9" s="339"/>
      <c r="B9" s="340"/>
      <c r="C9" s="340"/>
      <c r="D9" s="340"/>
      <c r="E9" s="349"/>
      <c r="F9" s="340"/>
      <c r="G9" s="340"/>
      <c r="H9" s="349"/>
      <c r="I9" s="340"/>
      <c r="J9" s="340"/>
      <c r="K9" s="349"/>
      <c r="L9" s="340"/>
      <c r="M9" s="340"/>
      <c r="N9" s="349"/>
      <c r="O9" s="340"/>
      <c r="P9" s="348"/>
      <c r="Q9" s="340"/>
      <c r="R9" s="2"/>
    </row>
    <row r="10" spans="1:18" x14ac:dyDescent="0.25">
      <c r="A10" s="339"/>
      <c r="B10" s="340"/>
      <c r="C10" s="340"/>
      <c r="D10" s="340"/>
      <c r="E10" s="349"/>
      <c r="F10" s="340"/>
      <c r="G10" s="340"/>
      <c r="H10" s="349"/>
      <c r="I10" s="340"/>
      <c r="J10" s="340"/>
      <c r="K10" s="349"/>
      <c r="L10" s="340"/>
      <c r="M10" s="340"/>
      <c r="N10" s="349"/>
      <c r="O10" s="340"/>
      <c r="P10" s="348"/>
      <c r="Q10" s="340"/>
      <c r="R10" s="2"/>
    </row>
    <row r="11" spans="1:18" x14ac:dyDescent="0.25">
      <c r="A11" s="339"/>
      <c r="B11" s="340"/>
      <c r="C11" s="340"/>
      <c r="D11" s="340"/>
      <c r="E11" s="349"/>
      <c r="F11" s="340"/>
      <c r="G11" s="340"/>
      <c r="H11" s="349"/>
      <c r="I11" s="340"/>
      <c r="J11" s="340"/>
      <c r="K11" s="349"/>
      <c r="L11" s="340"/>
      <c r="M11" s="340"/>
      <c r="N11" s="349"/>
      <c r="O11" s="340"/>
      <c r="P11" s="348"/>
      <c r="Q11" s="340"/>
      <c r="R11" s="2"/>
    </row>
    <row r="12" spans="1:18" x14ac:dyDescent="0.25">
      <c r="A12" s="227">
        <v>1</v>
      </c>
      <c r="B12" s="227">
        <v>2</v>
      </c>
      <c r="C12" s="228">
        <v>3</v>
      </c>
      <c r="D12" s="228">
        <v>4</v>
      </c>
      <c r="E12" s="5">
        <v>5</v>
      </c>
      <c r="F12" s="228">
        <v>6</v>
      </c>
      <c r="G12" s="228">
        <v>7</v>
      </c>
      <c r="H12" s="228">
        <v>8</v>
      </c>
      <c r="I12" s="228">
        <v>11</v>
      </c>
      <c r="J12" s="228">
        <v>12</v>
      </c>
      <c r="K12" s="228">
        <v>13</v>
      </c>
      <c r="L12" s="228">
        <v>17</v>
      </c>
      <c r="M12" s="228">
        <v>18</v>
      </c>
      <c r="N12" s="228">
        <v>19</v>
      </c>
      <c r="O12" s="228">
        <v>20</v>
      </c>
      <c r="P12" s="5">
        <v>21</v>
      </c>
      <c r="Q12" s="228">
        <v>22</v>
      </c>
      <c r="R12" s="6"/>
    </row>
    <row r="13" spans="1:18" ht="16.5" x14ac:dyDescent="0.25">
      <c r="A13" s="7">
        <v>1</v>
      </c>
      <c r="B13" s="219" t="s">
        <v>209</v>
      </c>
      <c r="C13" s="5">
        <f t="shared" ref="C13:P13" si="0">C143</f>
        <v>116130390</v>
      </c>
      <c r="D13" s="5">
        <f t="shared" si="0"/>
        <v>107763758</v>
      </c>
      <c r="E13" s="9">
        <f t="shared" si="0"/>
        <v>107.76386435966718</v>
      </c>
      <c r="F13" s="5">
        <f t="shared" si="0"/>
        <v>16000625</v>
      </c>
      <c r="G13" s="10">
        <f t="shared" si="0"/>
        <v>13915333</v>
      </c>
      <c r="H13" s="11">
        <f t="shared" si="0"/>
        <v>114.98557023392829</v>
      </c>
      <c r="I13" s="10">
        <f t="shared" si="0"/>
        <v>109794455</v>
      </c>
      <c r="J13" s="10">
        <f t="shared" si="0"/>
        <v>103721292</v>
      </c>
      <c r="K13" s="11">
        <f t="shared" si="0"/>
        <v>105.85527125905836</v>
      </c>
      <c r="L13" s="5">
        <f t="shared" si="0"/>
        <v>68871131</v>
      </c>
      <c r="M13" s="5">
        <f t="shared" si="0"/>
        <v>66238609</v>
      </c>
      <c r="N13" s="9">
        <f t="shared" si="0"/>
        <v>103.97430145309966</v>
      </c>
      <c r="O13" s="5">
        <f>O154</f>
        <v>6298</v>
      </c>
      <c r="P13" s="9">
        <f t="shared" si="0"/>
        <v>175.66890815784816</v>
      </c>
      <c r="Q13" s="5">
        <f>Q143</f>
        <v>5649</v>
      </c>
      <c r="R13" s="12">
        <f t="shared" ref="R13:R25" si="1">O13*P13</f>
        <v>1106362.7835781279</v>
      </c>
    </row>
    <row r="14" spans="1:18" ht="16.5" x14ac:dyDescent="0.25">
      <c r="A14" s="7"/>
      <c r="B14" s="219" t="s">
        <v>210</v>
      </c>
      <c r="C14" s="5">
        <f>C153</f>
        <v>105834498</v>
      </c>
      <c r="D14" s="5">
        <f>D153</f>
        <v>100590254</v>
      </c>
      <c r="E14" s="9">
        <f t="shared" ref="E14:Q14" si="2">E153</f>
        <v>105.21347127724721</v>
      </c>
      <c r="F14" s="5">
        <f t="shared" si="2"/>
        <v>14249099</v>
      </c>
      <c r="G14" s="5">
        <f t="shared" si="2"/>
        <v>11932710</v>
      </c>
      <c r="H14" s="9">
        <f t="shared" si="2"/>
        <v>119.41209498931929</v>
      </c>
      <c r="I14" s="5">
        <f t="shared" si="2"/>
        <v>102590064</v>
      </c>
      <c r="J14" s="5">
        <f t="shared" si="2"/>
        <v>100341668</v>
      </c>
      <c r="K14" s="9">
        <f t="shared" si="2"/>
        <v>102.24074010808751</v>
      </c>
      <c r="L14" s="5">
        <f t="shared" si="2"/>
        <v>99725493</v>
      </c>
      <c r="M14" s="5">
        <f t="shared" si="2"/>
        <v>98351378</v>
      </c>
      <c r="N14" s="9">
        <f t="shared" si="2"/>
        <v>101.39714870085501</v>
      </c>
      <c r="O14" s="5">
        <f t="shared" si="2"/>
        <v>647</v>
      </c>
      <c r="P14" s="5">
        <f t="shared" si="2"/>
        <v>130</v>
      </c>
      <c r="Q14" s="5">
        <f t="shared" si="2"/>
        <v>3171</v>
      </c>
      <c r="R14" s="12">
        <f t="shared" si="1"/>
        <v>84110</v>
      </c>
    </row>
    <row r="15" spans="1:18" ht="16.5" x14ac:dyDescent="0.25">
      <c r="A15" s="7">
        <v>2</v>
      </c>
      <c r="B15" s="219" t="s">
        <v>212</v>
      </c>
      <c r="C15" s="5">
        <f t="shared" ref="C15:P15" si="3">C163</f>
        <v>7519723</v>
      </c>
      <c r="D15" s="5">
        <f t="shared" si="3"/>
        <v>8949449</v>
      </c>
      <c r="E15" s="9">
        <f t="shared" si="3"/>
        <v>84.024424296959509</v>
      </c>
      <c r="F15" s="5">
        <f t="shared" si="3"/>
        <v>1156582</v>
      </c>
      <c r="G15" s="10">
        <f t="shared" si="3"/>
        <v>1391183</v>
      </c>
      <c r="H15" s="11">
        <f t="shared" si="3"/>
        <v>83.136582318789124</v>
      </c>
      <c r="I15" s="10">
        <f t="shared" si="3"/>
        <v>7923565</v>
      </c>
      <c r="J15" s="10">
        <f t="shared" si="3"/>
        <v>8778603</v>
      </c>
      <c r="K15" s="11">
        <f t="shared" si="3"/>
        <v>90.259976444999282</v>
      </c>
      <c r="L15" s="5">
        <f t="shared" si="3"/>
        <v>2677960</v>
      </c>
      <c r="M15" s="5">
        <f t="shared" si="3"/>
        <v>2067910</v>
      </c>
      <c r="N15" s="9">
        <f t="shared" si="3"/>
        <v>129.50080032496578</v>
      </c>
      <c r="O15" s="5">
        <f t="shared" si="3"/>
        <v>364</v>
      </c>
      <c r="P15" s="9">
        <f t="shared" si="3"/>
        <v>80</v>
      </c>
      <c r="Q15" s="5">
        <f>Q163</f>
        <v>1252</v>
      </c>
      <c r="R15" s="12">
        <f t="shared" si="1"/>
        <v>29120</v>
      </c>
    </row>
    <row r="16" spans="1:18" ht="16.5" x14ac:dyDescent="0.25">
      <c r="A16" s="7">
        <v>3</v>
      </c>
      <c r="B16" s="219" t="s">
        <v>180</v>
      </c>
      <c r="C16" s="5">
        <f t="shared" ref="C16:P16" si="4">C182</f>
        <v>7592438</v>
      </c>
      <c r="D16" s="5">
        <f t="shared" si="4"/>
        <v>8824109</v>
      </c>
      <c r="E16" s="9">
        <f t="shared" si="4"/>
        <v>86.041978855882221</v>
      </c>
      <c r="F16" s="5">
        <f t="shared" si="4"/>
        <v>1468801</v>
      </c>
      <c r="G16" s="10">
        <f t="shared" si="4"/>
        <v>1273181</v>
      </c>
      <c r="H16" s="11">
        <f t="shared" si="4"/>
        <v>115.36466535394419</v>
      </c>
      <c r="I16" s="10">
        <f t="shared" si="4"/>
        <v>7869174</v>
      </c>
      <c r="J16" s="10">
        <f t="shared" si="4"/>
        <v>8708125</v>
      </c>
      <c r="K16" s="11">
        <f t="shared" si="4"/>
        <v>90.365882437378886</v>
      </c>
      <c r="L16" s="5">
        <f t="shared" si="4"/>
        <v>7836281</v>
      </c>
      <c r="M16" s="5">
        <f t="shared" si="4"/>
        <v>8678124</v>
      </c>
      <c r="N16" s="9">
        <f t="shared" si="4"/>
        <v>90.299251312841349</v>
      </c>
      <c r="O16" s="5">
        <f t="shared" si="4"/>
        <v>486</v>
      </c>
      <c r="P16" s="9">
        <f t="shared" si="4"/>
        <v>104.04732510288066</v>
      </c>
      <c r="Q16" s="5">
        <f>Q182</f>
        <v>543</v>
      </c>
      <c r="R16" s="12">
        <f t="shared" si="1"/>
        <v>50567</v>
      </c>
    </row>
    <row r="17" spans="1:18" ht="16.5" x14ac:dyDescent="0.25">
      <c r="A17" s="7">
        <v>4</v>
      </c>
      <c r="B17" s="219" t="s">
        <v>181</v>
      </c>
      <c r="C17" s="5">
        <f t="shared" ref="C17:Q17" si="5">C57</f>
        <v>2547231</v>
      </c>
      <c r="D17" s="10">
        <f t="shared" si="5"/>
        <v>1715474</v>
      </c>
      <c r="E17" s="11">
        <f t="shared" si="5"/>
        <v>148.48554976642023</v>
      </c>
      <c r="F17" s="10">
        <f t="shared" si="5"/>
        <v>333852</v>
      </c>
      <c r="G17" s="10">
        <f t="shared" si="5"/>
        <v>211315</v>
      </c>
      <c r="H17" s="11">
        <f t="shared" si="5"/>
        <v>157.98783806166151</v>
      </c>
      <c r="I17" s="10">
        <f t="shared" si="5"/>
        <v>1934666</v>
      </c>
      <c r="J17" s="10">
        <f t="shared" si="5"/>
        <v>1762766</v>
      </c>
      <c r="K17" s="11">
        <f t="shared" si="5"/>
        <v>109.75171974045335</v>
      </c>
      <c r="L17" s="10">
        <f t="shared" si="5"/>
        <v>1097820</v>
      </c>
      <c r="M17" s="10">
        <f t="shared" si="5"/>
        <v>956953</v>
      </c>
      <c r="N17" s="11">
        <f t="shared" si="5"/>
        <v>114.72036766695962</v>
      </c>
      <c r="O17" s="10">
        <f t="shared" si="5"/>
        <v>524</v>
      </c>
      <c r="P17" s="11">
        <f t="shared" si="5"/>
        <v>83.444656488549612</v>
      </c>
      <c r="Q17" s="10">
        <f t="shared" si="5"/>
        <v>830</v>
      </c>
      <c r="R17" s="12">
        <f t="shared" si="1"/>
        <v>43725</v>
      </c>
    </row>
    <row r="18" spans="1:18" ht="16.5" x14ac:dyDescent="0.25">
      <c r="A18" s="7">
        <v>5</v>
      </c>
      <c r="B18" s="219" t="s">
        <v>182</v>
      </c>
      <c r="C18" s="5">
        <f t="shared" ref="C18:Q18" si="6">C69</f>
        <v>1089514</v>
      </c>
      <c r="D18" s="10">
        <f t="shared" si="6"/>
        <v>1129601</v>
      </c>
      <c r="E18" s="11">
        <f t="shared" si="6"/>
        <v>96.45122481300919</v>
      </c>
      <c r="F18" s="10">
        <f t="shared" si="6"/>
        <v>133632</v>
      </c>
      <c r="G18" s="10">
        <f t="shared" si="6"/>
        <v>185794</v>
      </c>
      <c r="H18" s="11">
        <f t="shared" si="6"/>
        <v>71.924819961893277</v>
      </c>
      <c r="I18" s="10">
        <f t="shared" si="6"/>
        <v>1125826</v>
      </c>
      <c r="J18" s="10">
        <f t="shared" si="6"/>
        <v>1123111</v>
      </c>
      <c r="K18" s="11">
        <f t="shared" si="6"/>
        <v>100.24173924037785</v>
      </c>
      <c r="L18" s="10">
        <f t="shared" si="6"/>
        <v>735552</v>
      </c>
      <c r="M18" s="10">
        <f t="shared" si="6"/>
        <v>596776</v>
      </c>
      <c r="N18" s="11">
        <f t="shared" si="6"/>
        <v>123.25428636540343</v>
      </c>
      <c r="O18" s="10">
        <f t="shared" si="6"/>
        <v>447</v>
      </c>
      <c r="P18" s="11">
        <f t="shared" si="6"/>
        <v>61.371364653243845</v>
      </c>
      <c r="Q18" s="10">
        <f t="shared" si="6"/>
        <v>580</v>
      </c>
      <c r="R18" s="12">
        <f t="shared" si="1"/>
        <v>27433</v>
      </c>
    </row>
    <row r="19" spans="1:18" ht="16.5" x14ac:dyDescent="0.25">
      <c r="A19" s="7">
        <v>6</v>
      </c>
      <c r="B19" s="219" t="s">
        <v>183</v>
      </c>
      <c r="C19" s="5">
        <f t="shared" ref="C19:Q19" si="7">C80</f>
        <v>1182815</v>
      </c>
      <c r="D19" s="10">
        <f t="shared" si="7"/>
        <v>744936</v>
      </c>
      <c r="E19" s="11">
        <f t="shared" si="7"/>
        <v>158.78075431983419</v>
      </c>
      <c r="F19" s="10">
        <f t="shared" si="7"/>
        <v>234829</v>
      </c>
      <c r="G19" s="10">
        <f t="shared" si="7"/>
        <v>105102</v>
      </c>
      <c r="H19" s="11">
        <f t="shared" si="7"/>
        <v>223.4296207493673</v>
      </c>
      <c r="I19" s="10">
        <f t="shared" si="7"/>
        <v>1175268</v>
      </c>
      <c r="J19" s="10">
        <f t="shared" si="7"/>
        <v>879058</v>
      </c>
      <c r="K19" s="11">
        <f t="shared" si="7"/>
        <v>133.69629762768781</v>
      </c>
      <c r="L19" s="10">
        <f t="shared" si="7"/>
        <v>604623</v>
      </c>
      <c r="M19" s="10">
        <f t="shared" si="7"/>
        <v>367765</v>
      </c>
      <c r="N19" s="11">
        <f t="shared" si="7"/>
        <v>164.40471496743845</v>
      </c>
      <c r="O19" s="10">
        <f t="shared" si="7"/>
        <v>290</v>
      </c>
      <c r="P19" s="11">
        <f t="shared" si="7"/>
        <v>58.593103448275862</v>
      </c>
      <c r="Q19" s="10">
        <f t="shared" si="7"/>
        <v>560</v>
      </c>
      <c r="R19" s="12">
        <f t="shared" si="1"/>
        <v>16992</v>
      </c>
    </row>
    <row r="20" spans="1:18" ht="16.5" x14ac:dyDescent="0.25">
      <c r="A20" s="7">
        <v>7</v>
      </c>
      <c r="B20" s="219" t="s">
        <v>184</v>
      </c>
      <c r="C20" s="5">
        <f t="shared" ref="C20:Q20" si="8">C95</f>
        <v>4809263</v>
      </c>
      <c r="D20" s="10">
        <f t="shared" si="8"/>
        <v>4672556</v>
      </c>
      <c r="E20" s="11">
        <f t="shared" si="8"/>
        <v>102.92574342608201</v>
      </c>
      <c r="F20" s="10">
        <f t="shared" si="8"/>
        <v>838408</v>
      </c>
      <c r="G20" s="10">
        <f t="shared" si="8"/>
        <v>754128</v>
      </c>
      <c r="H20" s="11">
        <f t="shared" si="8"/>
        <v>111.17582161118537</v>
      </c>
      <c r="I20" s="10">
        <f t="shared" si="8"/>
        <v>7482133</v>
      </c>
      <c r="J20" s="10">
        <f t="shared" si="8"/>
        <v>7103635</v>
      </c>
      <c r="K20" s="11">
        <f t="shared" si="8"/>
        <v>105.32822984289029</v>
      </c>
      <c r="L20" s="10">
        <f t="shared" si="8"/>
        <v>1685696</v>
      </c>
      <c r="M20" s="10">
        <f t="shared" si="8"/>
        <v>1305122</v>
      </c>
      <c r="N20" s="11">
        <f t="shared" si="8"/>
        <v>129.16003254868127</v>
      </c>
      <c r="O20" s="10">
        <f t="shared" si="8"/>
        <v>1191</v>
      </c>
      <c r="P20" s="11">
        <f t="shared" si="8"/>
        <v>105.11922753988244</v>
      </c>
      <c r="Q20" s="10">
        <f t="shared" si="8"/>
        <v>3977</v>
      </c>
      <c r="R20" s="12">
        <f t="shared" si="1"/>
        <v>125196.99999999999</v>
      </c>
    </row>
    <row r="21" spans="1:18" ht="33" x14ac:dyDescent="0.25">
      <c r="A21" s="7">
        <v>8</v>
      </c>
      <c r="B21" s="219" t="s">
        <v>177</v>
      </c>
      <c r="C21" s="5">
        <f t="shared" ref="C21:Q21" si="9">C169</f>
        <v>2980618</v>
      </c>
      <c r="D21" s="10">
        <f t="shared" si="9"/>
        <v>1948578</v>
      </c>
      <c r="E21" s="11">
        <f t="shared" si="9"/>
        <v>152.96375100201277</v>
      </c>
      <c r="F21" s="10">
        <f t="shared" si="9"/>
        <v>592072</v>
      </c>
      <c r="G21" s="10">
        <f t="shared" si="9"/>
        <v>281465</v>
      </c>
      <c r="H21" s="11">
        <f t="shared" si="9"/>
        <v>210.3536851828824</v>
      </c>
      <c r="I21" s="10">
        <f t="shared" si="9"/>
        <v>2776808</v>
      </c>
      <c r="J21" s="10">
        <f t="shared" si="9"/>
        <v>1870028</v>
      </c>
      <c r="K21" s="11">
        <f t="shared" si="9"/>
        <v>148.49018303469254</v>
      </c>
      <c r="L21" s="10">
        <f t="shared" si="9"/>
        <v>218648</v>
      </c>
      <c r="M21" s="10">
        <f t="shared" si="9"/>
        <v>76888</v>
      </c>
      <c r="N21" s="11">
        <f t="shared" si="9"/>
        <v>0</v>
      </c>
      <c r="O21" s="10">
        <f t="shared" si="9"/>
        <v>106</v>
      </c>
      <c r="P21" s="11">
        <f t="shared" si="9"/>
        <v>75.094339622641513</v>
      </c>
      <c r="Q21" s="10">
        <f t="shared" si="9"/>
        <v>526</v>
      </c>
      <c r="R21" s="12">
        <f t="shared" si="1"/>
        <v>7960</v>
      </c>
    </row>
    <row r="22" spans="1:18" ht="33" x14ac:dyDescent="0.25">
      <c r="A22" s="7">
        <v>9</v>
      </c>
      <c r="B22" s="219" t="s">
        <v>185</v>
      </c>
      <c r="C22" s="5">
        <f t="shared" ref="C22:Q22" si="10">C123</f>
        <v>2291545</v>
      </c>
      <c r="D22" s="10">
        <f t="shared" si="10"/>
        <v>2279037</v>
      </c>
      <c r="E22" s="11">
        <f t="shared" si="10"/>
        <v>100.54882829897014</v>
      </c>
      <c r="F22" s="10">
        <f t="shared" si="10"/>
        <v>313219</v>
      </c>
      <c r="G22" s="10">
        <f t="shared" si="10"/>
        <v>336317</v>
      </c>
      <c r="H22" s="11">
        <f t="shared" si="10"/>
        <v>93.132074798478811</v>
      </c>
      <c r="I22" s="10">
        <f t="shared" si="10"/>
        <v>2356888</v>
      </c>
      <c r="J22" s="10">
        <f t="shared" si="10"/>
        <v>2277068</v>
      </c>
      <c r="K22" s="11">
        <f t="shared" si="10"/>
        <v>103.50538499509018</v>
      </c>
      <c r="L22" s="10">
        <f t="shared" si="10"/>
        <v>1084827</v>
      </c>
      <c r="M22" s="10">
        <f t="shared" si="10"/>
        <v>954695</v>
      </c>
      <c r="N22" s="11">
        <f t="shared" si="10"/>
        <v>113.63074070776531</v>
      </c>
      <c r="O22" s="10">
        <f t="shared" si="10"/>
        <v>1211</v>
      </c>
      <c r="P22" s="11">
        <f t="shared" si="10"/>
        <v>59.469033856317097</v>
      </c>
      <c r="Q22" s="10">
        <f t="shared" si="10"/>
        <v>1871</v>
      </c>
      <c r="R22" s="12">
        <f t="shared" si="1"/>
        <v>72017</v>
      </c>
    </row>
    <row r="23" spans="1:18" ht="16.5" x14ac:dyDescent="0.25">
      <c r="A23" s="7">
        <v>10</v>
      </c>
      <c r="B23" s="219" t="s">
        <v>186</v>
      </c>
      <c r="C23" s="5">
        <f t="shared" ref="C23:Q23" si="11">C135</f>
        <v>203946</v>
      </c>
      <c r="D23" s="10">
        <f t="shared" si="11"/>
        <v>100501</v>
      </c>
      <c r="E23" s="11">
        <f t="shared" si="11"/>
        <v>202.92932408632751</v>
      </c>
      <c r="F23" s="10">
        <f t="shared" si="11"/>
        <v>21932</v>
      </c>
      <c r="G23" s="10">
        <f t="shared" si="11"/>
        <v>18693</v>
      </c>
      <c r="H23" s="11">
        <f t="shared" si="11"/>
        <v>117.32734178569517</v>
      </c>
      <c r="I23" s="10">
        <f t="shared" si="11"/>
        <v>228617</v>
      </c>
      <c r="J23" s="10">
        <f t="shared" si="11"/>
        <v>94124</v>
      </c>
      <c r="K23" s="11">
        <f t="shared" si="11"/>
        <v>242.88916748119499</v>
      </c>
      <c r="L23" s="10">
        <f>L135</f>
        <v>0</v>
      </c>
      <c r="M23" s="10">
        <f t="shared" si="11"/>
        <v>0</v>
      </c>
      <c r="N23" s="11">
        <f t="shared" si="11"/>
        <v>0</v>
      </c>
      <c r="O23" s="10">
        <f t="shared" si="11"/>
        <v>94</v>
      </c>
      <c r="P23" s="11">
        <f t="shared" si="11"/>
        <v>75.851063829787236</v>
      </c>
      <c r="Q23" s="10">
        <f t="shared" si="11"/>
        <v>101</v>
      </c>
      <c r="R23" s="12">
        <f t="shared" si="1"/>
        <v>7130</v>
      </c>
    </row>
    <row r="24" spans="1:18" ht="33" x14ac:dyDescent="0.25">
      <c r="A24" s="7">
        <v>11</v>
      </c>
      <c r="B24" s="219" t="s">
        <v>187</v>
      </c>
      <c r="C24" s="5">
        <f t="shared" ref="C24:P24" si="12">C196</f>
        <v>866182</v>
      </c>
      <c r="D24" s="10">
        <f t="shared" si="12"/>
        <v>1178168</v>
      </c>
      <c r="E24" s="11">
        <f t="shared" si="12"/>
        <v>73.519396215140802</v>
      </c>
      <c r="F24" s="10">
        <f t="shared" si="12"/>
        <v>98863</v>
      </c>
      <c r="G24" s="10">
        <f t="shared" si="12"/>
        <v>85133</v>
      </c>
      <c r="H24" s="11">
        <f t="shared" si="12"/>
        <v>116.12770605992975</v>
      </c>
      <c r="I24" s="10">
        <f t="shared" si="12"/>
        <v>634124</v>
      </c>
      <c r="J24" s="10">
        <f t="shared" si="12"/>
        <v>1039268</v>
      </c>
      <c r="K24" s="11">
        <f t="shared" si="12"/>
        <v>61.016407702344345</v>
      </c>
      <c r="L24" s="10">
        <f t="shared" si="12"/>
        <v>93336</v>
      </c>
      <c r="M24" s="10">
        <f t="shared" si="12"/>
        <v>366460</v>
      </c>
      <c r="N24" s="11">
        <f t="shared" si="12"/>
        <v>25.469628335971183</v>
      </c>
      <c r="O24" s="10">
        <f t="shared" si="12"/>
        <v>716</v>
      </c>
      <c r="P24" s="11">
        <f t="shared" si="12"/>
        <v>149.93421787709494</v>
      </c>
      <c r="Q24" s="10">
        <f>Q196</f>
        <v>722</v>
      </c>
      <c r="R24" s="12">
        <f t="shared" si="1"/>
        <v>107352.89999999998</v>
      </c>
    </row>
    <row r="25" spans="1:18" ht="16.5" x14ac:dyDescent="0.25">
      <c r="A25" s="7">
        <v>12</v>
      </c>
      <c r="B25" s="219" t="s">
        <v>188</v>
      </c>
      <c r="C25" s="5">
        <f t="shared" ref="C25:P25" si="13">C203</f>
        <v>196794</v>
      </c>
      <c r="D25" s="10">
        <f t="shared" si="13"/>
        <v>312543</v>
      </c>
      <c r="E25" s="11">
        <f t="shared" si="13"/>
        <v>62.965415958764069</v>
      </c>
      <c r="F25" s="10">
        <f t="shared" si="13"/>
        <v>28538</v>
      </c>
      <c r="G25" s="10">
        <f t="shared" si="13"/>
        <v>98743</v>
      </c>
      <c r="H25" s="11">
        <f>H203</f>
        <v>28.901289205310754</v>
      </c>
      <c r="I25" s="10">
        <f t="shared" si="13"/>
        <v>196780</v>
      </c>
      <c r="J25" s="10">
        <f t="shared" si="13"/>
        <v>319919</v>
      </c>
      <c r="K25" s="11">
        <f t="shared" si="13"/>
        <v>61.509319546510213</v>
      </c>
      <c r="L25" s="10">
        <f t="shared" si="13"/>
        <v>75779</v>
      </c>
      <c r="M25" s="10">
        <f t="shared" si="13"/>
        <v>97797</v>
      </c>
      <c r="N25" s="11">
        <f t="shared" si="13"/>
        <v>77.486016953485276</v>
      </c>
      <c r="O25" s="10">
        <f>O203</f>
        <v>239</v>
      </c>
      <c r="P25" s="11">
        <f t="shared" si="13"/>
        <v>55.22594142259414</v>
      </c>
      <c r="Q25" s="10">
        <f>Q203</f>
        <v>237</v>
      </c>
      <c r="R25" s="12">
        <f t="shared" si="1"/>
        <v>13199</v>
      </c>
    </row>
    <row r="26" spans="1:18" s="218" customFormat="1" x14ac:dyDescent="0.25">
      <c r="A26" s="214"/>
      <c r="B26" s="214" t="s">
        <v>189</v>
      </c>
      <c r="C26" s="215">
        <f>SUM(C13:C25)</f>
        <v>253244957</v>
      </c>
      <c r="D26" s="215">
        <f>SUM(D13:D25)</f>
        <v>240208964</v>
      </c>
      <c r="E26" s="216">
        <f>C26/D26*100</f>
        <v>105.4269386050056</v>
      </c>
      <c r="F26" s="215">
        <f>SUM(F13:F25)</f>
        <v>35470452</v>
      </c>
      <c r="G26" s="215">
        <f>SUM(G13:G25)</f>
        <v>30589097</v>
      </c>
      <c r="H26" s="216">
        <f>F26/G26*100</f>
        <v>115.95782641115558</v>
      </c>
      <c r="I26" s="215">
        <f>SUM(I13:I25)</f>
        <v>246088368</v>
      </c>
      <c r="J26" s="215">
        <f>SUM(J13:J25)</f>
        <v>238018665</v>
      </c>
      <c r="K26" s="216">
        <f>I26/J26*100</f>
        <v>103.39036562531767</v>
      </c>
      <c r="L26" s="215">
        <f>SUM(L13:L25)</f>
        <v>184707146</v>
      </c>
      <c r="M26" s="215">
        <f>SUM(M13:M25)</f>
        <v>180058477</v>
      </c>
      <c r="N26" s="216">
        <f>L26/M26*100</f>
        <v>102.58175514835661</v>
      </c>
      <c r="O26" s="215">
        <f>SUM(O13:O25)</f>
        <v>12613</v>
      </c>
      <c r="P26" s="216">
        <f>R26/O26</f>
        <v>134.08116099089256</v>
      </c>
      <c r="Q26" s="215">
        <f>SUM(Q13:Q25)</f>
        <v>20019</v>
      </c>
      <c r="R26" s="217">
        <f>SUM(R13:R25)</f>
        <v>1691165.6835781278</v>
      </c>
    </row>
    <row r="27" spans="1:18" x14ac:dyDescent="0.25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7"/>
      <c r="Q27" s="17"/>
      <c r="R27" s="18"/>
    </row>
    <row r="28" spans="1:18" s="22" customFormat="1" x14ac:dyDescent="0.25">
      <c r="A28" s="19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20"/>
      <c r="Q28" s="20"/>
      <c r="R28" s="21"/>
    </row>
    <row r="29" spans="1:18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18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spans="1:18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</row>
    <row r="33" spans="1:18" s="24" customFormat="1" ht="14.25" x14ac:dyDescent="0.2">
      <c r="A33" s="325" t="s">
        <v>215</v>
      </c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25"/>
      <c r="P33" s="325"/>
      <c r="Q33" s="325"/>
      <c r="R33" s="23"/>
    </row>
    <row r="34" spans="1:18" s="24" customFormat="1" ht="14.25" x14ac:dyDescent="0.2">
      <c r="A34" s="325"/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23"/>
    </row>
    <row r="35" spans="1:18" s="24" customFormat="1" x14ac:dyDescent="0.2">
      <c r="A35" s="326"/>
      <c r="B35" s="326"/>
      <c r="C35" s="326"/>
      <c r="D35" s="326"/>
      <c r="E35" s="326"/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6"/>
      <c r="Q35" s="326"/>
      <c r="R35" s="25"/>
    </row>
    <row r="36" spans="1:18" x14ac:dyDescent="0.25">
      <c r="A36" s="327" t="s">
        <v>0</v>
      </c>
      <c r="B36" s="329" t="s">
        <v>24</v>
      </c>
      <c r="C36" s="331" t="s">
        <v>172</v>
      </c>
      <c r="D36" s="331"/>
      <c r="E36" s="331"/>
      <c r="F36" s="331"/>
      <c r="G36" s="331"/>
      <c r="H36" s="331" t="s">
        <v>2</v>
      </c>
      <c r="I36" s="331"/>
      <c r="J36" s="331"/>
      <c r="K36" s="331"/>
      <c r="L36" s="231"/>
      <c r="M36" s="231" t="s">
        <v>3</v>
      </c>
      <c r="N36" s="27"/>
      <c r="O36" s="329" t="s">
        <v>25</v>
      </c>
      <c r="P36" s="332" t="s">
        <v>26</v>
      </c>
      <c r="Q36" s="329" t="s">
        <v>27</v>
      </c>
      <c r="R36" s="28"/>
    </row>
    <row r="37" spans="1:18" ht="60" x14ac:dyDescent="0.25">
      <c r="A37" s="328"/>
      <c r="B37" s="330"/>
      <c r="C37" s="230" t="s">
        <v>7</v>
      </c>
      <c r="D37" s="230" t="s">
        <v>28</v>
      </c>
      <c r="E37" s="30" t="s">
        <v>29</v>
      </c>
      <c r="F37" s="230" t="s">
        <v>10</v>
      </c>
      <c r="G37" s="230" t="s">
        <v>30</v>
      </c>
      <c r="H37" s="30" t="s">
        <v>29</v>
      </c>
      <c r="I37" s="230" t="s">
        <v>11</v>
      </c>
      <c r="J37" s="230" t="s">
        <v>28</v>
      </c>
      <c r="K37" s="30" t="s">
        <v>29</v>
      </c>
      <c r="L37" s="230" t="s">
        <v>11</v>
      </c>
      <c r="M37" s="230" t="s">
        <v>28</v>
      </c>
      <c r="N37" s="30" t="s">
        <v>29</v>
      </c>
      <c r="O37" s="330"/>
      <c r="P37" s="333"/>
      <c r="Q37" s="330"/>
      <c r="R37" s="31"/>
    </row>
    <row r="38" spans="1:18" x14ac:dyDescent="0.25">
      <c r="A38" s="32"/>
      <c r="B38" s="33" t="s">
        <v>31</v>
      </c>
      <c r="C38" s="32"/>
      <c r="D38" s="32"/>
      <c r="E38" s="32"/>
      <c r="F38" s="32"/>
      <c r="G38" s="32"/>
      <c r="H38" s="32"/>
      <c r="I38" s="32"/>
      <c r="J38" s="32"/>
      <c r="K38" s="34"/>
      <c r="L38" s="32"/>
      <c r="M38" s="32"/>
      <c r="N38" s="32"/>
      <c r="O38" s="32"/>
      <c r="P38" s="35"/>
      <c r="Q38" s="35"/>
      <c r="R38" s="36"/>
    </row>
    <row r="39" spans="1:18" x14ac:dyDescent="0.25">
      <c r="A39" s="319" t="s">
        <v>32</v>
      </c>
      <c r="B39" s="320"/>
      <c r="C39" s="37">
        <v>3</v>
      </c>
      <c r="D39" s="37">
        <v>4</v>
      </c>
      <c r="E39" s="229">
        <v>5</v>
      </c>
      <c r="F39" s="37">
        <v>6</v>
      </c>
      <c r="G39" s="37">
        <v>7</v>
      </c>
      <c r="H39" s="37">
        <v>8</v>
      </c>
      <c r="I39" s="37">
        <v>9</v>
      </c>
      <c r="J39" s="37">
        <v>10</v>
      </c>
      <c r="K39" s="37">
        <v>11</v>
      </c>
      <c r="L39" s="37">
        <v>12</v>
      </c>
      <c r="M39" s="37">
        <v>13</v>
      </c>
      <c r="N39" s="37">
        <v>14</v>
      </c>
      <c r="O39" s="37">
        <v>15</v>
      </c>
      <c r="P39" s="229">
        <v>16</v>
      </c>
      <c r="Q39" s="37">
        <v>17</v>
      </c>
      <c r="R39" s="39"/>
    </row>
    <row r="40" spans="1:18" x14ac:dyDescent="0.25">
      <c r="A40" s="40">
        <v>1</v>
      </c>
      <c r="B40" s="41" t="s">
        <v>33</v>
      </c>
      <c r="C40" s="42">
        <v>116132</v>
      </c>
      <c r="D40" s="42">
        <v>110931</v>
      </c>
      <c r="E40" s="43">
        <f t="shared" ref="E40:E57" si="14">C40/D40*100</f>
        <v>104.68850005859498</v>
      </c>
      <c r="F40" s="42">
        <v>8754</v>
      </c>
      <c r="G40" s="42">
        <v>14154</v>
      </c>
      <c r="H40" s="43">
        <f>F40/G40*100</f>
        <v>61.848240779991528</v>
      </c>
      <c r="I40" s="42">
        <v>107716</v>
      </c>
      <c r="J40" s="42">
        <v>110931</v>
      </c>
      <c r="K40" s="43">
        <f>I40/J40*100</f>
        <v>97.101802021076168</v>
      </c>
      <c r="L40" s="42">
        <v>5501</v>
      </c>
      <c r="M40" s="42">
        <v>548</v>
      </c>
      <c r="N40" s="43">
        <f t="shared" ref="N40:N45" si="15">L40/M40*100</f>
        <v>1003.8321167883212</v>
      </c>
      <c r="O40" s="233"/>
      <c r="P40" s="44">
        <v>76</v>
      </c>
      <c r="Q40" s="233">
        <v>91</v>
      </c>
      <c r="R40" s="45">
        <f>O40*P40</f>
        <v>0</v>
      </c>
    </row>
    <row r="41" spans="1:18" x14ac:dyDescent="0.25">
      <c r="A41" s="40">
        <v>2</v>
      </c>
      <c r="B41" s="41" t="s">
        <v>34</v>
      </c>
      <c r="C41" s="42">
        <v>0</v>
      </c>
      <c r="D41" s="42">
        <v>0</v>
      </c>
      <c r="E41" s="43">
        <v>0</v>
      </c>
      <c r="F41" s="42">
        <v>0</v>
      </c>
      <c r="G41" s="42">
        <v>0</v>
      </c>
      <c r="H41" s="43">
        <v>0</v>
      </c>
      <c r="I41" s="42">
        <v>0</v>
      </c>
      <c r="J41" s="42">
        <v>0</v>
      </c>
      <c r="K41" s="43">
        <v>0</v>
      </c>
      <c r="L41" s="42">
        <v>0</v>
      </c>
      <c r="M41" s="42">
        <v>0</v>
      </c>
      <c r="N41" s="43">
        <v>0</v>
      </c>
      <c r="O41" s="233">
        <v>0</v>
      </c>
      <c r="P41" s="44">
        <v>0</v>
      </c>
      <c r="Q41" s="233">
        <v>0</v>
      </c>
      <c r="R41" s="45">
        <f t="shared" ref="R41:R56" si="16">O41*P41</f>
        <v>0</v>
      </c>
    </row>
    <row r="42" spans="1:18" x14ac:dyDescent="0.25">
      <c r="A42" s="40">
        <v>3</v>
      </c>
      <c r="B42" s="41" t="s">
        <v>35</v>
      </c>
      <c r="C42" s="42">
        <v>52558</v>
      </c>
      <c r="D42" s="42">
        <v>41264</v>
      </c>
      <c r="E42" s="43">
        <f t="shared" si="14"/>
        <v>127.37010469174099</v>
      </c>
      <c r="F42" s="42">
        <v>6213</v>
      </c>
      <c r="G42" s="42">
        <v>6441</v>
      </c>
      <c r="H42" s="43">
        <f t="shared" ref="H42:H46" si="17">F42/G42*100</f>
        <v>96.460176991150433</v>
      </c>
      <c r="I42" s="42">
        <v>91771</v>
      </c>
      <c r="J42" s="42">
        <v>52128</v>
      </c>
      <c r="K42" s="43">
        <f t="shared" ref="K42:K57" si="18">I42/J42*100</f>
        <v>176.04934008594228</v>
      </c>
      <c r="L42" s="42">
        <v>0</v>
      </c>
      <c r="M42" s="42">
        <v>12643</v>
      </c>
      <c r="N42" s="43">
        <f t="shared" si="15"/>
        <v>0</v>
      </c>
      <c r="O42" s="233">
        <v>38</v>
      </c>
      <c r="P42" s="44">
        <v>70</v>
      </c>
      <c r="Q42" s="233">
        <v>35</v>
      </c>
      <c r="R42" s="45">
        <f t="shared" si="16"/>
        <v>2660</v>
      </c>
    </row>
    <row r="43" spans="1:18" x14ac:dyDescent="0.25">
      <c r="A43" s="40">
        <v>4</v>
      </c>
      <c r="B43" s="41" t="s">
        <v>36</v>
      </c>
      <c r="C43" s="42">
        <v>10300</v>
      </c>
      <c r="D43" s="42">
        <v>15230</v>
      </c>
      <c r="E43" s="43">
        <f t="shared" si="14"/>
        <v>67.62967826657912</v>
      </c>
      <c r="F43" s="42">
        <v>2100</v>
      </c>
      <c r="G43" s="42">
        <v>2140</v>
      </c>
      <c r="H43" s="43">
        <f t="shared" si="17"/>
        <v>98.130841121495322</v>
      </c>
      <c r="I43" s="42">
        <v>13452</v>
      </c>
      <c r="J43" s="42">
        <v>26632</v>
      </c>
      <c r="K43" s="43">
        <f t="shared" si="18"/>
        <v>50.510663863021932</v>
      </c>
      <c r="L43" s="42">
        <v>13452</v>
      </c>
      <c r="M43" s="42">
        <f>25623+1009</f>
        <v>26632</v>
      </c>
      <c r="N43" s="43">
        <f t="shared" si="15"/>
        <v>50.510663863021932</v>
      </c>
      <c r="O43" s="233">
        <v>20</v>
      </c>
      <c r="P43" s="44">
        <v>60</v>
      </c>
      <c r="Q43" s="233">
        <v>20</v>
      </c>
      <c r="R43" s="45">
        <f t="shared" si="16"/>
        <v>1200</v>
      </c>
    </row>
    <row r="44" spans="1:18" x14ac:dyDescent="0.25">
      <c r="A44" s="40">
        <v>5</v>
      </c>
      <c r="B44" s="41" t="s">
        <v>37</v>
      </c>
      <c r="C44" s="48">
        <v>34704</v>
      </c>
      <c r="D44" s="48">
        <v>71214</v>
      </c>
      <c r="E44" s="43">
        <f t="shared" si="14"/>
        <v>48.7319909006656</v>
      </c>
      <c r="F44" s="48">
        <v>4419</v>
      </c>
      <c r="G44" s="48">
        <v>4834</v>
      </c>
      <c r="H44" s="43">
        <f t="shared" si="17"/>
        <v>91.414977244517985</v>
      </c>
      <c r="I44" s="48">
        <v>40085</v>
      </c>
      <c r="J44" s="48">
        <v>75541</v>
      </c>
      <c r="K44" s="43">
        <f t="shared" si="18"/>
        <v>53.06389907467468</v>
      </c>
      <c r="L44" s="48">
        <v>3310</v>
      </c>
      <c r="M44" s="48">
        <v>10323</v>
      </c>
      <c r="N44" s="43">
        <f t="shared" si="15"/>
        <v>32.064322386903029</v>
      </c>
      <c r="O44" s="233">
        <v>52</v>
      </c>
      <c r="P44" s="44">
        <v>55</v>
      </c>
      <c r="Q44" s="233">
        <v>53</v>
      </c>
      <c r="R44" s="45">
        <f t="shared" si="16"/>
        <v>2860</v>
      </c>
    </row>
    <row r="45" spans="1:18" x14ac:dyDescent="0.25">
      <c r="A45" s="40">
        <v>6</v>
      </c>
      <c r="B45" s="41" t="s">
        <v>38</v>
      </c>
      <c r="C45" s="49">
        <v>65026</v>
      </c>
      <c r="D45" s="42">
        <v>102073</v>
      </c>
      <c r="E45" s="43">
        <f t="shared" si="14"/>
        <v>63.705387320839002</v>
      </c>
      <c r="F45" s="42">
        <v>15015</v>
      </c>
      <c r="G45" s="42">
        <v>20577</v>
      </c>
      <c r="H45" s="43">
        <f t="shared" si="17"/>
        <v>72.969820673567583</v>
      </c>
      <c r="I45" s="42">
        <v>66818</v>
      </c>
      <c r="J45" s="42">
        <v>85001</v>
      </c>
      <c r="K45" s="43">
        <f t="shared" si="18"/>
        <v>78.608486958976954</v>
      </c>
      <c r="L45" s="42">
        <v>878</v>
      </c>
      <c r="M45" s="42">
        <v>29409</v>
      </c>
      <c r="N45" s="43">
        <f t="shared" si="15"/>
        <v>2.985480635179707</v>
      </c>
      <c r="O45" s="233">
        <v>64</v>
      </c>
      <c r="P45" s="44">
        <v>75</v>
      </c>
      <c r="Q45" s="233">
        <v>63</v>
      </c>
      <c r="R45" s="45">
        <f t="shared" si="16"/>
        <v>4800</v>
      </c>
    </row>
    <row r="46" spans="1:18" x14ac:dyDescent="0.25">
      <c r="A46" s="40">
        <v>7</v>
      </c>
      <c r="B46" s="41" t="s">
        <v>39</v>
      </c>
      <c r="C46" s="42">
        <v>4200</v>
      </c>
      <c r="D46" s="42">
        <v>300</v>
      </c>
      <c r="E46" s="55">
        <f t="shared" si="14"/>
        <v>1400</v>
      </c>
      <c r="F46" s="42">
        <v>756</v>
      </c>
      <c r="G46" s="42">
        <v>0</v>
      </c>
      <c r="H46" s="43" t="e">
        <f t="shared" si="17"/>
        <v>#DIV/0!</v>
      </c>
      <c r="I46" s="42">
        <v>210</v>
      </c>
      <c r="J46" s="42">
        <v>300</v>
      </c>
      <c r="K46" s="43">
        <f t="shared" si="18"/>
        <v>70</v>
      </c>
      <c r="L46" s="42">
        <v>0</v>
      </c>
      <c r="M46" s="42">
        <v>0</v>
      </c>
      <c r="N46" s="43">
        <v>0</v>
      </c>
      <c r="O46" s="235">
        <v>34</v>
      </c>
      <c r="P46" s="44">
        <v>66</v>
      </c>
      <c r="Q46" s="235">
        <v>24</v>
      </c>
      <c r="R46" s="45">
        <f t="shared" si="16"/>
        <v>2244</v>
      </c>
    </row>
    <row r="47" spans="1:18" x14ac:dyDescent="0.25">
      <c r="A47" s="40">
        <v>8</v>
      </c>
      <c r="B47" s="41" t="s">
        <v>41</v>
      </c>
      <c r="C47" s="51">
        <v>63324</v>
      </c>
      <c r="D47" s="42">
        <v>66741</v>
      </c>
      <c r="E47" s="43">
        <f t="shared" si="14"/>
        <v>94.880208567447298</v>
      </c>
      <c r="F47" s="42">
        <v>9452</v>
      </c>
      <c r="G47" s="42">
        <v>6267</v>
      </c>
      <c r="H47" s="43">
        <f t="shared" ref="H47:H57" si="19">F47/G47*100</f>
        <v>150.8217647997447</v>
      </c>
      <c r="I47" s="42">
        <v>65756</v>
      </c>
      <c r="J47" s="42">
        <v>67460</v>
      </c>
      <c r="K47" s="43">
        <f t="shared" si="18"/>
        <v>97.474058701452719</v>
      </c>
      <c r="L47" s="42">
        <v>0</v>
      </c>
      <c r="M47" s="42">
        <v>0</v>
      </c>
      <c r="N47" s="43">
        <v>0</v>
      </c>
      <c r="O47" s="233">
        <v>44</v>
      </c>
      <c r="P47" s="44">
        <v>69</v>
      </c>
      <c r="Q47" s="233">
        <v>44</v>
      </c>
      <c r="R47" s="45">
        <f t="shared" si="16"/>
        <v>3036</v>
      </c>
    </row>
    <row r="48" spans="1:18" x14ac:dyDescent="0.25">
      <c r="A48" s="40">
        <v>9</v>
      </c>
      <c r="B48" s="41" t="s">
        <v>42</v>
      </c>
      <c r="C48" s="51">
        <v>177112</v>
      </c>
      <c r="D48" s="42">
        <v>171051</v>
      </c>
      <c r="E48" s="52">
        <f t="shared" si="14"/>
        <v>103.54338764462061</v>
      </c>
      <c r="F48" s="42">
        <v>33912</v>
      </c>
      <c r="G48" s="42">
        <v>26247</v>
      </c>
      <c r="H48" s="43">
        <f t="shared" si="19"/>
        <v>129.20333752428849</v>
      </c>
      <c r="I48" s="42">
        <v>126022</v>
      </c>
      <c r="J48" s="53">
        <v>168576</v>
      </c>
      <c r="K48" s="43">
        <f t="shared" si="18"/>
        <v>74.756786256643892</v>
      </c>
      <c r="L48" s="42">
        <v>0</v>
      </c>
      <c r="M48" s="42">
        <v>0</v>
      </c>
      <c r="N48" s="43">
        <v>0</v>
      </c>
      <c r="O48" s="233">
        <v>77</v>
      </c>
      <c r="P48" s="44">
        <v>105</v>
      </c>
      <c r="Q48" s="233">
        <v>76</v>
      </c>
      <c r="R48" s="45">
        <f t="shared" si="16"/>
        <v>8085</v>
      </c>
    </row>
    <row r="49" spans="1:18" x14ac:dyDescent="0.25">
      <c r="A49" s="40">
        <v>10</v>
      </c>
      <c r="B49" s="41" t="s">
        <v>43</v>
      </c>
      <c r="C49" s="51">
        <v>743969</v>
      </c>
      <c r="D49" s="42">
        <v>763889</v>
      </c>
      <c r="E49" s="43">
        <f t="shared" si="14"/>
        <v>97.392291288393992</v>
      </c>
      <c r="F49" s="51">
        <v>110431</v>
      </c>
      <c r="G49" s="42">
        <v>77425</v>
      </c>
      <c r="H49" s="43">
        <f t="shared" si="19"/>
        <v>142.62964158863417</v>
      </c>
      <c r="I49" s="42">
        <v>623197</v>
      </c>
      <c r="J49" s="42">
        <v>763459</v>
      </c>
      <c r="K49" s="43">
        <f t="shared" si="18"/>
        <v>81.628090048057587</v>
      </c>
      <c r="L49" s="42">
        <v>619181</v>
      </c>
      <c r="M49" s="42">
        <v>762478</v>
      </c>
      <c r="N49" s="43">
        <f t="shared" ref="N49:N51" si="20">L49/M49*100</f>
        <v>81.206408578345872</v>
      </c>
      <c r="O49" s="233"/>
      <c r="P49" s="44">
        <v>84</v>
      </c>
      <c r="Q49" s="233">
        <v>204</v>
      </c>
      <c r="R49" s="45">
        <f t="shared" si="16"/>
        <v>0</v>
      </c>
    </row>
    <row r="50" spans="1:18" x14ac:dyDescent="0.25">
      <c r="A50" s="40">
        <v>11</v>
      </c>
      <c r="B50" s="41" t="s">
        <v>44</v>
      </c>
      <c r="C50" s="51">
        <v>17253</v>
      </c>
      <c r="D50" s="42">
        <v>20338</v>
      </c>
      <c r="E50" s="43">
        <f t="shared" si="14"/>
        <v>84.831350181925458</v>
      </c>
      <c r="F50" s="42">
        <v>1037</v>
      </c>
      <c r="G50" s="42">
        <v>5976</v>
      </c>
      <c r="H50" s="43">
        <f t="shared" si="19"/>
        <v>17.352744310575634</v>
      </c>
      <c r="I50" s="42">
        <v>23770</v>
      </c>
      <c r="J50" s="42">
        <v>29683</v>
      </c>
      <c r="K50" s="43">
        <f t="shared" si="18"/>
        <v>80.07950678839741</v>
      </c>
      <c r="L50" s="42">
        <v>23770</v>
      </c>
      <c r="M50" s="42">
        <v>29683</v>
      </c>
      <c r="N50" s="43">
        <f t="shared" si="20"/>
        <v>80.07950678839741</v>
      </c>
      <c r="O50" s="233">
        <v>24</v>
      </c>
      <c r="P50" s="44">
        <v>70</v>
      </c>
      <c r="Q50" s="233">
        <v>24</v>
      </c>
      <c r="R50" s="45">
        <f t="shared" si="16"/>
        <v>1680</v>
      </c>
    </row>
    <row r="51" spans="1:18" x14ac:dyDescent="0.25">
      <c r="A51" s="40">
        <v>12</v>
      </c>
      <c r="B51" s="41" t="s">
        <v>45</v>
      </c>
      <c r="C51" s="42">
        <v>70988</v>
      </c>
      <c r="D51" s="42">
        <v>51430</v>
      </c>
      <c r="E51" s="43">
        <f t="shared" si="14"/>
        <v>138.02838810033055</v>
      </c>
      <c r="F51" s="54">
        <v>14650</v>
      </c>
      <c r="G51" s="54">
        <v>11275</v>
      </c>
      <c r="H51" s="43">
        <f t="shared" si="19"/>
        <v>129.93348115299335</v>
      </c>
      <c r="I51" s="54">
        <v>80423</v>
      </c>
      <c r="J51" s="54">
        <v>56477</v>
      </c>
      <c r="K51" s="43">
        <f t="shared" si="18"/>
        <v>142.39956088319138</v>
      </c>
      <c r="L51" s="55">
        <v>74862</v>
      </c>
      <c r="M51" s="54">
        <v>51452</v>
      </c>
      <c r="N51" s="43">
        <f t="shared" si="20"/>
        <v>145.49871725103009</v>
      </c>
      <c r="O51" s="233"/>
      <c r="P51" s="44">
        <v>111</v>
      </c>
      <c r="Q51" s="233">
        <v>23</v>
      </c>
      <c r="R51" s="45">
        <f t="shared" si="16"/>
        <v>0</v>
      </c>
    </row>
    <row r="52" spans="1:18" x14ac:dyDescent="0.25">
      <c r="A52" s="40">
        <v>13</v>
      </c>
      <c r="B52" s="41" t="s">
        <v>46</v>
      </c>
      <c r="C52" s="49">
        <v>260649</v>
      </c>
      <c r="D52" s="49">
        <v>244804</v>
      </c>
      <c r="E52" s="43">
        <f t="shared" si="14"/>
        <v>106.47252495874251</v>
      </c>
      <c r="F52" s="49">
        <v>30903</v>
      </c>
      <c r="G52" s="49">
        <v>32019</v>
      </c>
      <c r="H52" s="43">
        <f t="shared" si="19"/>
        <v>96.514569474374596</v>
      </c>
      <c r="I52" s="42">
        <v>256698</v>
      </c>
      <c r="J52" s="42">
        <v>254881</v>
      </c>
      <c r="K52" s="43">
        <f t="shared" si="18"/>
        <v>100.71288169773345</v>
      </c>
      <c r="L52" s="49">
        <v>3429</v>
      </c>
      <c r="M52" s="49">
        <v>0</v>
      </c>
      <c r="N52" s="43">
        <v>0</v>
      </c>
      <c r="O52" s="233">
        <v>80</v>
      </c>
      <c r="P52" s="44">
        <v>115</v>
      </c>
      <c r="Q52" s="233">
        <v>80</v>
      </c>
      <c r="R52" s="45">
        <f t="shared" si="16"/>
        <v>9200</v>
      </c>
    </row>
    <row r="53" spans="1:18" x14ac:dyDescent="0.25">
      <c r="A53" s="40">
        <v>14</v>
      </c>
      <c r="B53" s="41" t="s">
        <v>47</v>
      </c>
      <c r="C53" s="233">
        <v>11972</v>
      </c>
      <c r="D53" s="233">
        <v>29193</v>
      </c>
      <c r="E53" s="47">
        <f t="shared" si="14"/>
        <v>41.009831123899566</v>
      </c>
      <c r="F53" s="233">
        <v>0</v>
      </c>
      <c r="G53" s="233">
        <v>0</v>
      </c>
      <c r="H53" s="47" t="e">
        <f t="shared" si="19"/>
        <v>#DIV/0!</v>
      </c>
      <c r="I53" s="233">
        <v>14148</v>
      </c>
      <c r="J53" s="233">
        <v>25125</v>
      </c>
      <c r="K53" s="47">
        <f t="shared" si="18"/>
        <v>56.310447761194027</v>
      </c>
      <c r="L53" s="233">
        <v>0</v>
      </c>
      <c r="M53" s="233">
        <v>0</v>
      </c>
      <c r="N53" s="43">
        <v>0</v>
      </c>
      <c r="O53" s="233">
        <v>13</v>
      </c>
      <c r="P53" s="44">
        <v>80</v>
      </c>
      <c r="Q53" s="233">
        <v>13</v>
      </c>
      <c r="R53" s="45">
        <f t="shared" si="16"/>
        <v>1040</v>
      </c>
    </row>
    <row r="54" spans="1:18" x14ac:dyDescent="0.25">
      <c r="A54" s="40">
        <v>15</v>
      </c>
      <c r="B54" s="41" t="s">
        <v>48</v>
      </c>
      <c r="C54" s="42">
        <v>225123</v>
      </c>
      <c r="D54" s="53">
        <v>23979</v>
      </c>
      <c r="E54" s="47">
        <f t="shared" si="14"/>
        <v>938.83397973226579</v>
      </c>
      <c r="F54" s="42">
        <v>55960</v>
      </c>
      <c r="G54" s="42">
        <v>3500</v>
      </c>
      <c r="H54" s="47">
        <f t="shared" si="19"/>
        <v>1598.8571428571429</v>
      </c>
      <c r="I54" s="42">
        <v>358479</v>
      </c>
      <c r="J54" s="42">
        <v>43570</v>
      </c>
      <c r="K54" s="47">
        <f t="shared" si="18"/>
        <v>822.76566444801472</v>
      </c>
      <c r="L54" s="42">
        <v>353437</v>
      </c>
      <c r="M54" s="42">
        <v>33785</v>
      </c>
      <c r="N54" s="47">
        <f t="shared" ref="N54" si="21">L54/M54*100</f>
        <v>1046.135859109072</v>
      </c>
      <c r="O54" s="233">
        <v>62</v>
      </c>
      <c r="P54" s="44">
        <v>95</v>
      </c>
      <c r="Q54" s="233">
        <v>64</v>
      </c>
      <c r="R54" s="45">
        <f t="shared" si="16"/>
        <v>5890</v>
      </c>
    </row>
    <row r="55" spans="1:18" x14ac:dyDescent="0.25">
      <c r="A55" s="40">
        <v>16</v>
      </c>
      <c r="B55" s="41" t="s">
        <v>49</v>
      </c>
      <c r="C55" s="42">
        <v>9921</v>
      </c>
      <c r="D55" s="53">
        <v>3037</v>
      </c>
      <c r="E55" s="47">
        <f t="shared" si="14"/>
        <v>326.67105696410931</v>
      </c>
      <c r="F55" s="42">
        <v>250</v>
      </c>
      <c r="G55" s="42">
        <v>460</v>
      </c>
      <c r="H55" s="47">
        <f t="shared" si="19"/>
        <v>54.347826086956516</v>
      </c>
      <c r="I55" s="42">
        <v>9921</v>
      </c>
      <c r="J55" s="42">
        <v>3002</v>
      </c>
      <c r="K55" s="43">
        <v>0</v>
      </c>
      <c r="L55" s="42">
        <v>0</v>
      </c>
      <c r="M55" s="42">
        <v>0</v>
      </c>
      <c r="N55" s="43">
        <v>0</v>
      </c>
      <c r="O55" s="233">
        <v>3</v>
      </c>
      <c r="P55" s="44">
        <v>40</v>
      </c>
      <c r="Q55" s="233">
        <v>3</v>
      </c>
      <c r="R55" s="45">
        <f t="shared" si="16"/>
        <v>120</v>
      </c>
    </row>
    <row r="56" spans="1:18" x14ac:dyDescent="0.25">
      <c r="A56" s="40">
        <v>17</v>
      </c>
      <c r="B56" s="41" t="s">
        <v>169</v>
      </c>
      <c r="C56" s="233">
        <v>684000</v>
      </c>
      <c r="D56" s="233">
        <v>0</v>
      </c>
      <c r="E56" s="47">
        <v>0</v>
      </c>
      <c r="F56" s="233">
        <v>40000</v>
      </c>
      <c r="G56" s="233">
        <v>0</v>
      </c>
      <c r="H56" s="47">
        <v>0</v>
      </c>
      <c r="I56" s="233">
        <v>56200</v>
      </c>
      <c r="J56" s="233">
        <v>0</v>
      </c>
      <c r="K56" s="43">
        <v>0</v>
      </c>
      <c r="L56" s="233">
        <v>0</v>
      </c>
      <c r="M56" s="233">
        <v>0</v>
      </c>
      <c r="N56" s="47">
        <v>0</v>
      </c>
      <c r="O56" s="233">
        <v>13</v>
      </c>
      <c r="P56" s="44">
        <v>70</v>
      </c>
      <c r="Q56" s="233">
        <v>13</v>
      </c>
      <c r="R56" s="45">
        <f t="shared" si="16"/>
        <v>910</v>
      </c>
    </row>
    <row r="57" spans="1:18" s="60" customFormat="1" x14ac:dyDescent="0.25">
      <c r="A57" s="315" t="s">
        <v>50</v>
      </c>
      <c r="B57" s="315"/>
      <c r="C57" s="56">
        <f>SUM(C40:C56)</f>
        <v>2547231</v>
      </c>
      <c r="D57" s="56">
        <f>SUM(D40:D56)</f>
        <v>1715474</v>
      </c>
      <c r="E57" s="57">
        <f t="shared" si="14"/>
        <v>148.48554976642023</v>
      </c>
      <c r="F57" s="56">
        <f>SUM(F40:F56)</f>
        <v>333852</v>
      </c>
      <c r="G57" s="56">
        <f>SUM(G40:G55)</f>
        <v>211315</v>
      </c>
      <c r="H57" s="57">
        <f t="shared" si="19"/>
        <v>157.98783806166151</v>
      </c>
      <c r="I57" s="56">
        <f>SUM(I40:I56)</f>
        <v>1934666</v>
      </c>
      <c r="J57" s="56">
        <f>SUM(J40:J56)</f>
        <v>1762766</v>
      </c>
      <c r="K57" s="57">
        <f t="shared" si="18"/>
        <v>109.75171974045335</v>
      </c>
      <c r="L57" s="56">
        <f>SUM(L40:L56)</f>
        <v>1097820</v>
      </c>
      <c r="M57" s="56">
        <f>SUM(M40:M56)</f>
        <v>956953</v>
      </c>
      <c r="N57" s="57">
        <f>L57/M57*100</f>
        <v>114.72036766695962</v>
      </c>
      <c r="O57" s="56">
        <f>SUM(O40:O56)</f>
        <v>524</v>
      </c>
      <c r="P57" s="57">
        <f>R57/O57</f>
        <v>83.444656488549612</v>
      </c>
      <c r="Q57" s="56">
        <f>SUM(Q40:Q56)</f>
        <v>830</v>
      </c>
      <c r="R57" s="56">
        <f>SUM(R40:R56)</f>
        <v>43725</v>
      </c>
    </row>
    <row r="58" spans="1:18" x14ac:dyDescent="0.25">
      <c r="A58" s="233"/>
      <c r="B58" s="61"/>
      <c r="C58" s="233"/>
      <c r="D58" s="233"/>
      <c r="E58" s="233"/>
      <c r="F58" s="233"/>
      <c r="G58" s="233"/>
      <c r="H58" s="233"/>
      <c r="I58" s="233"/>
      <c r="J58" s="233"/>
      <c r="K58" s="34"/>
      <c r="L58" s="233"/>
      <c r="M58" s="233"/>
      <c r="N58" s="233"/>
      <c r="O58" s="233"/>
      <c r="P58" s="62"/>
      <c r="Q58" s="233"/>
      <c r="R58" s="39"/>
    </row>
    <row r="59" spans="1:18" x14ac:dyDescent="0.25">
      <c r="A59" s="319" t="s">
        <v>51</v>
      </c>
      <c r="B59" s="320"/>
      <c r="C59" s="37">
        <v>3</v>
      </c>
      <c r="D59" s="37">
        <v>4</v>
      </c>
      <c r="E59" s="229">
        <v>5</v>
      </c>
      <c r="F59" s="37">
        <v>6</v>
      </c>
      <c r="G59" s="37">
        <v>7</v>
      </c>
      <c r="H59" s="37">
        <v>8</v>
      </c>
      <c r="I59" s="37">
        <v>9</v>
      </c>
      <c r="J59" s="37">
        <v>10</v>
      </c>
      <c r="K59" s="37">
        <v>11</v>
      </c>
      <c r="L59" s="37">
        <v>12</v>
      </c>
      <c r="M59" s="37">
        <v>13</v>
      </c>
      <c r="N59" s="37">
        <v>14</v>
      </c>
      <c r="O59" s="37">
        <v>15</v>
      </c>
      <c r="P59" s="229">
        <v>16</v>
      </c>
      <c r="Q59" s="37">
        <v>15</v>
      </c>
      <c r="R59" s="39"/>
    </row>
    <row r="60" spans="1:18" s="66" customFormat="1" x14ac:dyDescent="0.25">
      <c r="A60" s="44">
        <v>1</v>
      </c>
      <c r="B60" s="63" t="s">
        <v>52</v>
      </c>
      <c r="C60" s="64">
        <v>377655</v>
      </c>
      <c r="D60" s="65">
        <v>285769</v>
      </c>
      <c r="E60" s="43">
        <f t="shared" ref="E60:E67" si="22">C60/D60*100</f>
        <v>132.15394252000743</v>
      </c>
      <c r="F60" s="65">
        <v>33305</v>
      </c>
      <c r="G60" s="68">
        <v>68424</v>
      </c>
      <c r="H60" s="43">
        <f>F60/G60*100</f>
        <v>48.674441716356839</v>
      </c>
      <c r="I60" s="65">
        <v>344720</v>
      </c>
      <c r="J60" s="65">
        <v>293345</v>
      </c>
      <c r="K60" s="43">
        <f t="shared" ref="K60:K67" si="23">I60/J60*100</f>
        <v>117.51350798547786</v>
      </c>
      <c r="L60" s="65">
        <v>343841</v>
      </c>
      <c r="M60" s="65">
        <v>238768</v>
      </c>
      <c r="N60" s="43">
        <f>L60/M60*100</f>
        <v>144.00631575420493</v>
      </c>
      <c r="O60" s="68">
        <v>154</v>
      </c>
      <c r="P60" s="65">
        <v>75</v>
      </c>
      <c r="Q60" s="68">
        <v>154</v>
      </c>
      <c r="R60" s="45">
        <f>O60*P60</f>
        <v>11550</v>
      </c>
    </row>
    <row r="61" spans="1:18" x14ac:dyDescent="0.25">
      <c r="A61" s="67">
        <v>2</v>
      </c>
      <c r="B61" s="63" t="s">
        <v>53</v>
      </c>
      <c r="C61" s="42">
        <v>119994</v>
      </c>
      <c r="D61" s="42">
        <v>63812</v>
      </c>
      <c r="E61" s="43">
        <f t="shared" si="22"/>
        <v>188.04300131636683</v>
      </c>
      <c r="F61" s="68">
        <v>30268</v>
      </c>
      <c r="G61" s="68">
        <v>4238</v>
      </c>
      <c r="H61" s="43">
        <f t="shared" ref="H61:H67" si="24">F61/G61*100</f>
        <v>714.20481359131668</v>
      </c>
      <c r="I61" s="68">
        <v>109495</v>
      </c>
      <c r="J61" s="68">
        <v>68642</v>
      </c>
      <c r="K61" s="43">
        <f t="shared" si="23"/>
        <v>159.51603974243173</v>
      </c>
      <c r="L61" s="68">
        <v>0</v>
      </c>
      <c r="M61" s="68">
        <v>3908</v>
      </c>
      <c r="N61" s="43">
        <v>0</v>
      </c>
      <c r="O61" s="68"/>
      <c r="P61" s="68">
        <v>105</v>
      </c>
      <c r="Q61" s="68">
        <v>132</v>
      </c>
      <c r="R61" s="45">
        <f t="shared" ref="R61:R68" si="25">O61*P61</f>
        <v>0</v>
      </c>
    </row>
    <row r="62" spans="1:18" x14ac:dyDescent="0.25">
      <c r="A62" s="67">
        <v>3</v>
      </c>
      <c r="B62" s="63" t="s">
        <v>54</v>
      </c>
      <c r="C62" s="68">
        <v>171421</v>
      </c>
      <c r="D62" s="68">
        <v>304089</v>
      </c>
      <c r="E62" s="43">
        <f t="shared" si="22"/>
        <v>56.371983202286167</v>
      </c>
      <c r="F62" s="68">
        <v>37331</v>
      </c>
      <c r="G62" s="68">
        <v>41107</v>
      </c>
      <c r="H62" s="43">
        <f t="shared" si="24"/>
        <v>90.814216556790811</v>
      </c>
      <c r="I62" s="68">
        <v>171421</v>
      </c>
      <c r="J62" s="68">
        <v>304089</v>
      </c>
      <c r="K62" s="43">
        <f t="shared" si="23"/>
        <v>56.371983202286167</v>
      </c>
      <c r="L62" s="68">
        <v>0</v>
      </c>
      <c r="M62" s="68">
        <v>0</v>
      </c>
      <c r="N62" s="43">
        <v>0</v>
      </c>
      <c r="O62" s="68">
        <v>118</v>
      </c>
      <c r="P62" s="68">
        <v>50</v>
      </c>
      <c r="Q62" s="68">
        <v>118</v>
      </c>
      <c r="R62" s="45">
        <f t="shared" si="25"/>
        <v>5900</v>
      </c>
    </row>
    <row r="63" spans="1:18" x14ac:dyDescent="0.25">
      <c r="A63" s="44">
        <v>4</v>
      </c>
      <c r="B63" s="63" t="s">
        <v>55</v>
      </c>
      <c r="C63" s="68">
        <v>193452</v>
      </c>
      <c r="D63" s="68">
        <v>196033</v>
      </c>
      <c r="E63" s="43">
        <f t="shared" si="22"/>
        <v>98.683384940290665</v>
      </c>
      <c r="F63" s="68">
        <v>22347</v>
      </c>
      <c r="G63" s="68">
        <v>11176</v>
      </c>
      <c r="H63" s="43">
        <f t="shared" si="24"/>
        <v>199.95526127415891</v>
      </c>
      <c r="I63" s="48">
        <v>207582</v>
      </c>
      <c r="J63" s="48">
        <v>191548</v>
      </c>
      <c r="K63" s="43">
        <f>I63/J63*100</f>
        <v>108.37074780211748</v>
      </c>
      <c r="L63" s="68">
        <f>96603+2761</f>
        <v>99364</v>
      </c>
      <c r="M63" s="68">
        <f>84024+4625</f>
        <v>88649</v>
      </c>
      <c r="N63" s="43">
        <f t="shared" ref="N63:N65" si="26">L63/M63*100</f>
        <v>112.08699477715484</v>
      </c>
      <c r="O63" s="68">
        <v>65</v>
      </c>
      <c r="P63" s="68">
        <v>57</v>
      </c>
      <c r="Q63" s="68">
        <v>64</v>
      </c>
      <c r="R63" s="45">
        <f t="shared" si="25"/>
        <v>3705</v>
      </c>
    </row>
    <row r="64" spans="1:18" x14ac:dyDescent="0.25">
      <c r="A64" s="67">
        <v>5</v>
      </c>
      <c r="B64" s="63" t="s">
        <v>56</v>
      </c>
      <c r="C64" s="233">
        <v>0</v>
      </c>
      <c r="D64" s="233">
        <v>0</v>
      </c>
      <c r="E64" s="43">
        <v>0</v>
      </c>
      <c r="F64" s="233">
        <v>0</v>
      </c>
      <c r="G64" s="233">
        <v>0</v>
      </c>
      <c r="H64" s="43">
        <v>0</v>
      </c>
      <c r="I64" s="233">
        <v>0</v>
      </c>
      <c r="J64" s="233">
        <v>0</v>
      </c>
      <c r="K64" s="43">
        <v>0</v>
      </c>
      <c r="L64" s="233">
        <v>0</v>
      </c>
      <c r="M64" s="233">
        <v>0</v>
      </c>
      <c r="N64" s="43">
        <v>0</v>
      </c>
      <c r="O64" s="68">
        <v>0</v>
      </c>
      <c r="P64" s="44">
        <v>0</v>
      </c>
      <c r="Q64" s="68">
        <v>0</v>
      </c>
      <c r="R64" s="45">
        <f t="shared" si="25"/>
        <v>0</v>
      </c>
    </row>
    <row r="65" spans="1:18" x14ac:dyDescent="0.25">
      <c r="A65" s="67">
        <v>6</v>
      </c>
      <c r="B65" s="63" t="s">
        <v>57</v>
      </c>
      <c r="C65" s="68">
        <v>36510</v>
      </c>
      <c r="D65" s="68">
        <v>48752</v>
      </c>
      <c r="E65" s="43">
        <f t="shared" si="22"/>
        <v>74.889235313423043</v>
      </c>
      <c r="F65" s="68">
        <v>5171</v>
      </c>
      <c r="G65" s="68">
        <v>6394</v>
      </c>
      <c r="H65" s="43">
        <f t="shared" si="24"/>
        <v>80.872693149827967</v>
      </c>
      <c r="I65" s="68">
        <v>38346</v>
      </c>
      <c r="J65" s="68">
        <v>48754</v>
      </c>
      <c r="K65" s="43">
        <f t="shared" si="23"/>
        <v>78.652008040365914</v>
      </c>
      <c r="L65" s="68">
        <v>38211</v>
      </c>
      <c r="M65" s="68">
        <v>48754</v>
      </c>
      <c r="N65" s="43">
        <f t="shared" si="26"/>
        <v>78.375107683472123</v>
      </c>
      <c r="O65" s="68">
        <v>34</v>
      </c>
      <c r="P65" s="68">
        <v>42</v>
      </c>
      <c r="Q65" s="68">
        <v>37</v>
      </c>
      <c r="R65" s="45">
        <f t="shared" si="25"/>
        <v>1428</v>
      </c>
    </row>
    <row r="66" spans="1:18" x14ac:dyDescent="0.25">
      <c r="A66" s="44">
        <v>7</v>
      </c>
      <c r="B66" s="63" t="s">
        <v>58</v>
      </c>
      <c r="C66" s="42">
        <v>37382</v>
      </c>
      <c r="D66" s="42">
        <v>66146</v>
      </c>
      <c r="E66" s="43">
        <f t="shared" si="22"/>
        <v>56.514377286608408</v>
      </c>
      <c r="F66" s="42">
        <v>5210</v>
      </c>
      <c r="G66" s="42">
        <v>4255</v>
      </c>
      <c r="H66" s="43">
        <f t="shared" si="24"/>
        <v>122.44418331374854</v>
      </c>
      <c r="I66" s="42">
        <v>38535</v>
      </c>
      <c r="J66" s="42">
        <v>81618</v>
      </c>
      <c r="K66" s="43">
        <f t="shared" si="23"/>
        <v>47.213849886054547</v>
      </c>
      <c r="L66" s="69">
        <v>38409</v>
      </c>
      <c r="M66" s="42">
        <v>81582</v>
      </c>
      <c r="N66" s="43">
        <f>L66/M66*100</f>
        <v>47.080238287857618</v>
      </c>
      <c r="O66" s="68">
        <v>41</v>
      </c>
      <c r="P66" s="68">
        <v>50</v>
      </c>
      <c r="Q66" s="68">
        <v>40</v>
      </c>
      <c r="R66" s="45">
        <f t="shared" si="25"/>
        <v>2050</v>
      </c>
    </row>
    <row r="67" spans="1:18" s="66" customFormat="1" x14ac:dyDescent="0.25">
      <c r="A67" s="67">
        <v>8</v>
      </c>
      <c r="B67" s="63" t="s">
        <v>59</v>
      </c>
      <c r="C67" s="199">
        <v>153100</v>
      </c>
      <c r="D67" s="42">
        <v>165000</v>
      </c>
      <c r="E67" s="43">
        <f t="shared" si="22"/>
        <v>92.787878787878782</v>
      </c>
      <c r="F67" s="42">
        <v>0</v>
      </c>
      <c r="G67" s="198">
        <v>50200</v>
      </c>
      <c r="H67" s="43">
        <f t="shared" si="24"/>
        <v>0</v>
      </c>
      <c r="I67" s="42">
        <v>215727</v>
      </c>
      <c r="J67" s="198">
        <v>135115</v>
      </c>
      <c r="K67" s="43">
        <f t="shared" si="23"/>
        <v>159.66176960367096</v>
      </c>
      <c r="L67" s="42">
        <v>215727</v>
      </c>
      <c r="M67" s="198">
        <v>135115</v>
      </c>
      <c r="N67" s="43">
        <f t="shared" ref="N67" si="27">L67/M67*100</f>
        <v>159.66176960367096</v>
      </c>
      <c r="O67" s="68">
        <v>35</v>
      </c>
      <c r="P67" s="65">
        <v>80</v>
      </c>
      <c r="Q67" s="68">
        <v>35</v>
      </c>
      <c r="R67" s="45">
        <f t="shared" si="25"/>
        <v>2800</v>
      </c>
    </row>
    <row r="68" spans="1:18" s="66" customFormat="1" x14ac:dyDescent="0.25">
      <c r="A68" s="67">
        <v>9</v>
      </c>
      <c r="B68" s="63" t="s">
        <v>60</v>
      </c>
      <c r="C68" s="233">
        <v>0</v>
      </c>
      <c r="D68" s="233">
        <v>0</v>
      </c>
      <c r="E68" s="43">
        <v>0</v>
      </c>
      <c r="F68" s="233">
        <v>0</v>
      </c>
      <c r="G68" s="233">
        <v>0</v>
      </c>
      <c r="H68" s="43">
        <v>0</v>
      </c>
      <c r="I68" s="233">
        <v>0</v>
      </c>
      <c r="J68" s="233">
        <v>0</v>
      </c>
      <c r="K68" s="43">
        <v>0</v>
      </c>
      <c r="L68" s="233">
        <v>0</v>
      </c>
      <c r="M68" s="233">
        <v>0</v>
      </c>
      <c r="N68" s="47">
        <v>0</v>
      </c>
      <c r="O68" s="68">
        <v>0</v>
      </c>
      <c r="P68" s="44">
        <v>0</v>
      </c>
      <c r="Q68" s="68">
        <v>0</v>
      </c>
      <c r="R68" s="45">
        <f t="shared" si="25"/>
        <v>0</v>
      </c>
    </row>
    <row r="69" spans="1:18" s="60" customFormat="1" x14ac:dyDescent="0.25">
      <c r="A69" s="334" t="s">
        <v>61</v>
      </c>
      <c r="B69" s="334"/>
      <c r="C69" s="70">
        <f>SUM(C60:C68)</f>
        <v>1089514</v>
      </c>
      <c r="D69" s="70">
        <f>SUM(D60:D68)</f>
        <v>1129601</v>
      </c>
      <c r="E69" s="71">
        <f>C69/D69*100</f>
        <v>96.45122481300919</v>
      </c>
      <c r="F69" s="70">
        <f>SUM(F60:F68)</f>
        <v>133632</v>
      </c>
      <c r="G69" s="70">
        <f>SUM(G60:G68)</f>
        <v>185794</v>
      </c>
      <c r="H69" s="71">
        <f>F69/G69*100</f>
        <v>71.924819961893277</v>
      </c>
      <c r="I69" s="72">
        <f>SUM(I60:I68)</f>
        <v>1125826</v>
      </c>
      <c r="J69" s="70">
        <f>SUM(J60:J68)</f>
        <v>1123111</v>
      </c>
      <c r="K69" s="71">
        <f>I69/J69*100</f>
        <v>100.24173924037785</v>
      </c>
      <c r="L69" s="70">
        <f>SUM(L60:L68)</f>
        <v>735552</v>
      </c>
      <c r="M69" s="70">
        <f>SUM(M60:M68)</f>
        <v>596776</v>
      </c>
      <c r="N69" s="71">
        <f>L69/M69*100</f>
        <v>123.25428636540343</v>
      </c>
      <c r="O69" s="72">
        <f>SUM(O60:O68)</f>
        <v>447</v>
      </c>
      <c r="P69" s="71">
        <f>R69/O69</f>
        <v>61.371364653243845</v>
      </c>
      <c r="Q69" s="72">
        <f>SUM(Q60:Q68)</f>
        <v>580</v>
      </c>
      <c r="R69" s="59">
        <f>SUM(R60:R68)</f>
        <v>27433</v>
      </c>
    </row>
    <row r="70" spans="1:18" x14ac:dyDescent="0.25">
      <c r="A70" s="39"/>
      <c r="B70" s="73"/>
      <c r="C70" s="39"/>
      <c r="D70" s="39"/>
      <c r="E70" s="39"/>
      <c r="F70" s="39"/>
      <c r="G70" s="39"/>
      <c r="H70" s="39"/>
      <c r="I70" s="39"/>
      <c r="J70" s="39"/>
      <c r="K70" s="74"/>
      <c r="L70" s="39"/>
      <c r="M70" s="39"/>
      <c r="N70" s="39"/>
      <c r="O70" s="39"/>
      <c r="P70" s="75"/>
      <c r="Q70" s="39"/>
      <c r="R70" s="39"/>
    </row>
    <row r="71" spans="1:18" x14ac:dyDescent="0.25">
      <c r="A71" s="319" t="s">
        <v>62</v>
      </c>
      <c r="B71" s="320"/>
      <c r="C71" s="37">
        <v>3</v>
      </c>
      <c r="D71" s="37">
        <v>4</v>
      </c>
      <c r="E71" s="229">
        <v>5</v>
      </c>
      <c r="F71" s="37">
        <v>6</v>
      </c>
      <c r="G71" s="37">
        <v>7</v>
      </c>
      <c r="H71" s="37">
        <v>8</v>
      </c>
      <c r="I71" s="37">
        <v>9</v>
      </c>
      <c r="J71" s="37">
        <v>10</v>
      </c>
      <c r="K71" s="37">
        <v>11</v>
      </c>
      <c r="L71" s="37">
        <v>12</v>
      </c>
      <c r="M71" s="37">
        <v>13</v>
      </c>
      <c r="N71" s="37">
        <v>14</v>
      </c>
      <c r="O71" s="37">
        <v>15</v>
      </c>
      <c r="P71" s="229">
        <v>16</v>
      </c>
      <c r="Q71" s="37">
        <v>15</v>
      </c>
      <c r="R71" s="39"/>
    </row>
    <row r="72" spans="1:18" x14ac:dyDescent="0.25">
      <c r="A72" s="40">
        <v>1</v>
      </c>
      <c r="B72" s="41" t="s">
        <v>63</v>
      </c>
      <c r="C72" s="233">
        <v>49905</v>
      </c>
      <c r="D72" s="233">
        <v>1781</v>
      </c>
      <c r="E72" s="47">
        <f t="shared" ref="E72:E79" si="28">C72/D72*100</f>
        <v>2802.0774845592364</v>
      </c>
      <c r="F72" s="233">
        <v>466</v>
      </c>
      <c r="G72" s="233">
        <v>26</v>
      </c>
      <c r="H72" s="47">
        <f t="shared" ref="H72:H78" si="29">F72/G72*100</f>
        <v>1792.3076923076924</v>
      </c>
      <c r="I72" s="233">
        <v>128094</v>
      </c>
      <c r="J72" s="233">
        <v>107109</v>
      </c>
      <c r="K72" s="47">
        <f>I72/J72*100</f>
        <v>119.59219113239783</v>
      </c>
      <c r="L72" s="233">
        <v>53172</v>
      </c>
      <c r="M72" s="233">
        <v>14000</v>
      </c>
      <c r="N72" s="47">
        <f t="shared" ref="N72:N73" si="30">L72/M72*100</f>
        <v>379.8</v>
      </c>
      <c r="O72" s="233">
        <v>172</v>
      </c>
      <c r="P72" s="62">
        <v>55</v>
      </c>
      <c r="Q72" s="233">
        <v>177</v>
      </c>
      <c r="R72" s="45">
        <f t="shared" ref="R72:R79" si="31">O72*P72</f>
        <v>9460</v>
      </c>
    </row>
    <row r="73" spans="1:18" x14ac:dyDescent="0.25">
      <c r="A73" s="40">
        <v>2</v>
      </c>
      <c r="B73" s="41" t="s">
        <v>40</v>
      </c>
      <c r="C73" s="51">
        <v>375095</v>
      </c>
      <c r="D73" s="51">
        <v>242636</v>
      </c>
      <c r="E73" s="47">
        <f t="shared" si="28"/>
        <v>154.59165169224681</v>
      </c>
      <c r="F73" s="51">
        <v>70461</v>
      </c>
      <c r="G73" s="51">
        <v>38943</v>
      </c>
      <c r="H73" s="47">
        <f t="shared" si="29"/>
        <v>180.93367229027041</v>
      </c>
      <c r="I73" s="51">
        <v>374871</v>
      </c>
      <c r="J73" s="51">
        <v>237649</v>
      </c>
      <c r="K73" s="47">
        <f t="shared" ref="K73:K79" si="32">I73/J73*100</f>
        <v>157.74145904253751</v>
      </c>
      <c r="L73" s="51">
        <v>374871</v>
      </c>
      <c r="M73" s="51">
        <f>804+236845</f>
        <v>237649</v>
      </c>
      <c r="N73" s="47">
        <f t="shared" si="30"/>
        <v>157.74145904253751</v>
      </c>
      <c r="O73" s="233">
        <v>24</v>
      </c>
      <c r="P73" s="44">
        <v>76</v>
      </c>
      <c r="Q73" s="233">
        <v>24</v>
      </c>
      <c r="R73" s="45">
        <f t="shared" si="31"/>
        <v>1824</v>
      </c>
    </row>
    <row r="74" spans="1:18" x14ac:dyDescent="0.25">
      <c r="A74" s="40">
        <v>3</v>
      </c>
      <c r="B74" s="41" t="s">
        <v>64</v>
      </c>
      <c r="C74" s="233">
        <v>29608</v>
      </c>
      <c r="D74" s="233">
        <v>7869</v>
      </c>
      <c r="E74" s="47">
        <f t="shared" si="28"/>
        <v>376.26127843436268</v>
      </c>
      <c r="F74" s="233">
        <v>1909</v>
      </c>
      <c r="G74" s="233">
        <v>1581</v>
      </c>
      <c r="H74" s="47">
        <f t="shared" si="29"/>
        <v>120.74636306135358</v>
      </c>
      <c r="I74" s="233">
        <v>28208</v>
      </c>
      <c r="J74" s="233">
        <v>8853</v>
      </c>
      <c r="K74" s="47">
        <f t="shared" si="32"/>
        <v>318.6264543092737</v>
      </c>
      <c r="L74" s="233">
        <v>4160</v>
      </c>
      <c r="M74" s="233">
        <v>0</v>
      </c>
      <c r="N74" s="47">
        <v>0</v>
      </c>
      <c r="O74" s="233"/>
      <c r="P74" s="62">
        <v>45</v>
      </c>
      <c r="Q74" s="233">
        <v>42</v>
      </c>
      <c r="R74" s="45">
        <f t="shared" si="31"/>
        <v>0</v>
      </c>
    </row>
    <row r="75" spans="1:18" x14ac:dyDescent="0.25">
      <c r="A75" s="40">
        <v>4</v>
      </c>
      <c r="B75" s="41" t="s">
        <v>65</v>
      </c>
      <c r="C75" s="233">
        <v>29035</v>
      </c>
      <c r="D75" s="233">
        <v>15044</v>
      </c>
      <c r="E75" s="47">
        <f t="shared" si="28"/>
        <v>193.0005317734645</v>
      </c>
      <c r="F75" s="233">
        <v>5497</v>
      </c>
      <c r="G75" s="233">
        <v>914</v>
      </c>
      <c r="H75" s="47">
        <f t="shared" si="29"/>
        <v>601.42231947483594</v>
      </c>
      <c r="I75" s="233">
        <v>38423</v>
      </c>
      <c r="J75" s="233">
        <v>10374</v>
      </c>
      <c r="K75" s="47">
        <f t="shared" si="32"/>
        <v>370.37786774628876</v>
      </c>
      <c r="L75" s="233">
        <v>23341</v>
      </c>
      <c r="M75" s="233">
        <v>0</v>
      </c>
      <c r="N75" s="47">
        <v>0</v>
      </c>
      <c r="O75" s="233"/>
      <c r="P75" s="76">
        <v>50</v>
      </c>
      <c r="Q75" s="233">
        <v>74</v>
      </c>
      <c r="R75" s="45">
        <f t="shared" si="31"/>
        <v>0</v>
      </c>
    </row>
    <row r="76" spans="1:18" x14ac:dyDescent="0.25">
      <c r="A76" s="40">
        <v>5</v>
      </c>
      <c r="B76" s="41" t="s">
        <v>66</v>
      </c>
      <c r="C76" s="233">
        <v>55647</v>
      </c>
      <c r="D76" s="233">
        <v>30147</v>
      </c>
      <c r="E76" s="47">
        <f t="shared" si="28"/>
        <v>184.58553089859689</v>
      </c>
      <c r="F76" s="233">
        <v>275</v>
      </c>
      <c r="G76" s="233">
        <v>125</v>
      </c>
      <c r="H76" s="34">
        <f t="shared" si="29"/>
        <v>220.00000000000003</v>
      </c>
      <c r="I76" s="233">
        <v>56359</v>
      </c>
      <c r="J76" s="233">
        <v>34121</v>
      </c>
      <c r="K76" s="47">
        <f t="shared" si="32"/>
        <v>165.17393980246769</v>
      </c>
      <c r="L76" s="233">
        <f>41935+2033</f>
        <v>43968</v>
      </c>
      <c r="M76" s="233">
        <v>0</v>
      </c>
      <c r="N76" s="47">
        <v>0</v>
      </c>
      <c r="O76" s="233">
        <v>64</v>
      </c>
      <c r="P76" s="62">
        <v>62</v>
      </c>
      <c r="Q76" s="233">
        <v>64</v>
      </c>
      <c r="R76" s="45">
        <f t="shared" si="31"/>
        <v>3968</v>
      </c>
    </row>
    <row r="77" spans="1:18" x14ac:dyDescent="0.25">
      <c r="A77" s="40">
        <v>6</v>
      </c>
      <c r="B77" s="41" t="s">
        <v>67</v>
      </c>
      <c r="C77" s="233">
        <v>2156</v>
      </c>
      <c r="D77" s="233">
        <v>4081</v>
      </c>
      <c r="E77" s="47">
        <f t="shared" si="28"/>
        <v>52.830188679245282</v>
      </c>
      <c r="F77" s="233">
        <v>0</v>
      </c>
      <c r="G77" s="233">
        <v>622</v>
      </c>
      <c r="H77" s="47">
        <f t="shared" si="29"/>
        <v>0</v>
      </c>
      <c r="I77" s="233">
        <v>2156</v>
      </c>
      <c r="J77" s="233">
        <v>4372</v>
      </c>
      <c r="K77" s="47">
        <f t="shared" si="32"/>
        <v>49.313815187557182</v>
      </c>
      <c r="L77" s="233">
        <v>48</v>
      </c>
      <c r="M77" s="233">
        <v>146</v>
      </c>
      <c r="N77" s="47">
        <f t="shared" ref="N77:N78" si="33">L77/M77*100</f>
        <v>32.87671232876712</v>
      </c>
      <c r="O77" s="233">
        <v>12</v>
      </c>
      <c r="P77" s="62">
        <v>85</v>
      </c>
      <c r="Q77" s="233">
        <v>10</v>
      </c>
      <c r="R77" s="45">
        <f t="shared" si="31"/>
        <v>1020</v>
      </c>
    </row>
    <row r="78" spans="1:18" x14ac:dyDescent="0.25">
      <c r="A78" s="40">
        <v>7</v>
      </c>
      <c r="B78" s="41" t="s">
        <v>168</v>
      </c>
      <c r="C78" s="233">
        <v>638653</v>
      </c>
      <c r="D78" s="233">
        <v>440120</v>
      </c>
      <c r="E78" s="47">
        <f t="shared" si="28"/>
        <v>145.10883395437608</v>
      </c>
      <c r="F78" s="233">
        <v>156221</v>
      </c>
      <c r="G78" s="233">
        <v>62891</v>
      </c>
      <c r="H78" s="47">
        <f t="shared" si="29"/>
        <v>248.3996120271581</v>
      </c>
      <c r="I78" s="233">
        <v>544169</v>
      </c>
      <c r="J78" s="233">
        <v>472997</v>
      </c>
      <c r="K78" s="47">
        <f t="shared" si="32"/>
        <v>115.04702989659555</v>
      </c>
      <c r="L78" s="233">
        <f>17865+87198</f>
        <v>105063</v>
      </c>
      <c r="M78" s="233">
        <v>115970</v>
      </c>
      <c r="N78" s="47">
        <f t="shared" si="33"/>
        <v>90.594981460722607</v>
      </c>
      <c r="O78" s="233"/>
      <c r="P78" s="44">
        <v>200</v>
      </c>
      <c r="Q78" s="233">
        <v>149</v>
      </c>
      <c r="R78" s="45">
        <f t="shared" si="31"/>
        <v>0</v>
      </c>
    </row>
    <row r="79" spans="1:18" x14ac:dyDescent="0.25">
      <c r="A79" s="40">
        <v>8</v>
      </c>
      <c r="B79" s="41" t="s">
        <v>68</v>
      </c>
      <c r="C79" s="233">
        <v>2716</v>
      </c>
      <c r="D79" s="233">
        <v>3258</v>
      </c>
      <c r="E79" s="47">
        <f t="shared" si="28"/>
        <v>83.364027010435848</v>
      </c>
      <c r="F79" s="233">
        <v>0</v>
      </c>
      <c r="G79" s="233">
        <v>0</v>
      </c>
      <c r="H79" s="47">
        <v>0</v>
      </c>
      <c r="I79" s="233">
        <v>2988</v>
      </c>
      <c r="J79" s="233">
        <v>3583</v>
      </c>
      <c r="K79" s="47">
        <f t="shared" si="32"/>
        <v>83.393804074797657</v>
      </c>
      <c r="L79" s="233">
        <v>0</v>
      </c>
      <c r="M79" s="233">
        <v>0</v>
      </c>
      <c r="N79" s="47">
        <v>0</v>
      </c>
      <c r="O79" s="233">
        <v>18</v>
      </c>
      <c r="P79" s="62">
        <v>40</v>
      </c>
      <c r="Q79" s="233">
        <v>20</v>
      </c>
      <c r="R79" s="45">
        <f t="shared" si="31"/>
        <v>720</v>
      </c>
    </row>
    <row r="80" spans="1:18" s="60" customFormat="1" x14ac:dyDescent="0.25">
      <c r="A80" s="315" t="s">
        <v>211</v>
      </c>
      <c r="B80" s="315" t="s">
        <v>69</v>
      </c>
      <c r="C80" s="56">
        <f>SUM(C72:C79)</f>
        <v>1182815</v>
      </c>
      <c r="D80" s="56">
        <f>SUM(D72:D79)</f>
        <v>744936</v>
      </c>
      <c r="E80" s="57">
        <f>C80/D80*100</f>
        <v>158.78075431983419</v>
      </c>
      <c r="F80" s="56">
        <f>SUM(F72:F79)</f>
        <v>234829</v>
      </c>
      <c r="G80" s="56">
        <f>SUM(G72:G79)</f>
        <v>105102</v>
      </c>
      <c r="H80" s="57">
        <f>F80/G80*100</f>
        <v>223.4296207493673</v>
      </c>
      <c r="I80" s="56">
        <f>SUM(I72:I79)</f>
        <v>1175268</v>
      </c>
      <c r="J80" s="56">
        <f>SUM(J72:J79)</f>
        <v>879058</v>
      </c>
      <c r="K80" s="57">
        <f>I80/J80*100</f>
        <v>133.69629762768781</v>
      </c>
      <c r="L80" s="56">
        <f>SUM(L72:L79)</f>
        <v>604623</v>
      </c>
      <c r="M80" s="56">
        <f>SUM(M72:M79)</f>
        <v>367765</v>
      </c>
      <c r="N80" s="58">
        <f>L80/M80*100</f>
        <v>164.40471496743845</v>
      </c>
      <c r="O80" s="56">
        <f>SUM(O72:O79)</f>
        <v>290</v>
      </c>
      <c r="P80" s="57">
        <f>R80/O80</f>
        <v>58.593103448275862</v>
      </c>
      <c r="Q80" s="56">
        <f>SUM(Q72:Q79)</f>
        <v>560</v>
      </c>
      <c r="R80" s="59">
        <f>SUM(R72:R79)</f>
        <v>16992</v>
      </c>
    </row>
    <row r="81" spans="1:18" s="211" customFormat="1" x14ac:dyDescent="0.25">
      <c r="A81" s="352" t="s">
        <v>70</v>
      </c>
      <c r="B81" s="352" t="s">
        <v>70</v>
      </c>
      <c r="C81" s="212">
        <f>C57+C69+C80</f>
        <v>4819560</v>
      </c>
      <c r="D81" s="212">
        <f>D57+D69+D80</f>
        <v>3590011</v>
      </c>
      <c r="E81" s="210">
        <f>C81/D81*100</f>
        <v>134.24917082426765</v>
      </c>
      <c r="F81" s="212">
        <f>F57+F69+F80</f>
        <v>702313</v>
      </c>
      <c r="G81" s="212">
        <f>G57+G69+G80</f>
        <v>502211</v>
      </c>
      <c r="H81" s="210">
        <f>F81/G81*100</f>
        <v>139.84420890820789</v>
      </c>
      <c r="I81" s="212">
        <f>I57+I69+I80</f>
        <v>4235760</v>
      </c>
      <c r="J81" s="212">
        <f>J57+J69+J80</f>
        <v>3764935</v>
      </c>
      <c r="K81" s="210">
        <f>I81/J81*100</f>
        <v>112.50552798388284</v>
      </c>
      <c r="L81" s="212">
        <f>L57+L69+L80</f>
        <v>2437995</v>
      </c>
      <c r="M81" s="212">
        <f>M57+M69+M80</f>
        <v>1921494</v>
      </c>
      <c r="N81" s="210">
        <f>L81/M81*100</f>
        <v>126.88017761179582</v>
      </c>
      <c r="O81" s="212">
        <f>O57+O69+O80</f>
        <v>1261</v>
      </c>
      <c r="P81" s="210">
        <f>R81/O81</f>
        <v>69.904837430610627</v>
      </c>
      <c r="Q81" s="212">
        <f>Q57+Q69+Q80</f>
        <v>1970</v>
      </c>
      <c r="R81" s="213">
        <f>R57+R69+R80</f>
        <v>88150</v>
      </c>
    </row>
    <row r="82" spans="1:18" x14ac:dyDescent="0.25">
      <c r="A82" s="233"/>
      <c r="B82" s="61"/>
      <c r="C82" s="233"/>
      <c r="D82" s="233"/>
      <c r="E82" s="233"/>
      <c r="F82" s="233"/>
      <c r="G82" s="233"/>
      <c r="H82" s="233"/>
      <c r="I82" s="233"/>
      <c r="J82" s="233"/>
      <c r="K82" s="34"/>
      <c r="L82" s="233"/>
      <c r="M82" s="233"/>
      <c r="N82" s="233"/>
      <c r="O82" s="233"/>
      <c r="P82" s="62"/>
      <c r="Q82" s="233"/>
      <c r="R82" s="39"/>
    </row>
    <row r="83" spans="1:18" x14ac:dyDescent="0.25">
      <c r="A83" s="316" t="s">
        <v>18</v>
      </c>
      <c r="B83" s="317"/>
      <c r="C83" s="37">
        <v>3</v>
      </c>
      <c r="D83" s="37">
        <v>4</v>
      </c>
      <c r="E83" s="229">
        <v>5</v>
      </c>
      <c r="F83" s="37">
        <v>6</v>
      </c>
      <c r="G83" s="37">
        <v>7</v>
      </c>
      <c r="H83" s="37">
        <v>8</v>
      </c>
      <c r="I83" s="37">
        <v>9</v>
      </c>
      <c r="J83" s="37">
        <v>10</v>
      </c>
      <c r="K83" s="37">
        <v>11</v>
      </c>
      <c r="L83" s="37">
        <v>12</v>
      </c>
      <c r="M83" s="37">
        <v>13</v>
      </c>
      <c r="N83" s="37">
        <v>14</v>
      </c>
      <c r="O83" s="37">
        <v>15</v>
      </c>
      <c r="P83" s="229">
        <v>16</v>
      </c>
      <c r="Q83" s="37">
        <v>15</v>
      </c>
      <c r="R83" s="39"/>
    </row>
    <row r="84" spans="1:18" x14ac:dyDescent="0.25">
      <c r="A84" s="77">
        <v>1</v>
      </c>
      <c r="B84" s="78" t="s">
        <v>71</v>
      </c>
      <c r="C84" s="51">
        <v>11106</v>
      </c>
      <c r="D84" s="51">
        <v>39993</v>
      </c>
      <c r="E84" s="47">
        <f>C84/D84*100</f>
        <v>27.769859725451955</v>
      </c>
      <c r="F84" s="51">
        <v>181</v>
      </c>
      <c r="G84" s="51">
        <v>4149</v>
      </c>
      <c r="H84" s="47">
        <f>F84/G84*100</f>
        <v>4.3624969872258372</v>
      </c>
      <c r="I84" s="51">
        <v>8533</v>
      </c>
      <c r="J84" s="51">
        <v>45894</v>
      </c>
      <c r="K84" s="47">
        <f>I84/J84*100</f>
        <v>18.592844380529044</v>
      </c>
      <c r="L84" s="233">
        <v>0</v>
      </c>
      <c r="M84" s="51">
        <v>5674</v>
      </c>
      <c r="N84" s="47">
        <v>0</v>
      </c>
      <c r="O84" s="233"/>
      <c r="P84" s="51">
        <v>113</v>
      </c>
      <c r="Q84" s="233">
        <v>2719</v>
      </c>
      <c r="R84" s="45">
        <f t="shared" ref="R84:R94" si="34">O84*P84</f>
        <v>0</v>
      </c>
    </row>
    <row r="85" spans="1:18" s="80" customFormat="1" x14ac:dyDescent="0.25">
      <c r="A85" s="79">
        <v>2</v>
      </c>
      <c r="B85" s="78" t="s">
        <v>72</v>
      </c>
      <c r="C85" s="51">
        <v>404148</v>
      </c>
      <c r="D85" s="51">
        <v>453636</v>
      </c>
      <c r="E85" s="47">
        <f>C85/D85*100</f>
        <v>89.090812898447211</v>
      </c>
      <c r="F85" s="51">
        <v>68539</v>
      </c>
      <c r="G85" s="51">
        <v>62255</v>
      </c>
      <c r="H85" s="47">
        <f t="shared" ref="H85:H94" si="35">F85/G85*100</f>
        <v>110.09396835595535</v>
      </c>
      <c r="I85" s="51">
        <v>441849</v>
      </c>
      <c r="J85" s="51">
        <v>443931</v>
      </c>
      <c r="K85" s="47">
        <f>I85/J85*100</f>
        <v>99.531008197219833</v>
      </c>
      <c r="L85" s="51">
        <v>435545</v>
      </c>
      <c r="M85" s="51">
        <v>439150</v>
      </c>
      <c r="N85" s="47">
        <f t="shared" ref="N85:N94" si="36">L85/M85*100</f>
        <v>99.179095980872134</v>
      </c>
      <c r="O85" s="233">
        <v>571</v>
      </c>
      <c r="P85" s="51">
        <v>101</v>
      </c>
      <c r="Q85" s="233">
        <v>568</v>
      </c>
      <c r="R85" s="45">
        <f t="shared" si="34"/>
        <v>57671</v>
      </c>
    </row>
    <row r="86" spans="1:18" x14ac:dyDescent="0.25">
      <c r="A86" s="77">
        <v>3</v>
      </c>
      <c r="B86" s="78" t="s">
        <v>73</v>
      </c>
      <c r="C86" s="51">
        <v>608282</v>
      </c>
      <c r="D86" s="51">
        <v>468204</v>
      </c>
      <c r="E86" s="47">
        <f>C86/D86*100</f>
        <v>129.91815533399972</v>
      </c>
      <c r="F86" s="51">
        <v>196643</v>
      </c>
      <c r="G86" s="51">
        <v>63283</v>
      </c>
      <c r="H86" s="47">
        <f t="shared" si="35"/>
        <v>310.7359006368219</v>
      </c>
      <c r="I86" s="51">
        <v>1321254</v>
      </c>
      <c r="J86" s="51">
        <v>778913</v>
      </c>
      <c r="K86" s="47">
        <f>I86/J86*100</f>
        <v>169.62793020529892</v>
      </c>
      <c r="L86" s="51">
        <v>297563</v>
      </c>
      <c r="M86" s="51">
        <v>150735</v>
      </c>
      <c r="N86" s="47">
        <f t="shared" si="36"/>
        <v>197.40803396689554</v>
      </c>
      <c r="O86" s="233">
        <v>22</v>
      </c>
      <c r="P86" s="51">
        <v>306</v>
      </c>
      <c r="Q86" s="233">
        <v>22</v>
      </c>
      <c r="R86" s="45">
        <f t="shared" si="34"/>
        <v>6732</v>
      </c>
    </row>
    <row r="87" spans="1:18" x14ac:dyDescent="0.25">
      <c r="A87" s="79">
        <v>4</v>
      </c>
      <c r="B87" s="78" t="s">
        <v>74</v>
      </c>
      <c r="C87" s="51">
        <v>567395</v>
      </c>
      <c r="D87" s="51">
        <v>516537</v>
      </c>
      <c r="E87" s="47">
        <f t="shared" ref="E87:E94" si="37">C87/D87*100</f>
        <v>109.84595488803319</v>
      </c>
      <c r="F87" s="51">
        <v>84017</v>
      </c>
      <c r="G87" s="51">
        <v>81048</v>
      </c>
      <c r="H87" s="47">
        <f t="shared" si="35"/>
        <v>103.66326127726779</v>
      </c>
      <c r="I87" s="51">
        <v>556582</v>
      </c>
      <c r="J87" s="51">
        <v>511054</v>
      </c>
      <c r="K87" s="47">
        <f t="shared" ref="K87:K94" si="38">I87/J87*100</f>
        <v>108.90864761845127</v>
      </c>
      <c r="L87" s="233">
        <v>323386</v>
      </c>
      <c r="M87" s="51">
        <v>272082</v>
      </c>
      <c r="N87" s="47">
        <f t="shared" si="36"/>
        <v>118.85608015230702</v>
      </c>
      <c r="O87" s="233">
        <v>196</v>
      </c>
      <c r="P87" s="51">
        <v>40</v>
      </c>
      <c r="Q87" s="233">
        <v>196</v>
      </c>
      <c r="R87" s="45">
        <f t="shared" si="34"/>
        <v>7840</v>
      </c>
    </row>
    <row r="88" spans="1:18" x14ac:dyDescent="0.25">
      <c r="A88" s="77">
        <v>5</v>
      </c>
      <c r="B88" s="78" t="s">
        <v>75</v>
      </c>
      <c r="C88" s="62">
        <v>214955</v>
      </c>
      <c r="D88" s="62">
        <v>181124</v>
      </c>
      <c r="E88" s="47">
        <f t="shared" si="37"/>
        <v>118.67836399372807</v>
      </c>
      <c r="F88" s="62">
        <v>33230</v>
      </c>
      <c r="G88" s="62">
        <v>28090</v>
      </c>
      <c r="H88" s="47">
        <f t="shared" si="35"/>
        <v>118.29832680669277</v>
      </c>
      <c r="I88" s="62">
        <v>212986</v>
      </c>
      <c r="J88" s="62">
        <v>176662</v>
      </c>
      <c r="K88" s="47">
        <f t="shared" si="38"/>
        <v>120.56129784560348</v>
      </c>
      <c r="L88" s="233">
        <v>94144</v>
      </c>
      <c r="M88" s="62">
        <v>0</v>
      </c>
      <c r="N88" s="47">
        <v>0</v>
      </c>
      <c r="O88" s="233">
        <v>89</v>
      </c>
      <c r="P88" s="62">
        <v>47</v>
      </c>
      <c r="Q88" s="233">
        <v>86</v>
      </c>
      <c r="R88" s="45">
        <f t="shared" si="34"/>
        <v>4183</v>
      </c>
    </row>
    <row r="89" spans="1:18" x14ac:dyDescent="0.25">
      <c r="A89" s="79">
        <v>6</v>
      </c>
      <c r="B89" s="78" t="s">
        <v>76</v>
      </c>
      <c r="C89" s="233">
        <v>0</v>
      </c>
      <c r="D89" s="233">
        <v>0</v>
      </c>
      <c r="E89" s="47">
        <v>0</v>
      </c>
      <c r="F89" s="233">
        <v>0</v>
      </c>
      <c r="G89" s="233">
        <v>0</v>
      </c>
      <c r="H89" s="43">
        <v>0</v>
      </c>
      <c r="I89" s="233">
        <v>0</v>
      </c>
      <c r="J89" s="233">
        <v>0</v>
      </c>
      <c r="K89" s="43">
        <v>0</v>
      </c>
      <c r="L89" s="233">
        <v>0</v>
      </c>
      <c r="M89" s="233">
        <v>0</v>
      </c>
      <c r="N89" s="47">
        <v>0</v>
      </c>
      <c r="O89" s="233">
        <v>0</v>
      </c>
      <c r="P89" s="44">
        <v>0</v>
      </c>
      <c r="Q89" s="233">
        <v>0</v>
      </c>
      <c r="R89" s="45">
        <f t="shared" si="34"/>
        <v>0</v>
      </c>
    </row>
    <row r="90" spans="1:18" x14ac:dyDescent="0.25">
      <c r="A90" s="77">
        <v>7</v>
      </c>
      <c r="B90" s="78" t="s">
        <v>77</v>
      </c>
      <c r="C90" s="51">
        <v>406</v>
      </c>
      <c r="D90" s="62">
        <v>839</v>
      </c>
      <c r="E90" s="47">
        <f t="shared" si="37"/>
        <v>48.390941597139452</v>
      </c>
      <c r="F90" s="51">
        <v>101</v>
      </c>
      <c r="G90" s="62">
        <v>429</v>
      </c>
      <c r="H90" s="47">
        <f t="shared" ref="H90:H91" si="39">F90/G90*100</f>
        <v>23.543123543123542</v>
      </c>
      <c r="I90" s="51">
        <v>406</v>
      </c>
      <c r="J90" s="62">
        <v>839</v>
      </c>
      <c r="K90" s="47">
        <f t="shared" ref="K90:K91" si="40">I90/J90*100</f>
        <v>48.390941597139452</v>
      </c>
      <c r="L90" s="233">
        <v>0</v>
      </c>
      <c r="M90" s="62">
        <v>0</v>
      </c>
      <c r="N90" s="47">
        <v>0</v>
      </c>
      <c r="O90" s="233">
        <v>12</v>
      </c>
      <c r="P90" s="51">
        <v>73</v>
      </c>
      <c r="Q90" s="233">
        <v>12</v>
      </c>
      <c r="R90" s="45">
        <f t="shared" si="34"/>
        <v>876</v>
      </c>
    </row>
    <row r="91" spans="1:18" x14ac:dyDescent="0.25">
      <c r="A91" s="79">
        <v>8</v>
      </c>
      <c r="B91" s="81" t="s">
        <v>78</v>
      </c>
      <c r="C91" s="62">
        <v>657720</v>
      </c>
      <c r="D91" s="62">
        <v>666006</v>
      </c>
      <c r="E91" s="47">
        <f t="shared" si="37"/>
        <v>98.755867064260684</v>
      </c>
      <c r="F91" s="62">
        <v>128966</v>
      </c>
      <c r="G91" s="62">
        <v>144373</v>
      </c>
      <c r="H91" s="47">
        <f t="shared" si="39"/>
        <v>89.328337015924035</v>
      </c>
      <c r="I91" s="62">
        <v>723916</v>
      </c>
      <c r="J91" s="62">
        <v>751519</v>
      </c>
      <c r="K91" s="47">
        <f t="shared" si="40"/>
        <v>96.327038970405283</v>
      </c>
      <c r="L91" s="233">
        <v>141529</v>
      </c>
      <c r="M91" s="62">
        <v>145320</v>
      </c>
      <c r="N91" s="47">
        <f t="shared" si="36"/>
        <v>97.391274428846685</v>
      </c>
      <c r="O91" s="233"/>
      <c r="P91" s="51">
        <v>85</v>
      </c>
      <c r="Q91" s="233">
        <v>80</v>
      </c>
      <c r="R91" s="45">
        <f t="shared" si="34"/>
        <v>0</v>
      </c>
    </row>
    <row r="92" spans="1:18" x14ac:dyDescent="0.25">
      <c r="A92" s="77">
        <v>9</v>
      </c>
      <c r="B92" s="81" t="s">
        <v>79</v>
      </c>
      <c r="C92" s="51">
        <v>1374193</v>
      </c>
      <c r="D92" s="51">
        <v>1445987</v>
      </c>
      <c r="E92" s="47">
        <f t="shared" si="37"/>
        <v>95.034948446977737</v>
      </c>
      <c r="F92" s="51">
        <v>248109</v>
      </c>
      <c r="G92" s="51">
        <v>249188</v>
      </c>
      <c r="H92" s="47">
        <f t="shared" si="35"/>
        <v>99.566993595197189</v>
      </c>
      <c r="I92" s="51">
        <v>1303005</v>
      </c>
      <c r="J92" s="51">
        <v>1613805</v>
      </c>
      <c r="K92" s="47">
        <f t="shared" si="38"/>
        <v>80.741167613187471</v>
      </c>
      <c r="L92" s="233">
        <v>0</v>
      </c>
      <c r="M92" s="51">
        <v>0</v>
      </c>
      <c r="N92" s="47">
        <v>0</v>
      </c>
      <c r="O92" s="233">
        <v>128</v>
      </c>
      <c r="P92" s="51">
        <v>145</v>
      </c>
      <c r="Q92" s="233">
        <v>128</v>
      </c>
      <c r="R92" s="45">
        <f t="shared" si="34"/>
        <v>18560</v>
      </c>
    </row>
    <row r="93" spans="1:18" x14ac:dyDescent="0.25">
      <c r="A93" s="79">
        <v>10</v>
      </c>
      <c r="B93" s="78" t="s">
        <v>80</v>
      </c>
      <c r="C93" s="51">
        <v>779494</v>
      </c>
      <c r="D93" s="51">
        <v>730712</v>
      </c>
      <c r="E93" s="47">
        <f t="shared" si="37"/>
        <v>106.6759544115876</v>
      </c>
      <c r="F93" s="51">
        <v>49309</v>
      </c>
      <c r="G93" s="51">
        <v>98794</v>
      </c>
      <c r="H93" s="47">
        <f t="shared" si="35"/>
        <v>49.910925764722549</v>
      </c>
      <c r="I93" s="51">
        <v>745418</v>
      </c>
      <c r="J93" s="51">
        <v>631599</v>
      </c>
      <c r="K93" s="47">
        <f t="shared" si="38"/>
        <v>118.02076950723482</v>
      </c>
      <c r="L93" s="233">
        <f>160101+201725</f>
        <v>361826</v>
      </c>
      <c r="M93" s="51">
        <f>192727+86275</f>
        <v>279002</v>
      </c>
      <c r="N93" s="47">
        <f t="shared" si="36"/>
        <v>129.68580870388027</v>
      </c>
      <c r="O93" s="233">
        <v>121</v>
      </c>
      <c r="P93" s="51">
        <v>135</v>
      </c>
      <c r="Q93" s="233">
        <v>114</v>
      </c>
      <c r="R93" s="45">
        <f t="shared" si="34"/>
        <v>16335</v>
      </c>
    </row>
    <row r="94" spans="1:18" x14ac:dyDescent="0.25">
      <c r="A94" s="77">
        <v>11</v>
      </c>
      <c r="B94" s="78" t="s">
        <v>81</v>
      </c>
      <c r="C94" s="77">
        <v>191564</v>
      </c>
      <c r="D94" s="181">
        <v>169518</v>
      </c>
      <c r="E94" s="47">
        <f t="shared" si="37"/>
        <v>113.00510860203636</v>
      </c>
      <c r="F94" s="51">
        <v>29313</v>
      </c>
      <c r="G94" s="51">
        <v>22519</v>
      </c>
      <c r="H94" s="47">
        <f t="shared" si="35"/>
        <v>130.1700786002931</v>
      </c>
      <c r="I94" s="82">
        <v>2168184</v>
      </c>
      <c r="J94" s="83">
        <v>2149419</v>
      </c>
      <c r="K94" s="47">
        <f t="shared" si="38"/>
        <v>100.8730266178907</v>
      </c>
      <c r="L94" s="82">
        <v>31703</v>
      </c>
      <c r="M94" s="83">
        <v>13159</v>
      </c>
      <c r="N94" s="47">
        <f t="shared" si="36"/>
        <v>240.92256250474961</v>
      </c>
      <c r="O94" s="233">
        <v>52</v>
      </c>
      <c r="P94" s="51">
        <v>250</v>
      </c>
      <c r="Q94" s="233">
        <v>52</v>
      </c>
      <c r="R94" s="45">
        <f t="shared" si="34"/>
        <v>13000</v>
      </c>
    </row>
    <row r="95" spans="1:18" s="60" customFormat="1" x14ac:dyDescent="0.25">
      <c r="A95" s="315" t="s">
        <v>82</v>
      </c>
      <c r="B95" s="315" t="s">
        <v>83</v>
      </c>
      <c r="C95" s="58">
        <f>SUM(C84:C94)</f>
        <v>4809263</v>
      </c>
      <c r="D95" s="58">
        <f>SUM(D84:D94)</f>
        <v>4672556</v>
      </c>
      <c r="E95" s="57">
        <f>C95/D95*100</f>
        <v>102.92574342608201</v>
      </c>
      <c r="F95" s="58">
        <f>SUM(F84:F94)</f>
        <v>838408</v>
      </c>
      <c r="G95" s="58">
        <f>SUM(G84:G94)</f>
        <v>754128</v>
      </c>
      <c r="H95" s="57">
        <f>F95/G95*100</f>
        <v>111.17582161118537</v>
      </c>
      <c r="I95" s="58">
        <f>SUM(I84:I94)</f>
        <v>7482133</v>
      </c>
      <c r="J95" s="58">
        <f>SUM(J84:J94)</f>
        <v>7103635</v>
      </c>
      <c r="K95" s="57">
        <f>I95/J95*100</f>
        <v>105.32822984289029</v>
      </c>
      <c r="L95" s="58">
        <f>SUM(L84:L94)</f>
        <v>1685696</v>
      </c>
      <c r="M95" s="58">
        <f>SUM(M84:M94)</f>
        <v>1305122</v>
      </c>
      <c r="N95" s="57">
        <f>L95/M95*100</f>
        <v>129.16003254868127</v>
      </c>
      <c r="O95" s="56">
        <f>SUM(O84:O94)</f>
        <v>1191</v>
      </c>
      <c r="P95" s="57">
        <f>R95/O95</f>
        <v>105.11922753988244</v>
      </c>
      <c r="Q95" s="56">
        <f>SUM(Q84:Q94)</f>
        <v>3977</v>
      </c>
      <c r="R95" s="59">
        <f>SUM(R84:R94)</f>
        <v>125197</v>
      </c>
    </row>
    <row r="96" spans="1:18" x14ac:dyDescent="0.25">
      <c r="A96" s="233"/>
      <c r="B96" s="233"/>
      <c r="C96" s="233"/>
      <c r="D96" s="233"/>
      <c r="E96" s="233"/>
      <c r="F96" s="233"/>
      <c r="G96" s="233"/>
      <c r="H96" s="233"/>
      <c r="I96" s="233"/>
      <c r="J96" s="233"/>
      <c r="K96" s="34"/>
      <c r="L96" s="233"/>
      <c r="M96" s="233"/>
      <c r="N96" s="233"/>
      <c r="O96" s="233"/>
      <c r="P96" s="62"/>
      <c r="Q96" s="233"/>
      <c r="R96" s="39"/>
    </row>
    <row r="97" spans="1:18" x14ac:dyDescent="0.25">
      <c r="A97" s="316" t="s">
        <v>19</v>
      </c>
      <c r="B97" s="317"/>
      <c r="C97" s="37">
        <v>3</v>
      </c>
      <c r="D97" s="37">
        <v>4</v>
      </c>
      <c r="E97" s="229">
        <v>5</v>
      </c>
      <c r="F97" s="37">
        <v>6</v>
      </c>
      <c r="G97" s="37">
        <v>7</v>
      </c>
      <c r="H97" s="37">
        <v>8</v>
      </c>
      <c r="I97" s="37">
        <v>9</v>
      </c>
      <c r="J97" s="37">
        <v>10</v>
      </c>
      <c r="K97" s="37">
        <v>11</v>
      </c>
      <c r="L97" s="37">
        <v>12</v>
      </c>
      <c r="M97" s="37">
        <v>13</v>
      </c>
      <c r="N97" s="37">
        <v>14</v>
      </c>
      <c r="O97" s="37">
        <v>15</v>
      </c>
      <c r="P97" s="229">
        <v>16</v>
      </c>
      <c r="Q97" s="37">
        <v>15</v>
      </c>
      <c r="R97" s="39"/>
    </row>
    <row r="98" spans="1:18" x14ac:dyDescent="0.25">
      <c r="A98" s="85">
        <v>1</v>
      </c>
      <c r="B98" s="81" t="s">
        <v>84</v>
      </c>
      <c r="C98" s="87">
        <v>179643</v>
      </c>
      <c r="D98" s="87">
        <v>237071</v>
      </c>
      <c r="E98" s="47">
        <f>C98/D98*100</f>
        <v>75.776033340222966</v>
      </c>
      <c r="F98" s="87">
        <v>8995</v>
      </c>
      <c r="G98" s="87">
        <v>37629</v>
      </c>
      <c r="H98" s="47">
        <f>F98/G98*100</f>
        <v>23.904435408860188</v>
      </c>
      <c r="I98" s="87">
        <v>175842</v>
      </c>
      <c r="J98" s="86">
        <v>228021</v>
      </c>
      <c r="K98" s="47">
        <f>I98/J98*100</f>
        <v>77.116581367505617</v>
      </c>
      <c r="L98" s="87">
        <v>175797</v>
      </c>
      <c r="M98" s="87">
        <v>224223</v>
      </c>
      <c r="N98" s="47">
        <f t="shared" ref="N98" si="41">L98/M98*100</f>
        <v>78.402750832876194</v>
      </c>
      <c r="O98" s="129">
        <v>294</v>
      </c>
      <c r="P98" s="62">
        <v>54</v>
      </c>
      <c r="Q98" s="129">
        <v>315</v>
      </c>
      <c r="R98" s="45">
        <f t="shared" ref="R98:R122" si="42">O98*P98</f>
        <v>15876</v>
      </c>
    </row>
    <row r="99" spans="1:18" x14ac:dyDescent="0.25">
      <c r="A99" s="85">
        <v>2</v>
      </c>
      <c r="B99" s="81" t="s">
        <v>85</v>
      </c>
      <c r="C99" s="234">
        <v>0</v>
      </c>
      <c r="D99" s="234">
        <v>0</v>
      </c>
      <c r="E99" s="47">
        <v>0</v>
      </c>
      <c r="F99" s="234">
        <v>0</v>
      </c>
      <c r="G99" s="234">
        <v>0</v>
      </c>
      <c r="H99" s="43">
        <v>0</v>
      </c>
      <c r="I99" s="234">
        <v>0</v>
      </c>
      <c r="J99" s="234">
        <v>0</v>
      </c>
      <c r="K99" s="43">
        <v>0</v>
      </c>
      <c r="L99" s="234">
        <v>0</v>
      </c>
      <c r="M99" s="234">
        <v>0</v>
      </c>
      <c r="N99" s="47">
        <v>0</v>
      </c>
      <c r="O99" s="234">
        <v>0</v>
      </c>
      <c r="P99" s="44">
        <v>0</v>
      </c>
      <c r="Q99" s="234">
        <v>0</v>
      </c>
      <c r="R99" s="45">
        <f t="shared" si="42"/>
        <v>0</v>
      </c>
    </row>
    <row r="100" spans="1:18" x14ac:dyDescent="0.25">
      <c r="A100" s="85">
        <v>3</v>
      </c>
      <c r="B100" s="78" t="s">
        <v>86</v>
      </c>
      <c r="C100" s="234">
        <v>0</v>
      </c>
      <c r="D100" s="234">
        <v>0</v>
      </c>
      <c r="E100" s="47">
        <v>0</v>
      </c>
      <c r="F100" s="234">
        <v>0</v>
      </c>
      <c r="G100" s="234">
        <v>0</v>
      </c>
      <c r="H100" s="43">
        <v>0</v>
      </c>
      <c r="I100" s="234">
        <v>0</v>
      </c>
      <c r="J100" s="234">
        <v>0</v>
      </c>
      <c r="K100" s="43">
        <v>0</v>
      </c>
      <c r="L100" s="234">
        <v>0</v>
      </c>
      <c r="M100" s="234">
        <v>0</v>
      </c>
      <c r="N100" s="47">
        <v>0</v>
      </c>
      <c r="O100" s="234">
        <v>0</v>
      </c>
      <c r="P100" s="44">
        <v>0</v>
      </c>
      <c r="Q100" s="234">
        <v>0</v>
      </c>
      <c r="R100" s="45">
        <f t="shared" si="42"/>
        <v>0</v>
      </c>
    </row>
    <row r="101" spans="1:18" x14ac:dyDescent="0.25">
      <c r="A101" s="85">
        <v>4</v>
      </c>
      <c r="B101" s="81" t="s">
        <v>87</v>
      </c>
      <c r="C101" s="86">
        <v>0</v>
      </c>
      <c r="D101" s="87">
        <v>27688</v>
      </c>
      <c r="E101" s="47">
        <f t="shared" ref="E101:E122" si="43">C101/D101*100</f>
        <v>0</v>
      </c>
      <c r="F101" s="86">
        <v>0</v>
      </c>
      <c r="G101" s="87">
        <v>0</v>
      </c>
      <c r="H101" s="47">
        <v>0</v>
      </c>
      <c r="I101" s="86">
        <v>9664</v>
      </c>
      <c r="J101" s="86">
        <v>16915</v>
      </c>
      <c r="K101" s="47">
        <f t="shared" ref="K101:K122" si="44">I101/J101*100</f>
        <v>57.132722435707947</v>
      </c>
      <c r="L101" s="87">
        <v>0</v>
      </c>
      <c r="M101" s="87">
        <v>0</v>
      </c>
      <c r="N101" s="34">
        <v>0</v>
      </c>
      <c r="O101" s="129"/>
      <c r="P101" s="87">
        <v>68</v>
      </c>
      <c r="Q101" s="129">
        <v>6</v>
      </c>
      <c r="R101" s="45">
        <f t="shared" si="42"/>
        <v>0</v>
      </c>
    </row>
    <row r="102" spans="1:18" x14ac:dyDescent="0.25">
      <c r="A102" s="85">
        <v>5</v>
      </c>
      <c r="B102" s="81" t="s">
        <v>88</v>
      </c>
      <c r="C102" s="87">
        <v>349969</v>
      </c>
      <c r="D102" s="87">
        <v>448490</v>
      </c>
      <c r="E102" s="47">
        <f t="shared" si="43"/>
        <v>78.032732056456112</v>
      </c>
      <c r="F102" s="87">
        <v>27349</v>
      </c>
      <c r="G102" s="87">
        <v>62298</v>
      </c>
      <c r="H102" s="47">
        <f t="shared" ref="H102:H122" si="45">F102/G102*100</f>
        <v>43.900285723458218</v>
      </c>
      <c r="I102" s="87">
        <v>416487</v>
      </c>
      <c r="J102" s="87">
        <v>449139</v>
      </c>
      <c r="K102" s="47">
        <f t="shared" si="44"/>
        <v>92.730090239324568</v>
      </c>
      <c r="L102" s="87">
        <v>416487</v>
      </c>
      <c r="M102" s="87">
        <v>449139</v>
      </c>
      <c r="N102" s="47">
        <f t="shared" ref="N102:N110" si="46">L102/M102*100</f>
        <v>92.730090239324568</v>
      </c>
      <c r="O102" s="129"/>
      <c r="P102" s="87">
        <v>52</v>
      </c>
      <c r="Q102" s="129">
        <v>438</v>
      </c>
      <c r="R102" s="45">
        <f t="shared" si="42"/>
        <v>0</v>
      </c>
    </row>
    <row r="103" spans="1:18" x14ac:dyDescent="0.25">
      <c r="A103" s="85">
        <v>6</v>
      </c>
      <c r="B103" s="81" t="s">
        <v>89</v>
      </c>
      <c r="C103" s="234">
        <v>0</v>
      </c>
      <c r="D103" s="234">
        <v>0</v>
      </c>
      <c r="E103" s="47">
        <v>0</v>
      </c>
      <c r="F103" s="234">
        <v>0</v>
      </c>
      <c r="G103" s="234">
        <v>0</v>
      </c>
      <c r="H103" s="43">
        <v>0</v>
      </c>
      <c r="I103" s="234">
        <v>0</v>
      </c>
      <c r="J103" s="234">
        <v>0</v>
      </c>
      <c r="K103" s="43">
        <v>0</v>
      </c>
      <c r="L103" s="234">
        <v>0</v>
      </c>
      <c r="M103" s="234">
        <v>0</v>
      </c>
      <c r="N103" s="47">
        <v>0</v>
      </c>
      <c r="O103" s="234">
        <v>0</v>
      </c>
      <c r="P103" s="44">
        <v>0</v>
      </c>
      <c r="Q103" s="234">
        <v>0</v>
      </c>
      <c r="R103" s="45">
        <f t="shared" si="42"/>
        <v>0</v>
      </c>
    </row>
    <row r="104" spans="1:18" x14ac:dyDescent="0.25">
      <c r="A104" s="85">
        <v>7</v>
      </c>
      <c r="B104" s="78" t="s">
        <v>90</v>
      </c>
      <c r="C104" s="234">
        <v>0</v>
      </c>
      <c r="D104" s="234">
        <v>0</v>
      </c>
      <c r="E104" s="47">
        <v>0</v>
      </c>
      <c r="F104" s="234">
        <v>0</v>
      </c>
      <c r="G104" s="234">
        <v>0</v>
      </c>
      <c r="H104" s="43">
        <v>0</v>
      </c>
      <c r="I104" s="234">
        <v>0</v>
      </c>
      <c r="J104" s="234">
        <v>0</v>
      </c>
      <c r="K104" s="43">
        <v>0</v>
      </c>
      <c r="L104" s="234">
        <v>0</v>
      </c>
      <c r="M104" s="234">
        <v>0</v>
      </c>
      <c r="N104" s="47">
        <v>0</v>
      </c>
      <c r="O104" s="234">
        <v>0</v>
      </c>
      <c r="P104" s="44">
        <v>0</v>
      </c>
      <c r="Q104" s="234">
        <v>0</v>
      </c>
      <c r="R104" s="45">
        <f t="shared" si="42"/>
        <v>0</v>
      </c>
    </row>
    <row r="105" spans="1:18" x14ac:dyDescent="0.25">
      <c r="A105" s="85">
        <v>8</v>
      </c>
      <c r="B105" s="81" t="s">
        <v>91</v>
      </c>
      <c r="C105" s="51">
        <v>207217</v>
      </c>
      <c r="D105" s="51">
        <v>224170</v>
      </c>
      <c r="E105" s="190">
        <f t="shared" si="43"/>
        <v>92.437435874559483</v>
      </c>
      <c r="F105" s="51">
        <v>27711</v>
      </c>
      <c r="G105" s="51">
        <v>18049</v>
      </c>
      <c r="H105" s="51">
        <f t="shared" ref="H105:H109" si="47">F105/G105*100</f>
        <v>153.53205163720983</v>
      </c>
      <c r="I105" s="51">
        <v>158255</v>
      </c>
      <c r="J105" s="51">
        <v>151470</v>
      </c>
      <c r="K105" s="51">
        <f t="shared" si="44"/>
        <v>104.47943487159172</v>
      </c>
      <c r="L105" s="51">
        <f>1971+37149</f>
        <v>39120</v>
      </c>
      <c r="M105" s="51">
        <v>33480</v>
      </c>
      <c r="N105" s="51">
        <f t="shared" si="46"/>
        <v>116.84587813620071</v>
      </c>
      <c r="O105" s="51"/>
      <c r="P105" s="51">
        <v>66</v>
      </c>
      <c r="Q105" s="51">
        <v>150</v>
      </c>
      <c r="R105" s="45">
        <f t="shared" si="42"/>
        <v>0</v>
      </c>
    </row>
    <row r="106" spans="1:18" x14ac:dyDescent="0.25">
      <c r="A106" s="85">
        <v>9</v>
      </c>
      <c r="B106" s="81" t="s">
        <v>92</v>
      </c>
      <c r="C106" s="234">
        <v>0</v>
      </c>
      <c r="D106" s="234">
        <v>0</v>
      </c>
      <c r="E106" s="47">
        <v>0</v>
      </c>
      <c r="F106" s="234">
        <v>0</v>
      </c>
      <c r="G106" s="234">
        <v>0</v>
      </c>
      <c r="H106" s="43">
        <v>0</v>
      </c>
      <c r="I106" s="234">
        <v>0</v>
      </c>
      <c r="J106" s="234">
        <v>0</v>
      </c>
      <c r="K106" s="43">
        <v>0</v>
      </c>
      <c r="L106" s="234">
        <v>0</v>
      </c>
      <c r="M106" s="234">
        <v>0</v>
      </c>
      <c r="N106" s="47">
        <v>0</v>
      </c>
      <c r="O106" s="234">
        <v>0</v>
      </c>
      <c r="P106" s="44">
        <v>0</v>
      </c>
      <c r="Q106" s="234">
        <v>0</v>
      </c>
      <c r="R106" s="45">
        <f t="shared" si="42"/>
        <v>0</v>
      </c>
    </row>
    <row r="107" spans="1:18" x14ac:dyDescent="0.25">
      <c r="A107" s="85">
        <v>10</v>
      </c>
      <c r="B107" s="78" t="s">
        <v>93</v>
      </c>
      <c r="C107" s="233">
        <v>74817</v>
      </c>
      <c r="D107" s="233">
        <v>109662</v>
      </c>
      <c r="E107" s="47">
        <f t="shared" ref="E107" si="48">C107/D107*100</f>
        <v>68.225091645237185</v>
      </c>
      <c r="F107" s="233">
        <v>20554</v>
      </c>
      <c r="G107" s="233">
        <v>2303</v>
      </c>
      <c r="H107" s="51">
        <f t="shared" si="47"/>
        <v>892.48805905340851</v>
      </c>
      <c r="I107" s="234">
        <v>74817</v>
      </c>
      <c r="J107" s="234">
        <v>109662</v>
      </c>
      <c r="K107" s="47">
        <f t="shared" ref="K107" si="49">I107/J107*100</f>
        <v>68.225091645237185</v>
      </c>
      <c r="L107" s="233">
        <v>74817</v>
      </c>
      <c r="M107" s="233">
        <v>109662</v>
      </c>
      <c r="N107" s="34">
        <f t="shared" si="46"/>
        <v>68.225091645237185</v>
      </c>
      <c r="O107" s="129">
        <v>73</v>
      </c>
      <c r="P107" s="87">
        <v>39</v>
      </c>
      <c r="Q107" s="129">
        <v>76</v>
      </c>
      <c r="R107" s="45">
        <f t="shared" si="42"/>
        <v>2847</v>
      </c>
    </row>
    <row r="108" spans="1:18" x14ac:dyDescent="0.25">
      <c r="A108" s="85">
        <v>11</v>
      </c>
      <c r="B108" s="81" t="s">
        <v>94</v>
      </c>
      <c r="C108" s="234">
        <v>0</v>
      </c>
      <c r="D108" s="234">
        <v>0</v>
      </c>
      <c r="E108" s="47">
        <v>0</v>
      </c>
      <c r="F108" s="234">
        <v>0</v>
      </c>
      <c r="G108" s="234">
        <v>0</v>
      </c>
      <c r="H108" s="43">
        <v>0</v>
      </c>
      <c r="I108" s="234">
        <v>0</v>
      </c>
      <c r="J108" s="234">
        <v>0</v>
      </c>
      <c r="K108" s="43">
        <v>0</v>
      </c>
      <c r="L108" s="234">
        <v>0</v>
      </c>
      <c r="M108" s="234">
        <v>0</v>
      </c>
      <c r="N108" s="47">
        <v>0</v>
      </c>
      <c r="O108" s="234">
        <v>0</v>
      </c>
      <c r="P108" s="44">
        <v>0</v>
      </c>
      <c r="Q108" s="234">
        <v>0</v>
      </c>
      <c r="R108" s="45">
        <f t="shared" si="42"/>
        <v>0</v>
      </c>
    </row>
    <row r="109" spans="1:18" x14ac:dyDescent="0.25">
      <c r="A109" s="85">
        <v>12</v>
      </c>
      <c r="B109" s="81" t="s">
        <v>95</v>
      </c>
      <c r="C109" s="86">
        <v>61974</v>
      </c>
      <c r="D109" s="87">
        <v>71001</v>
      </c>
      <c r="E109" s="47">
        <f t="shared" si="43"/>
        <v>87.286094562048419</v>
      </c>
      <c r="F109" s="86">
        <v>9537</v>
      </c>
      <c r="G109" s="87">
        <v>10930</v>
      </c>
      <c r="H109" s="47">
        <f t="shared" si="47"/>
        <v>87.255260750228729</v>
      </c>
      <c r="I109" s="86">
        <v>58200</v>
      </c>
      <c r="J109" s="86">
        <v>64860</v>
      </c>
      <c r="K109" s="47">
        <f t="shared" ref="K109" si="50">I109/J109*100</f>
        <v>89.731729879740982</v>
      </c>
      <c r="L109" s="87">
        <v>0</v>
      </c>
      <c r="M109" s="87">
        <v>0</v>
      </c>
      <c r="N109" s="34">
        <v>0</v>
      </c>
      <c r="O109" s="129">
        <v>15</v>
      </c>
      <c r="P109" s="87">
        <v>52</v>
      </c>
      <c r="Q109" s="129">
        <v>22</v>
      </c>
      <c r="R109" s="45">
        <f t="shared" si="42"/>
        <v>780</v>
      </c>
    </row>
    <row r="110" spans="1:18" x14ac:dyDescent="0.25">
      <c r="A110" s="85">
        <v>13</v>
      </c>
      <c r="B110" s="81" t="s">
        <v>96</v>
      </c>
      <c r="C110" s="86">
        <v>39798</v>
      </c>
      <c r="D110" s="87">
        <v>90442</v>
      </c>
      <c r="E110" s="47">
        <f t="shared" si="43"/>
        <v>44.003891997080999</v>
      </c>
      <c r="F110" s="86">
        <v>0</v>
      </c>
      <c r="G110" s="86">
        <v>17640</v>
      </c>
      <c r="H110" s="47">
        <f t="shared" si="45"/>
        <v>0</v>
      </c>
      <c r="I110" s="86">
        <v>82705</v>
      </c>
      <c r="J110" s="86">
        <v>91788</v>
      </c>
      <c r="K110" s="47">
        <f t="shared" si="44"/>
        <v>90.104370941735297</v>
      </c>
      <c r="L110" s="87">
        <f>28982+46546</f>
        <v>75528</v>
      </c>
      <c r="M110" s="87">
        <v>89587</v>
      </c>
      <c r="N110" s="47">
        <f t="shared" si="46"/>
        <v>84.306874881400205</v>
      </c>
      <c r="O110" s="129">
        <v>59</v>
      </c>
      <c r="P110" s="87">
        <v>48</v>
      </c>
      <c r="Q110" s="129">
        <v>98</v>
      </c>
      <c r="R110" s="45">
        <f t="shared" si="42"/>
        <v>2832</v>
      </c>
    </row>
    <row r="111" spans="1:18" x14ac:dyDescent="0.25">
      <c r="A111" s="85">
        <v>14</v>
      </c>
      <c r="B111" s="81" t="s">
        <v>97</v>
      </c>
      <c r="C111" s="234">
        <v>0</v>
      </c>
      <c r="D111" s="234">
        <v>0</v>
      </c>
      <c r="E111" s="47">
        <v>0</v>
      </c>
      <c r="F111" s="234">
        <v>0</v>
      </c>
      <c r="G111" s="234">
        <v>0</v>
      </c>
      <c r="H111" s="43">
        <v>0</v>
      </c>
      <c r="I111" s="234">
        <v>0</v>
      </c>
      <c r="J111" s="234">
        <v>0</v>
      </c>
      <c r="K111" s="43">
        <v>0</v>
      </c>
      <c r="L111" s="234">
        <v>0</v>
      </c>
      <c r="M111" s="234">
        <v>0</v>
      </c>
      <c r="N111" s="47">
        <v>0</v>
      </c>
      <c r="O111" s="234">
        <v>0</v>
      </c>
      <c r="P111" s="44">
        <v>0</v>
      </c>
      <c r="Q111" s="234">
        <v>0</v>
      </c>
      <c r="R111" s="45">
        <f t="shared" si="42"/>
        <v>0</v>
      </c>
    </row>
    <row r="112" spans="1:18" x14ac:dyDescent="0.25">
      <c r="A112" s="85">
        <v>15</v>
      </c>
      <c r="B112" s="81" t="s">
        <v>98</v>
      </c>
      <c r="C112" s="234">
        <v>0</v>
      </c>
      <c r="D112" s="234">
        <v>0</v>
      </c>
      <c r="E112" s="47">
        <v>0</v>
      </c>
      <c r="F112" s="234">
        <v>0</v>
      </c>
      <c r="G112" s="234">
        <v>0</v>
      </c>
      <c r="H112" s="43">
        <v>0</v>
      </c>
      <c r="I112" s="234">
        <v>0</v>
      </c>
      <c r="J112" s="234">
        <v>0</v>
      </c>
      <c r="K112" s="43">
        <v>0</v>
      </c>
      <c r="L112" s="234">
        <v>0</v>
      </c>
      <c r="M112" s="234">
        <v>0</v>
      </c>
      <c r="N112" s="47">
        <v>0</v>
      </c>
      <c r="O112" s="234">
        <v>0</v>
      </c>
      <c r="P112" s="44">
        <v>0</v>
      </c>
      <c r="Q112" s="234">
        <v>0</v>
      </c>
      <c r="R112" s="45">
        <f t="shared" si="42"/>
        <v>0</v>
      </c>
    </row>
    <row r="113" spans="1:91" x14ac:dyDescent="0.25">
      <c r="A113" s="85">
        <v>16</v>
      </c>
      <c r="B113" s="81" t="s">
        <v>99</v>
      </c>
      <c r="C113" s="51">
        <v>335921</v>
      </c>
      <c r="D113" s="51">
        <v>531948</v>
      </c>
      <c r="E113" s="47">
        <f t="shared" si="43"/>
        <v>63.149217592697028</v>
      </c>
      <c r="F113" s="51">
        <v>55967</v>
      </c>
      <c r="G113" s="51">
        <v>68959</v>
      </c>
      <c r="H113" s="47">
        <f t="shared" si="45"/>
        <v>81.159819602952481</v>
      </c>
      <c r="I113" s="51">
        <v>316769</v>
      </c>
      <c r="J113" s="51">
        <v>480929</v>
      </c>
      <c r="K113" s="47">
        <f t="shared" ref="K113" si="51">I113/J113*100</f>
        <v>65.8660633898143</v>
      </c>
      <c r="L113" s="51">
        <v>0</v>
      </c>
      <c r="M113" s="51">
        <v>0</v>
      </c>
      <c r="N113" s="34">
        <v>0</v>
      </c>
      <c r="O113" s="129">
        <v>83</v>
      </c>
      <c r="P113" s="44">
        <v>65</v>
      </c>
      <c r="Q113" s="129">
        <v>85</v>
      </c>
      <c r="R113" s="45">
        <f t="shared" si="42"/>
        <v>5395</v>
      </c>
    </row>
    <row r="114" spans="1:91" x14ac:dyDescent="0.25">
      <c r="A114" s="85">
        <v>17</v>
      </c>
      <c r="B114" s="81" t="s">
        <v>100</v>
      </c>
      <c r="C114" s="86">
        <v>602038</v>
      </c>
      <c r="D114" s="87">
        <v>417380</v>
      </c>
      <c r="E114" s="47">
        <f t="shared" si="43"/>
        <v>144.24217739230437</v>
      </c>
      <c r="F114" s="86">
        <v>101169</v>
      </c>
      <c r="G114" s="86">
        <v>87383</v>
      </c>
      <c r="H114" s="47">
        <f t="shared" si="45"/>
        <v>115.77652403785635</v>
      </c>
      <c r="I114" s="86">
        <v>521559</v>
      </c>
      <c r="J114" s="86">
        <v>363955</v>
      </c>
      <c r="K114" s="47">
        <f t="shared" si="44"/>
        <v>143.30315560989683</v>
      </c>
      <c r="L114" s="87">
        <v>0</v>
      </c>
      <c r="M114" s="87">
        <v>0</v>
      </c>
      <c r="N114" s="34">
        <v>0</v>
      </c>
      <c r="O114" s="129">
        <v>186</v>
      </c>
      <c r="P114" s="87">
        <v>75</v>
      </c>
      <c r="Q114" s="129">
        <v>185</v>
      </c>
      <c r="R114" s="45">
        <f t="shared" si="42"/>
        <v>13950</v>
      </c>
    </row>
    <row r="115" spans="1:91" x14ac:dyDescent="0.25">
      <c r="A115" s="85">
        <v>18</v>
      </c>
      <c r="B115" s="78" t="s">
        <v>101</v>
      </c>
      <c r="C115" s="51">
        <v>281186</v>
      </c>
      <c r="D115" s="51">
        <v>0</v>
      </c>
      <c r="E115" s="47">
        <v>0</v>
      </c>
      <c r="F115" s="51">
        <v>38797</v>
      </c>
      <c r="G115" s="51"/>
      <c r="H115" s="47">
        <v>0</v>
      </c>
      <c r="I115" s="51">
        <v>281186</v>
      </c>
      <c r="J115" s="51">
        <v>0</v>
      </c>
      <c r="K115" s="47">
        <v>0</v>
      </c>
      <c r="L115" s="51">
        <v>281186</v>
      </c>
      <c r="M115" s="51">
        <v>0</v>
      </c>
      <c r="N115" s="34">
        <v>0</v>
      </c>
      <c r="O115" s="129">
        <v>352</v>
      </c>
      <c r="P115" s="87">
        <v>65</v>
      </c>
      <c r="Q115" s="129">
        <v>344</v>
      </c>
      <c r="R115" s="45">
        <f t="shared" si="42"/>
        <v>22880</v>
      </c>
    </row>
    <row r="116" spans="1:91" x14ac:dyDescent="0.25">
      <c r="A116" s="85">
        <v>19</v>
      </c>
      <c r="B116" s="81" t="s">
        <v>102</v>
      </c>
      <c r="C116" s="234">
        <v>0</v>
      </c>
      <c r="D116" s="234">
        <v>0</v>
      </c>
      <c r="E116" s="47">
        <v>0</v>
      </c>
      <c r="F116" s="234">
        <v>0</v>
      </c>
      <c r="G116" s="234">
        <v>0</v>
      </c>
      <c r="H116" s="43">
        <v>0</v>
      </c>
      <c r="I116" s="234">
        <v>0</v>
      </c>
      <c r="J116" s="234">
        <v>0</v>
      </c>
      <c r="K116" s="43">
        <v>0</v>
      </c>
      <c r="L116" s="234">
        <v>0</v>
      </c>
      <c r="M116" s="234">
        <v>0</v>
      </c>
      <c r="N116" s="47">
        <v>0</v>
      </c>
      <c r="O116" s="234">
        <v>0</v>
      </c>
      <c r="P116" s="44">
        <v>0</v>
      </c>
      <c r="Q116" s="234">
        <v>0</v>
      </c>
      <c r="R116" s="45">
        <f t="shared" si="42"/>
        <v>0</v>
      </c>
    </row>
    <row r="117" spans="1:91" x14ac:dyDescent="0.25">
      <c r="A117" s="85">
        <v>20</v>
      </c>
      <c r="B117" s="81" t="s">
        <v>103</v>
      </c>
      <c r="C117" s="234">
        <v>0</v>
      </c>
      <c r="D117" s="234">
        <v>0</v>
      </c>
      <c r="E117" s="47">
        <v>0</v>
      </c>
      <c r="F117" s="234">
        <v>0</v>
      </c>
      <c r="G117" s="234">
        <v>0</v>
      </c>
      <c r="H117" s="43">
        <v>0</v>
      </c>
      <c r="I117" s="234">
        <v>0</v>
      </c>
      <c r="J117" s="234">
        <v>0</v>
      </c>
      <c r="K117" s="43">
        <v>0</v>
      </c>
      <c r="L117" s="234">
        <v>0</v>
      </c>
      <c r="M117" s="234">
        <v>0</v>
      </c>
      <c r="N117" s="47">
        <v>0</v>
      </c>
      <c r="O117" s="234">
        <v>0</v>
      </c>
      <c r="P117" s="44">
        <v>0</v>
      </c>
      <c r="Q117" s="234">
        <v>0</v>
      </c>
      <c r="R117" s="45">
        <f t="shared" si="42"/>
        <v>0</v>
      </c>
    </row>
    <row r="118" spans="1:91" x14ac:dyDescent="0.25">
      <c r="A118" s="85">
        <v>21</v>
      </c>
      <c r="B118" s="81" t="s">
        <v>104</v>
      </c>
      <c r="C118" s="87">
        <v>22369</v>
      </c>
      <c r="D118" s="87">
        <v>53930</v>
      </c>
      <c r="E118" s="47">
        <f t="shared" si="43"/>
        <v>41.477841646578902</v>
      </c>
      <c r="F118" s="87">
        <v>3164</v>
      </c>
      <c r="G118" s="87">
        <v>7970</v>
      </c>
      <c r="H118" s="47">
        <f t="shared" ref="H118:H119" si="52">F118/G118*100</f>
        <v>39.698870765370138</v>
      </c>
      <c r="I118" s="87">
        <v>22369</v>
      </c>
      <c r="J118" s="87">
        <v>53930</v>
      </c>
      <c r="K118" s="47">
        <f t="shared" ref="K118" si="53">I118/J118*100</f>
        <v>41.477841646578902</v>
      </c>
      <c r="L118" s="87">
        <v>21892</v>
      </c>
      <c r="M118" s="87">
        <v>46490</v>
      </c>
      <c r="N118" s="47">
        <f t="shared" ref="N118" si="54">L118/M118*100</f>
        <v>47.089696708969669</v>
      </c>
      <c r="O118" s="129">
        <v>12</v>
      </c>
      <c r="P118" s="87">
        <v>46</v>
      </c>
      <c r="Q118" s="129">
        <v>14</v>
      </c>
      <c r="R118" s="45">
        <f t="shared" si="42"/>
        <v>552</v>
      </c>
    </row>
    <row r="119" spans="1:91" x14ac:dyDescent="0.25">
      <c r="A119" s="85">
        <v>22</v>
      </c>
      <c r="B119" s="78" t="s">
        <v>105</v>
      </c>
      <c r="C119" s="86">
        <v>14210</v>
      </c>
      <c r="D119" s="86">
        <v>13420</v>
      </c>
      <c r="E119" s="47">
        <f t="shared" si="43"/>
        <v>105.88673621460507</v>
      </c>
      <c r="F119" s="86">
        <v>1190</v>
      </c>
      <c r="G119" s="86">
        <v>1820</v>
      </c>
      <c r="H119" s="47">
        <f t="shared" si="52"/>
        <v>65.384615384615387</v>
      </c>
      <c r="I119" s="86">
        <v>25161</v>
      </c>
      <c r="J119" s="86">
        <v>24498</v>
      </c>
      <c r="K119" s="47">
        <f t="shared" si="44"/>
        <v>102.70634337496938</v>
      </c>
      <c r="L119" s="87">
        <v>0</v>
      </c>
      <c r="M119" s="86">
        <v>0</v>
      </c>
      <c r="N119" s="34">
        <v>0</v>
      </c>
      <c r="O119" s="129">
        <v>13</v>
      </c>
      <c r="P119" s="87">
        <v>63</v>
      </c>
      <c r="Q119" s="129">
        <v>13</v>
      </c>
      <c r="R119" s="45">
        <f t="shared" si="42"/>
        <v>819</v>
      </c>
    </row>
    <row r="120" spans="1:91" x14ac:dyDescent="0.25">
      <c r="A120" s="85">
        <v>23</v>
      </c>
      <c r="B120" s="78" t="s">
        <v>106</v>
      </c>
      <c r="C120" s="86">
        <v>77772</v>
      </c>
      <c r="D120" s="87">
        <v>9065</v>
      </c>
      <c r="E120" s="47">
        <f t="shared" si="43"/>
        <v>857.93712079426359</v>
      </c>
      <c r="F120" s="86">
        <v>13548</v>
      </c>
      <c r="G120" s="86">
        <v>16340</v>
      </c>
      <c r="H120" s="47">
        <f t="shared" si="45"/>
        <v>82.913096695226443</v>
      </c>
      <c r="I120" s="86">
        <v>80047</v>
      </c>
      <c r="J120" s="86">
        <v>92943</v>
      </c>
      <c r="K120" s="47">
        <f t="shared" si="44"/>
        <v>86.124829196389186</v>
      </c>
      <c r="L120" s="87">
        <v>0</v>
      </c>
      <c r="M120" s="87">
        <v>2114</v>
      </c>
      <c r="N120" s="34">
        <v>0</v>
      </c>
      <c r="O120" s="129">
        <v>45</v>
      </c>
      <c r="P120" s="87">
        <v>47</v>
      </c>
      <c r="Q120" s="129">
        <v>46</v>
      </c>
      <c r="R120" s="45">
        <f t="shared" si="42"/>
        <v>2115</v>
      </c>
    </row>
    <row r="121" spans="1:91" x14ac:dyDescent="0.25">
      <c r="A121" s="85">
        <v>24</v>
      </c>
      <c r="B121" s="81" t="s">
        <v>107</v>
      </c>
      <c r="C121" s="87">
        <v>20251</v>
      </c>
      <c r="D121" s="87">
        <v>11845</v>
      </c>
      <c r="E121" s="47">
        <f t="shared" si="43"/>
        <v>170.96665259603208</v>
      </c>
      <c r="F121" s="87">
        <v>1130</v>
      </c>
      <c r="G121" s="86">
        <v>1982</v>
      </c>
      <c r="H121" s="47">
        <f t="shared" si="45"/>
        <v>57.013118062563073</v>
      </c>
      <c r="I121" s="87">
        <v>109373</v>
      </c>
      <c r="J121" s="87">
        <v>115851</v>
      </c>
      <c r="K121" s="47">
        <f t="shared" si="44"/>
        <v>94.408334843894309</v>
      </c>
      <c r="L121" s="88">
        <v>0</v>
      </c>
      <c r="M121" s="87">
        <v>0</v>
      </c>
      <c r="N121" s="34">
        <v>0</v>
      </c>
      <c r="O121" s="129">
        <v>57</v>
      </c>
      <c r="P121" s="87">
        <v>55</v>
      </c>
      <c r="Q121" s="129">
        <v>56</v>
      </c>
      <c r="R121" s="45">
        <f t="shared" si="42"/>
        <v>3135</v>
      </c>
    </row>
    <row r="122" spans="1:91" x14ac:dyDescent="0.25">
      <c r="A122" s="85">
        <v>25</v>
      </c>
      <c r="B122" s="81" t="s">
        <v>108</v>
      </c>
      <c r="C122" s="87">
        <v>24380</v>
      </c>
      <c r="D122" s="87">
        <v>32925</v>
      </c>
      <c r="E122" s="47">
        <f t="shared" si="43"/>
        <v>74.047076689445717</v>
      </c>
      <c r="F122" s="87">
        <v>4108</v>
      </c>
      <c r="G122" s="87">
        <v>3014</v>
      </c>
      <c r="H122" s="47">
        <f t="shared" si="45"/>
        <v>136.2972793629728</v>
      </c>
      <c r="I122" s="87">
        <v>24454</v>
      </c>
      <c r="J122" s="87">
        <v>33107</v>
      </c>
      <c r="K122" s="47">
        <f t="shared" si="44"/>
        <v>73.863533391729845</v>
      </c>
      <c r="L122" s="87">
        <v>0</v>
      </c>
      <c r="M122" s="87">
        <v>0</v>
      </c>
      <c r="N122" s="34">
        <v>0</v>
      </c>
      <c r="O122" s="129">
        <v>22</v>
      </c>
      <c r="P122" s="87">
        <v>38</v>
      </c>
      <c r="Q122" s="129">
        <v>23</v>
      </c>
      <c r="R122" s="45">
        <f t="shared" si="42"/>
        <v>836</v>
      </c>
    </row>
    <row r="123" spans="1:91" s="60" customFormat="1" x14ac:dyDescent="0.25">
      <c r="A123" s="315" t="s">
        <v>109</v>
      </c>
      <c r="B123" s="315" t="s">
        <v>109</v>
      </c>
      <c r="C123" s="56">
        <f>SUM(C98:C122)</f>
        <v>2291545</v>
      </c>
      <c r="D123" s="56">
        <f>SUM(D98:D122)</f>
        <v>2279037</v>
      </c>
      <c r="E123" s="57">
        <f>C123/D123*100</f>
        <v>100.54882829897014</v>
      </c>
      <c r="F123" s="56">
        <f>SUM(F98:F122)</f>
        <v>313219</v>
      </c>
      <c r="G123" s="56">
        <f>SUM(G98:G122)</f>
        <v>336317</v>
      </c>
      <c r="H123" s="57">
        <f>F123/G123*100</f>
        <v>93.132074798478811</v>
      </c>
      <c r="I123" s="56">
        <f>SUM(I98:I122)</f>
        <v>2356888</v>
      </c>
      <c r="J123" s="56">
        <f>SUM(J98:J122)</f>
        <v>2277068</v>
      </c>
      <c r="K123" s="57">
        <f>I123/J123*100</f>
        <v>103.50538499509018</v>
      </c>
      <c r="L123" s="56">
        <f>SUM(L98:L122)</f>
        <v>1084827</v>
      </c>
      <c r="M123" s="56">
        <f>SUM(M98:M122)</f>
        <v>954695</v>
      </c>
      <c r="N123" s="57">
        <f>L123/M123*100</f>
        <v>113.63074070776531</v>
      </c>
      <c r="O123" s="56">
        <f>SUM(O98:O122)</f>
        <v>1211</v>
      </c>
      <c r="P123" s="57">
        <f>R123/O123</f>
        <v>59.469033856317097</v>
      </c>
      <c r="Q123" s="56">
        <f>SUM(Q98:Q122)</f>
        <v>1871</v>
      </c>
      <c r="R123" s="59">
        <f>SUM(R98:R122)</f>
        <v>72017</v>
      </c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x14ac:dyDescent="0.25">
      <c r="A124" s="85"/>
      <c r="B124" s="81"/>
      <c r="C124" s="233"/>
      <c r="D124" s="233"/>
      <c r="E124" s="233"/>
      <c r="F124" s="233"/>
      <c r="G124" s="233"/>
      <c r="H124" s="233"/>
      <c r="I124" s="233"/>
      <c r="J124" s="233"/>
      <c r="K124" s="233"/>
      <c r="L124" s="233"/>
      <c r="M124" s="233"/>
      <c r="N124" s="86"/>
      <c r="O124" s="233"/>
      <c r="P124" s="44"/>
      <c r="Q124" s="233"/>
      <c r="R124" s="45"/>
    </row>
    <row r="126" spans="1:91" s="145" customFormat="1" x14ac:dyDescent="0.25">
      <c r="A126" s="117"/>
      <c r="B126" s="117"/>
      <c r="C126" s="103"/>
      <c r="D126" s="103"/>
      <c r="E126" s="142"/>
      <c r="F126" s="103"/>
      <c r="G126" s="103"/>
      <c r="H126" s="142"/>
      <c r="I126" s="103"/>
      <c r="J126" s="103"/>
      <c r="K126" s="142"/>
      <c r="L126" s="103"/>
      <c r="M126" s="103"/>
      <c r="N126" s="142"/>
      <c r="O126" s="103"/>
      <c r="P126" s="142"/>
      <c r="Q126" s="103"/>
      <c r="R126" s="45">
        <f t="shared" ref="R126:R134" si="55">O126*P126</f>
        <v>0</v>
      </c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x14ac:dyDescent="0.25">
      <c r="A127" s="37"/>
      <c r="B127" s="37" t="s">
        <v>20</v>
      </c>
      <c r="C127" s="37">
        <v>3</v>
      </c>
      <c r="D127" s="37">
        <v>4</v>
      </c>
      <c r="E127" s="229">
        <v>5</v>
      </c>
      <c r="F127" s="37">
        <v>6</v>
      </c>
      <c r="G127" s="37">
        <v>7</v>
      </c>
      <c r="H127" s="37">
        <v>8</v>
      </c>
      <c r="I127" s="37">
        <v>9</v>
      </c>
      <c r="J127" s="37">
        <v>10</v>
      </c>
      <c r="K127" s="37">
        <v>11</v>
      </c>
      <c r="L127" s="37">
        <v>12</v>
      </c>
      <c r="M127" s="37">
        <v>13</v>
      </c>
      <c r="N127" s="37">
        <v>14</v>
      </c>
      <c r="O127" s="37">
        <v>15</v>
      </c>
      <c r="P127" s="229">
        <v>16</v>
      </c>
      <c r="Q127" s="37">
        <v>15</v>
      </c>
      <c r="R127" s="45">
        <f t="shared" si="55"/>
        <v>240</v>
      </c>
    </row>
    <row r="128" spans="1:91" x14ac:dyDescent="0.25">
      <c r="A128" s="50">
        <v>1</v>
      </c>
      <c r="B128" s="89" t="s">
        <v>110</v>
      </c>
      <c r="C128" s="234">
        <v>0</v>
      </c>
      <c r="D128" s="234">
        <v>0</v>
      </c>
      <c r="E128" s="47">
        <v>0</v>
      </c>
      <c r="F128" s="234">
        <v>0</v>
      </c>
      <c r="G128" s="234">
        <v>0</v>
      </c>
      <c r="H128" s="43">
        <v>0</v>
      </c>
      <c r="I128" s="234">
        <v>0</v>
      </c>
      <c r="J128" s="234">
        <v>0</v>
      </c>
      <c r="K128" s="43">
        <v>0</v>
      </c>
      <c r="L128" s="234">
        <v>0</v>
      </c>
      <c r="M128" s="234">
        <v>0</v>
      </c>
      <c r="N128" s="47">
        <v>0</v>
      </c>
      <c r="O128" s="234">
        <v>0</v>
      </c>
      <c r="P128" s="44">
        <v>0</v>
      </c>
      <c r="Q128" s="234">
        <v>0</v>
      </c>
      <c r="R128" s="45">
        <f t="shared" si="55"/>
        <v>0</v>
      </c>
    </row>
    <row r="129" spans="1:18" x14ac:dyDescent="0.25">
      <c r="A129" s="50">
        <v>2</v>
      </c>
      <c r="B129" s="89" t="s">
        <v>167</v>
      </c>
      <c r="C129" s="233">
        <v>186103</v>
      </c>
      <c r="D129" s="233">
        <v>80973</v>
      </c>
      <c r="E129" s="47">
        <f t="shared" ref="E129" si="56">C129/D129*100</f>
        <v>229.8334012572092</v>
      </c>
      <c r="F129" s="233">
        <v>17168</v>
      </c>
      <c r="G129" s="233">
        <v>17223</v>
      </c>
      <c r="H129" s="34">
        <f t="shared" ref="H129" si="57">F129/G129*100</f>
        <v>99.680659583115599</v>
      </c>
      <c r="I129" s="233">
        <v>207388</v>
      </c>
      <c r="J129" s="233">
        <v>67560</v>
      </c>
      <c r="K129" s="47">
        <f t="shared" ref="K129:K134" si="58">I129/J129*100</f>
        <v>306.96862048549434</v>
      </c>
      <c r="L129" s="233">
        <v>0</v>
      </c>
      <c r="M129" s="233">
        <v>0</v>
      </c>
      <c r="N129" s="34">
        <v>0</v>
      </c>
      <c r="O129" s="62">
        <v>81</v>
      </c>
      <c r="P129" s="44">
        <v>80</v>
      </c>
      <c r="Q129" s="62">
        <v>81</v>
      </c>
      <c r="R129" s="45">
        <f t="shared" si="55"/>
        <v>6480</v>
      </c>
    </row>
    <row r="130" spans="1:18" x14ac:dyDescent="0.25">
      <c r="A130" s="50">
        <v>3</v>
      </c>
      <c r="B130" s="89" t="s">
        <v>166</v>
      </c>
      <c r="C130" s="234">
        <v>0</v>
      </c>
      <c r="D130" s="234">
        <v>0</v>
      </c>
      <c r="E130" s="47">
        <v>0</v>
      </c>
      <c r="F130" s="234">
        <v>0</v>
      </c>
      <c r="G130" s="234">
        <v>0</v>
      </c>
      <c r="H130" s="43">
        <v>0</v>
      </c>
      <c r="I130" s="234">
        <v>0</v>
      </c>
      <c r="J130" s="234">
        <v>0</v>
      </c>
      <c r="K130" s="43">
        <v>0</v>
      </c>
      <c r="L130" s="234">
        <v>0</v>
      </c>
      <c r="M130" s="234">
        <v>0</v>
      </c>
      <c r="N130" s="47">
        <v>0</v>
      </c>
      <c r="O130" s="234">
        <v>0</v>
      </c>
      <c r="P130" s="44">
        <v>0</v>
      </c>
      <c r="Q130" s="234">
        <v>0</v>
      </c>
      <c r="R130" s="45">
        <f t="shared" si="55"/>
        <v>0</v>
      </c>
    </row>
    <row r="131" spans="1:18" x14ac:dyDescent="0.25">
      <c r="A131" s="50">
        <v>4</v>
      </c>
      <c r="B131" s="89" t="s">
        <v>111</v>
      </c>
      <c r="C131" s="234">
        <v>0</v>
      </c>
      <c r="D131" s="234">
        <v>0</v>
      </c>
      <c r="E131" s="47">
        <v>0</v>
      </c>
      <c r="F131" s="234">
        <v>0</v>
      </c>
      <c r="G131" s="234">
        <v>0</v>
      </c>
      <c r="H131" s="43">
        <v>0</v>
      </c>
      <c r="I131" s="234">
        <v>0</v>
      </c>
      <c r="J131" s="234">
        <v>0</v>
      </c>
      <c r="K131" s="43">
        <v>0</v>
      </c>
      <c r="L131" s="234">
        <v>0</v>
      </c>
      <c r="M131" s="234">
        <v>0</v>
      </c>
      <c r="N131" s="47">
        <v>0</v>
      </c>
      <c r="O131" s="234">
        <v>0</v>
      </c>
      <c r="P131" s="44">
        <v>0</v>
      </c>
      <c r="Q131" s="234">
        <v>0</v>
      </c>
      <c r="R131" s="45">
        <f t="shared" si="55"/>
        <v>0</v>
      </c>
    </row>
    <row r="132" spans="1:18" x14ac:dyDescent="0.25">
      <c r="A132" s="50">
        <v>5</v>
      </c>
      <c r="B132" s="93" t="s">
        <v>112</v>
      </c>
      <c r="C132" s="86">
        <v>3780</v>
      </c>
      <c r="D132" s="86">
        <v>481</v>
      </c>
      <c r="E132" s="47">
        <f t="shared" ref="E132" si="59">C132/D132*100</f>
        <v>785.86278586278593</v>
      </c>
      <c r="F132" s="86">
        <v>840</v>
      </c>
      <c r="G132" s="86">
        <v>0</v>
      </c>
      <c r="H132" s="47">
        <v>0</v>
      </c>
      <c r="I132" s="86">
        <v>7166</v>
      </c>
      <c r="J132" s="86">
        <v>7517</v>
      </c>
      <c r="K132" s="94">
        <f t="shared" ref="K132" si="60">I132/J132*100</f>
        <v>95.330584009578288</v>
      </c>
      <c r="L132" s="86"/>
      <c r="M132" s="86"/>
      <c r="N132" s="86">
        <v>0</v>
      </c>
      <c r="O132" s="62"/>
      <c r="P132" s="92">
        <v>45</v>
      </c>
      <c r="Q132" s="62">
        <v>7</v>
      </c>
      <c r="R132" s="45">
        <f t="shared" si="55"/>
        <v>0</v>
      </c>
    </row>
    <row r="133" spans="1:18" s="66" customFormat="1" x14ac:dyDescent="0.25">
      <c r="A133" s="50">
        <v>6</v>
      </c>
      <c r="B133" s="93" t="s">
        <v>113</v>
      </c>
      <c r="C133" s="86">
        <v>0</v>
      </c>
      <c r="D133" s="86">
        <v>0</v>
      </c>
      <c r="E133" s="94">
        <v>0</v>
      </c>
      <c r="F133" s="86">
        <v>0</v>
      </c>
      <c r="G133" s="86">
        <v>0</v>
      </c>
      <c r="H133" s="47">
        <v>0</v>
      </c>
      <c r="I133" s="95">
        <v>0</v>
      </c>
      <c r="J133" s="86">
        <v>0</v>
      </c>
      <c r="K133" s="94">
        <v>0</v>
      </c>
      <c r="L133" s="86">
        <v>0</v>
      </c>
      <c r="M133" s="86">
        <v>0</v>
      </c>
      <c r="N133" s="86">
        <v>0</v>
      </c>
      <c r="O133" s="233">
        <v>0</v>
      </c>
      <c r="P133" s="88">
        <v>0</v>
      </c>
      <c r="Q133" s="233">
        <v>0</v>
      </c>
      <c r="R133" s="45">
        <f t="shared" si="55"/>
        <v>0</v>
      </c>
    </row>
    <row r="134" spans="1:18" x14ac:dyDescent="0.25">
      <c r="A134" s="50">
        <v>7</v>
      </c>
      <c r="B134" s="89" t="s">
        <v>114</v>
      </c>
      <c r="C134" s="51">
        <v>14063</v>
      </c>
      <c r="D134" s="51">
        <v>19047</v>
      </c>
      <c r="E134" s="47">
        <f t="shared" ref="E134" si="61">C134/D134*100</f>
        <v>73.833149577361269</v>
      </c>
      <c r="F134" s="51">
        <v>3924</v>
      </c>
      <c r="G134" s="51">
        <v>1470</v>
      </c>
      <c r="H134" s="47">
        <f t="shared" ref="H134" si="62">F134/G134*100</f>
        <v>266.9387755102041</v>
      </c>
      <c r="I134" s="51">
        <v>14063</v>
      </c>
      <c r="J134" s="51">
        <v>19047</v>
      </c>
      <c r="K134" s="94">
        <f t="shared" si="58"/>
        <v>73.833149577361269</v>
      </c>
      <c r="L134" s="51">
        <v>0</v>
      </c>
      <c r="M134" s="51">
        <v>0</v>
      </c>
      <c r="N134" s="34">
        <v>0</v>
      </c>
      <c r="O134" s="62">
        <v>13</v>
      </c>
      <c r="P134" s="87">
        <v>50</v>
      </c>
      <c r="Q134" s="62">
        <v>13</v>
      </c>
      <c r="R134" s="45">
        <f t="shared" si="55"/>
        <v>650</v>
      </c>
    </row>
    <row r="135" spans="1:18" s="60" customFormat="1" x14ac:dyDescent="0.25">
      <c r="A135" s="315" t="s">
        <v>115</v>
      </c>
      <c r="B135" s="315" t="s">
        <v>115</v>
      </c>
      <c r="C135" s="56">
        <f>SUM(C128:C134)</f>
        <v>203946</v>
      </c>
      <c r="D135" s="56">
        <f>SUM(D128:D134)</f>
        <v>100501</v>
      </c>
      <c r="E135" s="57">
        <f>C135/D135*100</f>
        <v>202.92932408632751</v>
      </c>
      <c r="F135" s="56">
        <f>SUM(F128:F134)</f>
        <v>21932</v>
      </c>
      <c r="G135" s="56">
        <f>SUM(G128:G134)</f>
        <v>18693</v>
      </c>
      <c r="H135" s="57">
        <f>F135/G135*100</f>
        <v>117.32734178569517</v>
      </c>
      <c r="I135" s="56">
        <f>SUM(I128:I134)</f>
        <v>228617</v>
      </c>
      <c r="J135" s="56">
        <f>SUM(J128:J134)</f>
        <v>94124</v>
      </c>
      <c r="K135" s="57">
        <f>I135/J135*100</f>
        <v>242.88916748119499</v>
      </c>
      <c r="L135" s="56">
        <f>SUM(L128:L134)</f>
        <v>0</v>
      </c>
      <c r="M135" s="56">
        <f>SUM(M128:M134)</f>
        <v>0</v>
      </c>
      <c r="N135" s="58">
        <v>0</v>
      </c>
      <c r="O135" s="56">
        <f>SUM(O128:O134)</f>
        <v>94</v>
      </c>
      <c r="P135" s="58">
        <f>R135/O135</f>
        <v>75.851063829787236</v>
      </c>
      <c r="Q135" s="56">
        <f>SUM(Q128:Q134)</f>
        <v>101</v>
      </c>
      <c r="R135" s="59">
        <f>SUM(R128:R134)</f>
        <v>7130</v>
      </c>
    </row>
    <row r="136" spans="1:18" x14ac:dyDescent="0.25">
      <c r="A136" s="233"/>
      <c r="B136" s="233"/>
      <c r="C136" s="233"/>
      <c r="D136" s="233"/>
      <c r="E136" s="233"/>
      <c r="F136" s="233"/>
      <c r="G136" s="233"/>
      <c r="H136" s="233"/>
      <c r="I136" s="233"/>
      <c r="J136" s="233"/>
      <c r="K136" s="34"/>
      <c r="L136" s="233"/>
      <c r="M136" s="233"/>
      <c r="N136" s="233"/>
      <c r="O136" s="233"/>
      <c r="P136" s="62"/>
      <c r="Q136" s="233"/>
      <c r="R136" s="39"/>
    </row>
    <row r="137" spans="1:18" x14ac:dyDescent="0.25">
      <c r="A137" s="316" t="s">
        <v>208</v>
      </c>
      <c r="B137" s="317"/>
      <c r="C137" s="37">
        <v>3</v>
      </c>
      <c r="D137" s="37">
        <v>4</v>
      </c>
      <c r="E137" s="229">
        <v>5</v>
      </c>
      <c r="F137" s="37">
        <v>6</v>
      </c>
      <c r="G137" s="37">
        <v>7</v>
      </c>
      <c r="H137" s="37">
        <v>8</v>
      </c>
      <c r="I137" s="37">
        <v>9</v>
      </c>
      <c r="J137" s="37">
        <v>10</v>
      </c>
      <c r="K137" s="37">
        <v>11</v>
      </c>
      <c r="L137" s="37">
        <v>12</v>
      </c>
      <c r="M137" s="37">
        <v>13</v>
      </c>
      <c r="N137" s="37">
        <v>14</v>
      </c>
      <c r="O137" s="37">
        <v>15</v>
      </c>
      <c r="P137" s="229">
        <v>16</v>
      </c>
      <c r="Q137" s="37">
        <v>15</v>
      </c>
      <c r="R137" s="31"/>
    </row>
    <row r="138" spans="1:18" x14ac:dyDescent="0.25">
      <c r="A138" s="96">
        <v>1</v>
      </c>
      <c r="B138" s="78" t="s">
        <v>117</v>
      </c>
      <c r="C138" s="62">
        <v>78896617</v>
      </c>
      <c r="D138" s="62">
        <v>67999986</v>
      </c>
      <c r="E138" s="47">
        <f t="shared" ref="E138:E141" si="63">C138/D138*100</f>
        <v>116.02446065209485</v>
      </c>
      <c r="F138" s="62">
        <v>11275574</v>
      </c>
      <c r="G138" s="62">
        <v>9025434</v>
      </c>
      <c r="H138" s="47">
        <f>F138/G138*100</f>
        <v>124.93110026620326</v>
      </c>
      <c r="I138" s="96">
        <v>77000576</v>
      </c>
      <c r="J138" s="96">
        <v>65954824</v>
      </c>
      <c r="K138" s="47">
        <f>I138/J138*100</f>
        <v>116.74745125542296</v>
      </c>
      <c r="L138" s="96">
        <v>36077253</v>
      </c>
      <c r="M138" s="96">
        <v>28472141</v>
      </c>
      <c r="N138" s="47">
        <f>L138/M138*100</f>
        <v>126.71071346548895</v>
      </c>
      <c r="O138" s="252">
        <v>2945</v>
      </c>
      <c r="P138" s="62">
        <v>145</v>
      </c>
      <c r="Q138" s="233">
        <v>2945</v>
      </c>
      <c r="R138" s="45">
        <f t="shared" ref="R138:R142" si="64">O138*P138</f>
        <v>427025</v>
      </c>
    </row>
    <row r="139" spans="1:18" x14ac:dyDescent="0.25">
      <c r="A139" s="96">
        <v>2</v>
      </c>
      <c r="B139" s="78" t="s">
        <v>118</v>
      </c>
      <c r="C139" s="62">
        <v>17467135</v>
      </c>
      <c r="D139" s="62">
        <v>16370810</v>
      </c>
      <c r="E139" s="47">
        <f t="shared" si="63"/>
        <v>106.69682807387051</v>
      </c>
      <c r="F139" s="62">
        <v>2009100</v>
      </c>
      <c r="G139" s="62">
        <v>2161377</v>
      </c>
      <c r="H139" s="47">
        <f t="shared" ref="H139:H141" si="65">F139/G139*100</f>
        <v>92.95463031206495</v>
      </c>
      <c r="I139" s="96">
        <v>15626045</v>
      </c>
      <c r="J139" s="96">
        <v>15177414</v>
      </c>
      <c r="K139" s="47">
        <f t="shared" ref="K139:K141" si="66">I139/J139*100</f>
        <v>102.95591198869583</v>
      </c>
      <c r="L139" s="233">
        <v>15626045</v>
      </c>
      <c r="M139" s="233">
        <v>15177414</v>
      </c>
      <c r="N139" s="47">
        <f t="shared" ref="N139:N141" si="67">L139/M139*100</f>
        <v>102.95591198869583</v>
      </c>
      <c r="O139" s="252">
        <v>940</v>
      </c>
      <c r="P139" s="62">
        <v>120</v>
      </c>
      <c r="Q139" s="233">
        <v>940</v>
      </c>
      <c r="R139" s="45">
        <f t="shared" si="64"/>
        <v>112800</v>
      </c>
    </row>
    <row r="140" spans="1:18" s="66" customFormat="1" x14ac:dyDescent="0.25">
      <c r="A140" s="96">
        <v>3</v>
      </c>
      <c r="B140" s="78" t="s">
        <v>119</v>
      </c>
      <c r="C140" s="62">
        <v>16469287</v>
      </c>
      <c r="D140" s="62">
        <v>18262994</v>
      </c>
      <c r="E140" s="47">
        <f t="shared" si="63"/>
        <v>90.178461428613517</v>
      </c>
      <c r="F140" s="62">
        <v>2223887</v>
      </c>
      <c r="G140" s="62">
        <v>1940348</v>
      </c>
      <c r="H140" s="47">
        <f t="shared" si="65"/>
        <v>114.61279110757452</v>
      </c>
      <c r="I140" s="96">
        <v>14124272</v>
      </c>
      <c r="J140" s="96">
        <v>17721922</v>
      </c>
      <c r="K140" s="47">
        <f t="shared" si="66"/>
        <v>79.699436663811071</v>
      </c>
      <c r="L140" s="96">
        <f>1958616+12165655</f>
        <v>14124271</v>
      </c>
      <c r="M140" s="96">
        <v>17721922</v>
      </c>
      <c r="N140" s="47">
        <f t="shared" si="67"/>
        <v>79.699431021082248</v>
      </c>
      <c r="O140" s="252">
        <v>1205</v>
      </c>
      <c r="P140" s="76">
        <v>306</v>
      </c>
      <c r="Q140" s="233">
        <v>1205</v>
      </c>
      <c r="R140" s="45">
        <f t="shared" si="64"/>
        <v>368730</v>
      </c>
    </row>
    <row r="141" spans="1:18" x14ac:dyDescent="0.25">
      <c r="A141" s="96">
        <v>4</v>
      </c>
      <c r="B141" s="78" t="s">
        <v>120</v>
      </c>
      <c r="C141" s="76">
        <v>3297351</v>
      </c>
      <c r="D141" s="76">
        <v>5129968</v>
      </c>
      <c r="E141" s="47">
        <f t="shared" si="63"/>
        <v>64.276248896679277</v>
      </c>
      <c r="F141" s="233">
        <v>492064</v>
      </c>
      <c r="G141" s="233">
        <v>788174</v>
      </c>
      <c r="H141" s="47">
        <f t="shared" si="65"/>
        <v>62.430884550873287</v>
      </c>
      <c r="I141" s="233">
        <v>3043562</v>
      </c>
      <c r="J141" s="233">
        <v>4867132</v>
      </c>
      <c r="K141" s="47">
        <f t="shared" si="66"/>
        <v>62.532966025988202</v>
      </c>
      <c r="L141" s="234">
        <v>3043562</v>
      </c>
      <c r="M141" s="234">
        <v>4867132</v>
      </c>
      <c r="N141" s="47">
        <f t="shared" si="67"/>
        <v>62.532966025988202</v>
      </c>
      <c r="O141" s="252">
        <v>561</v>
      </c>
      <c r="P141" s="62">
        <v>150</v>
      </c>
      <c r="Q141" s="233">
        <v>559</v>
      </c>
      <c r="R141" s="45">
        <f t="shared" si="64"/>
        <v>84150</v>
      </c>
    </row>
    <row r="142" spans="1:18" x14ac:dyDescent="0.25">
      <c r="A142" s="96">
        <v>5</v>
      </c>
      <c r="B142" s="78" t="s">
        <v>203</v>
      </c>
      <c r="C142" s="233"/>
      <c r="D142" s="233"/>
      <c r="E142" s="43">
        <v>0</v>
      </c>
      <c r="F142" s="233"/>
      <c r="G142" s="233"/>
      <c r="H142" s="43">
        <v>0</v>
      </c>
      <c r="I142" s="233"/>
      <c r="J142" s="233"/>
      <c r="K142" s="43">
        <v>0</v>
      </c>
      <c r="L142" s="233"/>
      <c r="M142" s="233"/>
      <c r="N142" s="47">
        <v>0</v>
      </c>
      <c r="O142" s="233"/>
      <c r="P142" s="44">
        <v>0</v>
      </c>
      <c r="Q142" s="233">
        <v>0</v>
      </c>
      <c r="R142" s="45">
        <f t="shared" si="64"/>
        <v>0</v>
      </c>
    </row>
    <row r="143" spans="1:18" s="60" customFormat="1" x14ac:dyDescent="0.25">
      <c r="A143" s="315" t="s">
        <v>207</v>
      </c>
      <c r="B143" s="315" t="s">
        <v>133</v>
      </c>
      <c r="C143" s="58">
        <f>SUM(C138:C142)</f>
        <v>116130390</v>
      </c>
      <c r="D143" s="58">
        <f>SUM(D138:D142)</f>
        <v>107763758</v>
      </c>
      <c r="E143" s="57">
        <f>C143/D143*100</f>
        <v>107.76386435966718</v>
      </c>
      <c r="F143" s="58">
        <f t="shared" ref="F143:G143" si="68">SUM(F138:F142)</f>
        <v>16000625</v>
      </c>
      <c r="G143" s="58">
        <f t="shared" si="68"/>
        <v>13915333</v>
      </c>
      <c r="H143" s="57">
        <f>F143/G143*100</f>
        <v>114.98557023392829</v>
      </c>
      <c r="I143" s="58">
        <f t="shared" ref="I143" si="69">SUM(I138:I142)</f>
        <v>109794455</v>
      </c>
      <c r="J143" s="58">
        <f t="shared" ref="J143" si="70">SUM(J138:J142)</f>
        <v>103721292</v>
      </c>
      <c r="K143" s="57">
        <f>I143/J143*100</f>
        <v>105.85527125905836</v>
      </c>
      <c r="L143" s="58">
        <f t="shared" ref="L143:M143" si="71">SUM(L138:L142)</f>
        <v>68871131</v>
      </c>
      <c r="M143" s="58">
        <f t="shared" si="71"/>
        <v>66238609</v>
      </c>
      <c r="N143" s="57">
        <f>L143/M143*100</f>
        <v>103.97430145309966</v>
      </c>
      <c r="O143" s="58">
        <f t="shared" ref="O143" si="72">SUM(O138:O142)</f>
        <v>5651</v>
      </c>
      <c r="P143" s="58">
        <f>R143/O143</f>
        <v>175.66890815784816</v>
      </c>
      <c r="Q143" s="58">
        <f t="shared" ref="Q143:R143" si="73">SUM(Q138:Q142)</f>
        <v>5649</v>
      </c>
      <c r="R143" s="58">
        <f t="shared" si="73"/>
        <v>992705</v>
      </c>
    </row>
    <row r="144" spans="1:18" s="208" customFormat="1" x14ac:dyDescent="0.25">
      <c r="A144" s="203"/>
      <c r="B144" s="203"/>
      <c r="C144" s="204"/>
      <c r="D144" s="204"/>
      <c r="E144" s="205"/>
      <c r="F144" s="206"/>
      <c r="G144" s="206"/>
      <c r="H144" s="205"/>
      <c r="I144" s="206"/>
      <c r="J144" s="206"/>
      <c r="K144" s="205"/>
      <c r="L144" s="206"/>
      <c r="M144" s="206"/>
      <c r="N144" s="205"/>
      <c r="O144" s="206"/>
      <c r="P144" s="204"/>
      <c r="Q144" s="206"/>
      <c r="R144" s="207"/>
    </row>
    <row r="145" spans="1:18" s="208" customFormat="1" x14ac:dyDescent="0.25">
      <c r="A145" s="203"/>
      <c r="B145" s="203" t="s">
        <v>204</v>
      </c>
      <c r="C145" s="37">
        <v>3</v>
      </c>
      <c r="D145" s="37">
        <v>4</v>
      </c>
      <c r="E145" s="229">
        <v>5</v>
      </c>
      <c r="F145" s="37">
        <v>6</v>
      </c>
      <c r="G145" s="37">
        <v>7</v>
      </c>
      <c r="H145" s="37">
        <v>8</v>
      </c>
      <c r="I145" s="37">
        <v>9</v>
      </c>
      <c r="J145" s="37">
        <v>10</v>
      </c>
      <c r="K145" s="37">
        <v>11</v>
      </c>
      <c r="L145" s="37">
        <v>12</v>
      </c>
      <c r="M145" s="37">
        <v>13</v>
      </c>
      <c r="N145" s="37">
        <v>14</v>
      </c>
      <c r="O145" s="37">
        <v>15</v>
      </c>
      <c r="P145" s="229">
        <v>16</v>
      </c>
      <c r="Q145" s="37">
        <v>15</v>
      </c>
      <c r="R145" s="207"/>
    </row>
    <row r="146" spans="1:18" x14ac:dyDescent="0.25">
      <c r="A146" s="96">
        <v>6</v>
      </c>
      <c r="B146" s="78" t="s">
        <v>122</v>
      </c>
      <c r="C146" s="62">
        <v>13659904</v>
      </c>
      <c r="D146" s="62">
        <v>14103451</v>
      </c>
      <c r="E146" s="47">
        <f t="shared" ref="E146:E151" si="74">C146/D146*100</f>
        <v>96.855046328731888</v>
      </c>
      <c r="F146" s="62">
        <v>1740694</v>
      </c>
      <c r="G146" s="62">
        <v>1677764</v>
      </c>
      <c r="H146" s="47">
        <f t="shared" ref="H146:H151" si="75">F146/G146*100</f>
        <v>103.75082550346771</v>
      </c>
      <c r="I146" s="96">
        <v>13462750</v>
      </c>
      <c r="J146" s="96">
        <v>13883917</v>
      </c>
      <c r="K146" s="47">
        <f t="shared" ref="K146:K151" si="76">I146/J146*100</f>
        <v>96.966511683986596</v>
      </c>
      <c r="L146" s="96">
        <v>13462750</v>
      </c>
      <c r="M146" s="96">
        <v>13883917</v>
      </c>
      <c r="N146" s="47">
        <f>L146/M146*100</f>
        <v>96.966511683986596</v>
      </c>
      <c r="O146" s="233"/>
      <c r="P146" s="76">
        <v>150</v>
      </c>
      <c r="Q146" s="233">
        <v>469</v>
      </c>
      <c r="R146" s="45">
        <f t="shared" ref="R146:R152" si="77">O146*P146</f>
        <v>0</v>
      </c>
    </row>
    <row r="147" spans="1:18" x14ac:dyDescent="0.25">
      <c r="A147" s="96">
        <v>10</v>
      </c>
      <c r="B147" s="78" t="s">
        <v>126</v>
      </c>
      <c r="C147" s="76">
        <v>28140987</v>
      </c>
      <c r="D147" s="76">
        <v>28882680</v>
      </c>
      <c r="E147" s="47">
        <f t="shared" si="74"/>
        <v>97.43204924196786</v>
      </c>
      <c r="F147" s="76">
        <v>3858837</v>
      </c>
      <c r="G147" s="76">
        <v>2604046</v>
      </c>
      <c r="H147" s="47">
        <f t="shared" si="75"/>
        <v>148.18620715609478</v>
      </c>
      <c r="I147" s="233">
        <v>26819843</v>
      </c>
      <c r="J147" s="233">
        <v>30250633</v>
      </c>
      <c r="K147" s="47">
        <f t="shared" si="76"/>
        <v>88.658782776545536</v>
      </c>
      <c r="L147" s="233">
        <v>26736946</v>
      </c>
      <c r="M147" s="233">
        <v>30205899</v>
      </c>
      <c r="N147" s="47">
        <f>L147/M147*100</f>
        <v>88.515643914455254</v>
      </c>
      <c r="O147" s="233"/>
      <c r="P147" s="62">
        <v>134</v>
      </c>
      <c r="Q147" s="233">
        <v>668</v>
      </c>
      <c r="R147" s="45">
        <f t="shared" si="77"/>
        <v>0</v>
      </c>
    </row>
    <row r="148" spans="1:18" x14ac:dyDescent="0.25">
      <c r="A148" s="96">
        <v>11</v>
      </c>
      <c r="B148" s="78" t="s">
        <v>127</v>
      </c>
      <c r="C148" s="62">
        <v>20269029</v>
      </c>
      <c r="D148" s="62">
        <v>20781842</v>
      </c>
      <c r="E148" s="47">
        <f t="shared" si="74"/>
        <v>97.53239871614845</v>
      </c>
      <c r="F148" s="233">
        <v>2570014</v>
      </c>
      <c r="G148" s="233">
        <v>2549501</v>
      </c>
      <c r="H148" s="47">
        <f t="shared" si="75"/>
        <v>100.80458881953763</v>
      </c>
      <c r="I148" s="233">
        <v>19832698</v>
      </c>
      <c r="J148" s="233">
        <v>20259740</v>
      </c>
      <c r="K148" s="47">
        <f t="shared" si="76"/>
        <v>97.892164460155954</v>
      </c>
      <c r="L148" s="233">
        <v>19832698</v>
      </c>
      <c r="M148" s="233">
        <v>20259740</v>
      </c>
      <c r="N148" s="47">
        <f>L148/M148*100</f>
        <v>97.892164460155954</v>
      </c>
      <c r="O148" s="233"/>
      <c r="P148" s="62">
        <v>168</v>
      </c>
      <c r="Q148" s="233">
        <v>169</v>
      </c>
      <c r="R148" s="45">
        <f t="shared" si="77"/>
        <v>0</v>
      </c>
    </row>
    <row r="149" spans="1:18" x14ac:dyDescent="0.25">
      <c r="A149" s="96">
        <v>14</v>
      </c>
      <c r="B149" s="78" t="s">
        <v>130</v>
      </c>
      <c r="C149" s="76">
        <v>2708710</v>
      </c>
      <c r="D149" s="76">
        <v>1838365</v>
      </c>
      <c r="E149" s="47">
        <f t="shared" si="74"/>
        <v>147.34342744775927</v>
      </c>
      <c r="F149" s="96">
        <v>313471</v>
      </c>
      <c r="G149" s="96">
        <v>259601</v>
      </c>
      <c r="H149" s="47">
        <f t="shared" si="75"/>
        <v>120.75107568923077</v>
      </c>
      <c r="I149" s="96">
        <v>2703261</v>
      </c>
      <c r="J149" s="96">
        <v>1865014</v>
      </c>
      <c r="K149" s="47">
        <f t="shared" si="76"/>
        <v>144.94588244377792</v>
      </c>
      <c r="L149" s="96">
        <v>0</v>
      </c>
      <c r="M149" s="96">
        <v>0</v>
      </c>
      <c r="N149" s="47">
        <v>0</v>
      </c>
      <c r="O149" s="233"/>
      <c r="P149" s="76">
        <v>58</v>
      </c>
      <c r="Q149" s="233">
        <v>313</v>
      </c>
      <c r="R149" s="45">
        <f t="shared" si="77"/>
        <v>0</v>
      </c>
    </row>
    <row r="150" spans="1:18" s="66" customFormat="1" x14ac:dyDescent="0.25">
      <c r="A150" s="96">
        <v>9</v>
      </c>
      <c r="B150" s="78" t="s">
        <v>125</v>
      </c>
      <c r="C150" s="76">
        <v>19602179</v>
      </c>
      <c r="D150" s="76">
        <v>13069460</v>
      </c>
      <c r="E150" s="47">
        <f t="shared" si="74"/>
        <v>149.98461298324492</v>
      </c>
      <c r="F150" s="233">
        <v>3028241</v>
      </c>
      <c r="G150" s="233">
        <v>2427533</v>
      </c>
      <c r="H150" s="47">
        <f t="shared" si="75"/>
        <v>124.74561622849205</v>
      </c>
      <c r="I150" s="233">
        <v>19728650</v>
      </c>
      <c r="J150" s="233">
        <v>12871119</v>
      </c>
      <c r="K150" s="47">
        <f t="shared" si="76"/>
        <v>153.27843678548851</v>
      </c>
      <c r="L150" s="233">
        <v>19728650</v>
      </c>
      <c r="M150" s="233">
        <v>12871119</v>
      </c>
      <c r="N150" s="47">
        <f>L150/M150*100</f>
        <v>153.27843678548851</v>
      </c>
      <c r="O150" s="233"/>
      <c r="P150" s="62">
        <v>100</v>
      </c>
      <c r="Q150" s="233">
        <v>905</v>
      </c>
      <c r="R150" s="45">
        <f>O150*P150</f>
        <v>0</v>
      </c>
    </row>
    <row r="151" spans="1:18" x14ac:dyDescent="0.25">
      <c r="A151" s="96">
        <v>15</v>
      </c>
      <c r="B151" s="78" t="s">
        <v>131</v>
      </c>
      <c r="C151" s="62">
        <v>21453689</v>
      </c>
      <c r="D151" s="62">
        <v>21914456</v>
      </c>
      <c r="E151" s="47">
        <f t="shared" si="74"/>
        <v>97.897428984776084</v>
      </c>
      <c r="F151" s="233">
        <v>2737842</v>
      </c>
      <c r="G151" s="233">
        <v>2414265</v>
      </c>
      <c r="H151" s="47">
        <f t="shared" si="75"/>
        <v>113.40271262682431</v>
      </c>
      <c r="I151" s="233">
        <v>20042862</v>
      </c>
      <c r="J151" s="233">
        <v>21211245</v>
      </c>
      <c r="K151" s="47">
        <f t="shared" si="76"/>
        <v>94.491681181373366</v>
      </c>
      <c r="L151" s="233">
        <v>19964449</v>
      </c>
      <c r="M151" s="233">
        <v>21130703</v>
      </c>
      <c r="N151" s="47">
        <f>L151/M151*100</f>
        <v>94.480761004496628</v>
      </c>
      <c r="O151" s="233">
        <v>647</v>
      </c>
      <c r="P151" s="62">
        <v>130</v>
      </c>
      <c r="Q151" s="233">
        <v>647</v>
      </c>
      <c r="R151" s="45">
        <f t="shared" si="77"/>
        <v>84110</v>
      </c>
    </row>
    <row r="152" spans="1:18" x14ac:dyDescent="0.25">
      <c r="A152" s="96">
        <v>13</v>
      </c>
      <c r="B152" s="78" t="s">
        <v>129</v>
      </c>
      <c r="C152" s="234">
        <v>0</v>
      </c>
      <c r="D152" s="234">
        <v>0</v>
      </c>
      <c r="E152" s="47">
        <v>0</v>
      </c>
      <c r="F152" s="234">
        <v>0</v>
      </c>
      <c r="G152" s="234">
        <v>0</v>
      </c>
      <c r="H152" s="43">
        <v>0</v>
      </c>
      <c r="I152" s="234">
        <v>0</v>
      </c>
      <c r="J152" s="234">
        <v>0</v>
      </c>
      <c r="K152" s="43">
        <v>0</v>
      </c>
      <c r="L152" s="234">
        <v>0</v>
      </c>
      <c r="M152" s="234">
        <v>0</v>
      </c>
      <c r="N152" s="47">
        <v>0</v>
      </c>
      <c r="O152" s="234">
        <v>0</v>
      </c>
      <c r="P152" s="44">
        <v>0</v>
      </c>
      <c r="Q152" s="234">
        <v>0</v>
      </c>
      <c r="R152" s="45">
        <f t="shared" si="77"/>
        <v>0</v>
      </c>
    </row>
    <row r="153" spans="1:18" s="60" customFormat="1" x14ac:dyDescent="0.25">
      <c r="A153" s="315" t="s">
        <v>205</v>
      </c>
      <c r="B153" s="315" t="s">
        <v>133</v>
      </c>
      <c r="C153" s="58">
        <f>SUM(C146:C152)</f>
        <v>105834498</v>
      </c>
      <c r="D153" s="58">
        <f>SUM(D146:D152)</f>
        <v>100590254</v>
      </c>
      <c r="E153" s="57">
        <f>C153/D153*100</f>
        <v>105.21347127724721</v>
      </c>
      <c r="F153" s="58">
        <f>SUM(F146:F152)</f>
        <v>14249099</v>
      </c>
      <c r="G153" s="58">
        <f>SUM(G146:G152)</f>
        <v>11932710</v>
      </c>
      <c r="H153" s="57">
        <f>F153/G153*100</f>
        <v>119.41209498931929</v>
      </c>
      <c r="I153" s="58">
        <f>SUM(I146:I152)</f>
        <v>102590064</v>
      </c>
      <c r="J153" s="58">
        <f>SUM(J146:J152)</f>
        <v>100341668</v>
      </c>
      <c r="K153" s="57">
        <f>I153/J153*100</f>
        <v>102.24074010808751</v>
      </c>
      <c r="L153" s="58">
        <f>SUM(L146:L152)</f>
        <v>99725493</v>
      </c>
      <c r="M153" s="58">
        <f>SUM(M146:M152)</f>
        <v>98351378</v>
      </c>
      <c r="N153" s="57">
        <f>L153/M153*100</f>
        <v>101.39714870085501</v>
      </c>
      <c r="O153" s="56">
        <f>SUM(O146:O152)</f>
        <v>647</v>
      </c>
      <c r="P153" s="58">
        <f>R153/O153</f>
        <v>130</v>
      </c>
      <c r="Q153" s="56">
        <f>SUM(Q146:Q152)</f>
        <v>3171</v>
      </c>
      <c r="R153" s="59">
        <f>SUM(R146:R152)</f>
        <v>84110</v>
      </c>
    </row>
    <row r="154" spans="1:18" s="211" customFormat="1" x14ac:dyDescent="0.25">
      <c r="A154" s="353" t="s">
        <v>206</v>
      </c>
      <c r="B154" s="353" t="s">
        <v>70</v>
      </c>
      <c r="C154" s="209">
        <f>C143+C153</f>
        <v>221964888</v>
      </c>
      <c r="D154" s="209">
        <f>D143+D153</f>
        <v>208354012</v>
      </c>
      <c r="E154" s="210">
        <f>C154/D154*100</f>
        <v>106.53257207257425</v>
      </c>
      <c r="F154" s="209">
        <f>F143+F153</f>
        <v>30249724</v>
      </c>
      <c r="G154" s="209">
        <f>G143+G153</f>
        <v>25848043</v>
      </c>
      <c r="H154" s="210">
        <f>F154/G154*100</f>
        <v>117.02906869970775</v>
      </c>
      <c r="I154" s="209">
        <f>I143+I153</f>
        <v>212384519</v>
      </c>
      <c r="J154" s="209">
        <f>J143+J153</f>
        <v>204062960</v>
      </c>
      <c r="K154" s="210">
        <f>I154/J154*100</f>
        <v>104.07793702492603</v>
      </c>
      <c r="L154" s="209">
        <f>L143+L153</f>
        <v>168596624</v>
      </c>
      <c r="M154" s="209">
        <f>M143+M153</f>
        <v>164589987</v>
      </c>
      <c r="N154" s="210">
        <f>L154/M154*100</f>
        <v>102.43431394158868</v>
      </c>
      <c r="O154" s="209">
        <f>O143+O153</f>
        <v>6298</v>
      </c>
      <c r="P154" s="210">
        <f>R154/O154</f>
        <v>170.977294379168</v>
      </c>
      <c r="Q154" s="209">
        <f>Q143+Q153</f>
        <v>8820</v>
      </c>
      <c r="R154" s="209">
        <f>R143+R153</f>
        <v>1076815</v>
      </c>
    </row>
    <row r="155" spans="1:18" s="208" customFormat="1" x14ac:dyDescent="0.25">
      <c r="A155" s="203"/>
      <c r="B155" s="203"/>
      <c r="C155" s="204"/>
      <c r="D155" s="204"/>
      <c r="E155" s="205"/>
      <c r="F155" s="206"/>
      <c r="G155" s="206"/>
      <c r="H155" s="205"/>
      <c r="I155" s="206"/>
      <c r="J155" s="206"/>
      <c r="K155" s="205"/>
      <c r="L155" s="206"/>
      <c r="M155" s="206"/>
      <c r="N155" s="205"/>
      <c r="O155" s="206"/>
      <c r="P155" s="204"/>
      <c r="Q155" s="206"/>
      <c r="R155" s="207"/>
    </row>
    <row r="156" spans="1:18" x14ac:dyDescent="0.25">
      <c r="A156" s="23"/>
      <c r="B156" s="23"/>
      <c r="C156" s="31"/>
      <c r="D156" s="31"/>
      <c r="E156" s="223"/>
      <c r="F156" s="31"/>
      <c r="G156" s="31"/>
      <c r="H156" s="223"/>
      <c r="I156" s="31"/>
      <c r="J156" s="31"/>
      <c r="K156" s="74"/>
      <c r="L156" s="31"/>
      <c r="M156" s="31"/>
      <c r="N156" s="223"/>
      <c r="O156" s="224"/>
      <c r="P156" s="225"/>
      <c r="Q156" s="224"/>
      <c r="R156" s="31"/>
    </row>
    <row r="157" spans="1:18" x14ac:dyDescent="0.25">
      <c r="A157" s="99"/>
      <c r="B157" s="99" t="s">
        <v>13</v>
      </c>
      <c r="C157" s="37">
        <v>3</v>
      </c>
      <c r="D157" s="37">
        <v>4</v>
      </c>
      <c r="E157" s="229">
        <v>5</v>
      </c>
      <c r="F157" s="37">
        <v>6</v>
      </c>
      <c r="G157" s="37">
        <v>7</v>
      </c>
      <c r="H157" s="37">
        <v>8</v>
      </c>
      <c r="I157" s="37">
        <v>9</v>
      </c>
      <c r="J157" s="37">
        <v>10</v>
      </c>
      <c r="K157" s="37">
        <v>11</v>
      </c>
      <c r="L157" s="37">
        <v>12</v>
      </c>
      <c r="M157" s="37">
        <v>13</v>
      </c>
      <c r="N157" s="37">
        <v>14</v>
      </c>
      <c r="O157" s="37">
        <v>15</v>
      </c>
      <c r="P157" s="229">
        <v>16</v>
      </c>
      <c r="Q157" s="37">
        <v>15</v>
      </c>
      <c r="R157" s="100"/>
    </row>
    <row r="158" spans="1:18" x14ac:dyDescent="0.25">
      <c r="A158" s="96">
        <v>1</v>
      </c>
      <c r="B158" s="84" t="s">
        <v>134</v>
      </c>
      <c r="C158" s="96">
        <v>48347</v>
      </c>
      <c r="D158" s="96">
        <v>69444</v>
      </c>
      <c r="E158" s="47">
        <f>C158/D158*100</f>
        <v>69.620125568803644</v>
      </c>
      <c r="F158" s="34">
        <v>9680</v>
      </c>
      <c r="G158" s="96">
        <v>10846</v>
      </c>
      <c r="H158" s="47">
        <f>F158/G158*100</f>
        <v>89.249492900608516</v>
      </c>
      <c r="I158" s="96">
        <v>48347</v>
      </c>
      <c r="J158" s="96">
        <v>69444</v>
      </c>
      <c r="K158" s="47">
        <f t="shared" ref="K158:K162" si="78">I158/J158*100</f>
        <v>69.620125568803644</v>
      </c>
      <c r="L158" s="96">
        <v>0</v>
      </c>
      <c r="M158" s="96">
        <v>0</v>
      </c>
      <c r="N158" s="47">
        <v>0</v>
      </c>
      <c r="O158" s="96">
        <v>54</v>
      </c>
      <c r="P158" s="76">
        <v>80</v>
      </c>
      <c r="Q158" s="96">
        <v>52</v>
      </c>
      <c r="R158" s="45">
        <f t="shared" ref="R158:R162" si="79">O158*P158</f>
        <v>4320</v>
      </c>
    </row>
    <row r="159" spans="1:18" s="66" customFormat="1" x14ac:dyDescent="0.25">
      <c r="A159" s="96">
        <v>2</v>
      </c>
      <c r="B159" s="84" t="s">
        <v>135</v>
      </c>
      <c r="C159" s="51">
        <v>3346491</v>
      </c>
      <c r="D159" s="51">
        <v>4047296</v>
      </c>
      <c r="E159" s="47">
        <f t="shared" ref="E159:E162" si="80">C159/D159*100</f>
        <v>82.684612145985852</v>
      </c>
      <c r="F159" s="51">
        <v>674182</v>
      </c>
      <c r="G159" s="51">
        <v>544206</v>
      </c>
      <c r="H159" s="47">
        <f t="shared" ref="H159:H162" si="81">F159/G159*100</f>
        <v>123.88360290037228</v>
      </c>
      <c r="I159" s="51">
        <v>3505801</v>
      </c>
      <c r="J159" s="51">
        <v>4021598</v>
      </c>
      <c r="K159" s="47">
        <f t="shared" si="78"/>
        <v>87.174327220174661</v>
      </c>
      <c r="L159" s="51">
        <v>1107869</v>
      </c>
      <c r="M159" s="51">
        <v>1614751</v>
      </c>
      <c r="N159" s="47">
        <f t="shared" ref="N159:N161" si="82">L159/M159*100</f>
        <v>68.609277839121944</v>
      </c>
      <c r="O159" s="96"/>
      <c r="P159" s="76">
        <v>110</v>
      </c>
      <c r="Q159" s="96">
        <v>505</v>
      </c>
      <c r="R159" s="45">
        <f t="shared" si="79"/>
        <v>0</v>
      </c>
    </row>
    <row r="160" spans="1:18" x14ac:dyDescent="0.25">
      <c r="A160" s="96">
        <v>3</v>
      </c>
      <c r="B160" s="84" t="s">
        <v>136</v>
      </c>
      <c r="C160" s="233">
        <v>0</v>
      </c>
      <c r="D160" s="233">
        <v>0</v>
      </c>
      <c r="E160" s="43">
        <v>0</v>
      </c>
      <c r="F160" s="233">
        <v>0</v>
      </c>
      <c r="G160" s="233">
        <v>0</v>
      </c>
      <c r="H160" s="43">
        <v>0</v>
      </c>
      <c r="I160" s="233">
        <v>0</v>
      </c>
      <c r="J160" s="233">
        <v>0</v>
      </c>
      <c r="K160" s="43">
        <v>0</v>
      </c>
      <c r="L160" s="233">
        <v>0</v>
      </c>
      <c r="M160" s="233">
        <v>0</v>
      </c>
      <c r="N160" s="47">
        <v>0</v>
      </c>
      <c r="O160" s="233">
        <v>0</v>
      </c>
      <c r="P160" s="44">
        <v>0</v>
      </c>
      <c r="Q160" s="233">
        <v>0</v>
      </c>
      <c r="R160" s="45">
        <f t="shared" si="79"/>
        <v>0</v>
      </c>
    </row>
    <row r="161" spans="1:18" x14ac:dyDescent="0.25">
      <c r="A161" s="96">
        <v>4</v>
      </c>
      <c r="B161" s="84" t="s">
        <v>137</v>
      </c>
      <c r="C161" s="96">
        <v>2213161</v>
      </c>
      <c r="D161" s="96">
        <v>2264368</v>
      </c>
      <c r="E161" s="47">
        <f t="shared" si="80"/>
        <v>97.738574295344222</v>
      </c>
      <c r="F161" s="96">
        <v>170620</v>
      </c>
      <c r="G161" s="101">
        <v>246718</v>
      </c>
      <c r="H161" s="47">
        <f t="shared" si="81"/>
        <v>69.15587837125787</v>
      </c>
      <c r="I161" s="101">
        <v>2503025</v>
      </c>
      <c r="J161" s="101">
        <v>1773238</v>
      </c>
      <c r="K161" s="47">
        <f t="shared" ref="K161" si="83">I161/J161*100</f>
        <v>141.15561475673317</v>
      </c>
      <c r="L161" s="101">
        <f>1550788+19303</f>
        <v>1570091</v>
      </c>
      <c r="M161" s="101">
        <v>453159</v>
      </c>
      <c r="N161" s="47">
        <f t="shared" si="82"/>
        <v>346.47684366855782</v>
      </c>
      <c r="O161" s="96">
        <v>310</v>
      </c>
      <c r="P161" s="76">
        <v>80</v>
      </c>
      <c r="Q161" s="96">
        <v>310</v>
      </c>
      <c r="R161" s="45">
        <f t="shared" si="79"/>
        <v>24800</v>
      </c>
    </row>
    <row r="162" spans="1:18" x14ac:dyDescent="0.25">
      <c r="A162" s="96">
        <v>5</v>
      </c>
      <c r="B162" s="84" t="s">
        <v>138</v>
      </c>
      <c r="C162" s="96">
        <v>1911724</v>
      </c>
      <c r="D162" s="96">
        <v>2568341</v>
      </c>
      <c r="E162" s="47">
        <f t="shared" si="80"/>
        <v>74.434197016673409</v>
      </c>
      <c r="F162" s="96">
        <v>302100</v>
      </c>
      <c r="G162" s="96">
        <v>589413</v>
      </c>
      <c r="H162" s="47">
        <f t="shared" si="81"/>
        <v>51.254383598597251</v>
      </c>
      <c r="I162" s="96">
        <v>1866392</v>
      </c>
      <c r="J162" s="96">
        <v>2914323</v>
      </c>
      <c r="K162" s="47">
        <f t="shared" si="78"/>
        <v>64.042043383660626</v>
      </c>
      <c r="L162" s="96">
        <v>0</v>
      </c>
      <c r="M162" s="96">
        <v>0</v>
      </c>
      <c r="N162" s="47">
        <v>0</v>
      </c>
      <c r="O162" s="96"/>
      <c r="P162" s="76">
        <v>51</v>
      </c>
      <c r="Q162" s="96">
        <v>385</v>
      </c>
      <c r="R162" s="45">
        <f t="shared" si="79"/>
        <v>0</v>
      </c>
    </row>
    <row r="163" spans="1:18" s="60" customFormat="1" x14ac:dyDescent="0.25">
      <c r="A163" s="315" t="s">
        <v>174</v>
      </c>
      <c r="B163" s="315" t="s">
        <v>139</v>
      </c>
      <c r="C163" s="56">
        <f>SUM(C158:C162)</f>
        <v>7519723</v>
      </c>
      <c r="D163" s="56">
        <f>SUM(D158:D162)</f>
        <v>8949449</v>
      </c>
      <c r="E163" s="57">
        <f>C163/D163*100</f>
        <v>84.024424296959509</v>
      </c>
      <c r="F163" s="56">
        <f>SUM(F158:F162)</f>
        <v>1156582</v>
      </c>
      <c r="G163" s="56">
        <f>SUM(G158:G162)</f>
        <v>1391183</v>
      </c>
      <c r="H163" s="57">
        <f>F163/G163*100</f>
        <v>83.136582318789124</v>
      </c>
      <c r="I163" s="56">
        <f>SUM(I158:I162)</f>
        <v>7923565</v>
      </c>
      <c r="J163" s="56">
        <f>SUM(J158:J162)</f>
        <v>8778603</v>
      </c>
      <c r="K163" s="57">
        <f>I163/J163*100</f>
        <v>90.259976444999282</v>
      </c>
      <c r="L163" s="56">
        <f>SUM(L158:L162)</f>
        <v>2677960</v>
      </c>
      <c r="M163" s="56">
        <f>SUM(M158:M162)</f>
        <v>2067910</v>
      </c>
      <c r="N163" s="57">
        <f>L163/M163*100</f>
        <v>129.50080032496578</v>
      </c>
      <c r="O163" s="56">
        <f>SUM(O158:O162)</f>
        <v>364</v>
      </c>
      <c r="P163" s="57">
        <f>R163/O163</f>
        <v>80</v>
      </c>
      <c r="Q163" s="56">
        <f>SUM(Q158:Q162)</f>
        <v>1252</v>
      </c>
      <c r="R163" s="59">
        <f>SUM(R158:R162)</f>
        <v>29120</v>
      </c>
    </row>
    <row r="164" spans="1:18" x14ac:dyDescent="0.25">
      <c r="A164" s="102"/>
      <c r="B164" s="103"/>
      <c r="C164" s="104"/>
      <c r="D164" s="104"/>
      <c r="E164" s="105"/>
      <c r="F164" s="104"/>
      <c r="G164" s="104"/>
      <c r="H164" s="105"/>
      <c r="I164" s="104"/>
      <c r="J164" s="104"/>
      <c r="K164" s="105"/>
      <c r="L164" s="104"/>
      <c r="M164" s="176"/>
      <c r="N164" s="177"/>
      <c r="O164" s="176"/>
      <c r="P164" s="104"/>
      <c r="Q164" s="176"/>
      <c r="R164" s="106"/>
    </row>
    <row r="165" spans="1:18" x14ac:dyDescent="0.25">
      <c r="A165" s="350" t="s">
        <v>177</v>
      </c>
      <c r="B165" s="350"/>
      <c r="C165" s="37">
        <v>3</v>
      </c>
      <c r="D165" s="37">
        <v>4</v>
      </c>
      <c r="E165" s="229">
        <v>5</v>
      </c>
      <c r="F165" s="37">
        <v>6</v>
      </c>
      <c r="G165" s="37">
        <v>7</v>
      </c>
      <c r="H165" s="37">
        <v>8</v>
      </c>
      <c r="I165" s="37">
        <v>9</v>
      </c>
      <c r="J165" s="37">
        <v>10</v>
      </c>
      <c r="K165" s="37">
        <v>11</v>
      </c>
      <c r="L165" s="37">
        <v>12</v>
      </c>
      <c r="M165" s="37">
        <v>13</v>
      </c>
      <c r="N165" s="37">
        <v>14</v>
      </c>
      <c r="O165" s="37">
        <v>15</v>
      </c>
      <c r="P165" s="229">
        <v>16</v>
      </c>
      <c r="Q165" s="37">
        <v>15</v>
      </c>
      <c r="R165" s="45"/>
    </row>
    <row r="166" spans="1:18" x14ac:dyDescent="0.25">
      <c r="A166" s="233">
        <v>1</v>
      </c>
      <c r="B166" s="78" t="s">
        <v>191</v>
      </c>
      <c r="C166" s="233">
        <v>743144</v>
      </c>
      <c r="D166" s="233">
        <v>474098</v>
      </c>
      <c r="E166" s="47">
        <f>C166/D166*100</f>
        <v>156.74902657256519</v>
      </c>
      <c r="F166" s="233">
        <v>82806</v>
      </c>
      <c r="G166" s="233">
        <v>16100</v>
      </c>
      <c r="H166" s="47">
        <f>F166/G166*100</f>
        <v>514.32298136645954</v>
      </c>
      <c r="I166" s="233">
        <v>705479</v>
      </c>
      <c r="J166" s="233">
        <v>395548</v>
      </c>
      <c r="K166" s="47">
        <f>I166/J166*100</f>
        <v>178.35483936210017</v>
      </c>
      <c r="L166" s="233">
        <f>126535+74337</f>
        <v>200872</v>
      </c>
      <c r="M166" s="233">
        <f>67688+9200</f>
        <v>76888</v>
      </c>
      <c r="N166" s="47">
        <f t="shared" ref="N166" si="84">L166/M166*100</f>
        <v>261.25273124544793</v>
      </c>
      <c r="O166" s="233">
        <v>75</v>
      </c>
      <c r="P166" s="233">
        <v>71</v>
      </c>
      <c r="Q166" s="233">
        <v>75</v>
      </c>
      <c r="R166" s="45">
        <f>O166*P166</f>
        <v>5325</v>
      </c>
    </row>
    <row r="167" spans="1:18" x14ac:dyDescent="0.25">
      <c r="A167" s="233">
        <v>2</v>
      </c>
      <c r="B167" s="146" t="s">
        <v>192</v>
      </c>
      <c r="C167" s="233">
        <v>857473</v>
      </c>
      <c r="D167" s="233">
        <v>0</v>
      </c>
      <c r="E167" s="47">
        <v>0</v>
      </c>
      <c r="F167" s="233">
        <v>205205</v>
      </c>
      <c r="G167" s="233"/>
      <c r="H167" s="47">
        <v>0</v>
      </c>
      <c r="I167" s="233">
        <v>911559</v>
      </c>
      <c r="J167" s="233">
        <v>0</v>
      </c>
      <c r="K167" s="47">
        <v>0</v>
      </c>
      <c r="L167" s="233">
        <v>17776</v>
      </c>
      <c r="M167" s="233">
        <v>0</v>
      </c>
      <c r="N167" s="34">
        <v>0</v>
      </c>
      <c r="O167" s="233">
        <v>31</v>
      </c>
      <c r="P167" s="233">
        <v>85</v>
      </c>
      <c r="Q167" s="233">
        <v>31</v>
      </c>
      <c r="R167" s="45">
        <f>O167*P167</f>
        <v>2635</v>
      </c>
    </row>
    <row r="168" spans="1:18" x14ac:dyDescent="0.25">
      <c r="A168" s="233">
        <v>3</v>
      </c>
      <c r="B168" s="146" t="s">
        <v>193</v>
      </c>
      <c r="C168" s="233">
        <v>1380001</v>
      </c>
      <c r="D168" s="233">
        <v>1474480</v>
      </c>
      <c r="E168" s="47">
        <f>C168/D168*100</f>
        <v>93.592385112039494</v>
      </c>
      <c r="F168" s="233">
        <v>304061</v>
      </c>
      <c r="G168" s="233">
        <v>265365</v>
      </c>
      <c r="H168" s="47">
        <f>F168/G168*100</f>
        <v>114.5821792625252</v>
      </c>
      <c r="I168" s="233">
        <v>1159770</v>
      </c>
      <c r="J168" s="233">
        <v>1474480</v>
      </c>
      <c r="K168" s="47">
        <f>I168/J168*100</f>
        <v>78.656204221149153</v>
      </c>
      <c r="L168" s="233">
        <v>0</v>
      </c>
      <c r="M168" s="233">
        <v>0</v>
      </c>
      <c r="N168" s="34">
        <v>0</v>
      </c>
      <c r="O168" s="233"/>
      <c r="P168" s="233">
        <v>100</v>
      </c>
      <c r="Q168" s="233">
        <v>420</v>
      </c>
      <c r="R168" s="45">
        <f>O168*P168</f>
        <v>0</v>
      </c>
    </row>
    <row r="169" spans="1:18" x14ac:dyDescent="0.25">
      <c r="A169" s="315" t="s">
        <v>190</v>
      </c>
      <c r="B169" s="315" t="s">
        <v>109</v>
      </c>
      <c r="C169" s="56">
        <f>SUM(C166:C168)</f>
        <v>2980618</v>
      </c>
      <c r="D169" s="56">
        <f>SUM(D166:D168)</f>
        <v>1948578</v>
      </c>
      <c r="E169" s="57">
        <f>C169/D169*100</f>
        <v>152.96375100201277</v>
      </c>
      <c r="F169" s="56">
        <f>SUM(F166:F168)</f>
        <v>592072</v>
      </c>
      <c r="G169" s="56">
        <f>SUM(G166:G168)</f>
        <v>281465</v>
      </c>
      <c r="H169" s="57">
        <f>F169/G169*100</f>
        <v>210.3536851828824</v>
      </c>
      <c r="I169" s="56">
        <f>SUM(I166:I168)</f>
        <v>2776808</v>
      </c>
      <c r="J169" s="56">
        <f>SUM(J166:J168)</f>
        <v>1870028</v>
      </c>
      <c r="K169" s="57">
        <f>I169/J169*100</f>
        <v>148.49018303469254</v>
      </c>
      <c r="L169" s="56">
        <f>SUM(L166:L168)</f>
        <v>218648</v>
      </c>
      <c r="M169" s="56">
        <f>SUM(M166:M168)</f>
        <v>76888</v>
      </c>
      <c r="N169" s="57">
        <v>0</v>
      </c>
      <c r="O169" s="56">
        <f>SUM(O166:O168)</f>
        <v>106</v>
      </c>
      <c r="P169" s="58">
        <f>R169/O169</f>
        <v>75.094339622641513</v>
      </c>
      <c r="Q169" s="56">
        <f>SUM(Q166:Q168)</f>
        <v>526</v>
      </c>
      <c r="R169" s="59">
        <f>SUM(R166:R168)</f>
        <v>7960</v>
      </c>
    </row>
    <row r="170" spans="1:18" x14ac:dyDescent="0.25">
      <c r="A170" s="102"/>
      <c r="B170" s="103"/>
      <c r="C170" s="104"/>
      <c r="D170" s="220"/>
      <c r="E170" s="221"/>
      <c r="F170" s="222"/>
      <c r="G170" s="104"/>
      <c r="H170" s="105"/>
      <c r="I170" s="104"/>
      <c r="J170" s="104"/>
      <c r="K170" s="105"/>
      <c r="L170" s="220"/>
      <c r="M170" s="176"/>
      <c r="N170" s="177"/>
      <c r="O170" s="176"/>
      <c r="P170" s="104"/>
      <c r="Q170" s="176"/>
      <c r="R170" s="106"/>
    </row>
    <row r="171" spans="1:18" x14ac:dyDescent="0.25">
      <c r="A171" s="319" t="s">
        <v>140</v>
      </c>
      <c r="B171" s="320"/>
      <c r="C171" s="37">
        <v>3</v>
      </c>
      <c r="D171" s="37">
        <v>4</v>
      </c>
      <c r="E171" s="229">
        <v>5</v>
      </c>
      <c r="F171" s="37">
        <v>6</v>
      </c>
      <c r="G171" s="37">
        <v>7</v>
      </c>
      <c r="H171" s="37">
        <v>8</v>
      </c>
      <c r="I171" s="37">
        <v>9</v>
      </c>
      <c r="J171" s="37">
        <v>10</v>
      </c>
      <c r="K171" s="37">
        <v>11</v>
      </c>
      <c r="L171" s="37">
        <v>12</v>
      </c>
      <c r="M171" s="27">
        <v>13</v>
      </c>
      <c r="N171" s="27">
        <v>14</v>
      </c>
      <c r="O171" s="27">
        <v>15</v>
      </c>
      <c r="P171" s="229">
        <v>16</v>
      </c>
      <c r="Q171" s="27">
        <v>15</v>
      </c>
      <c r="R171" s="23"/>
    </row>
    <row r="172" spans="1:18" x14ac:dyDescent="0.25">
      <c r="A172" s="102">
        <v>1</v>
      </c>
      <c r="B172" s="113" t="s">
        <v>141</v>
      </c>
      <c r="C172" s="96">
        <v>278</v>
      </c>
      <c r="D172" s="96">
        <v>4191</v>
      </c>
      <c r="E172" s="97">
        <f t="shared" ref="E172:E181" si="85">C172/D172*100</f>
        <v>6.6332617513719878</v>
      </c>
      <c r="F172" s="96">
        <v>0</v>
      </c>
      <c r="G172" s="96">
        <v>285</v>
      </c>
      <c r="H172" s="96">
        <v>0</v>
      </c>
      <c r="I172" s="96">
        <v>23805</v>
      </c>
      <c r="J172" s="96">
        <v>22380</v>
      </c>
      <c r="K172" s="97">
        <f t="shared" ref="K172:K181" si="86">I172/J172*100</f>
        <v>106.36729222520107</v>
      </c>
      <c r="L172" s="96">
        <v>0</v>
      </c>
      <c r="M172" s="96">
        <v>0</v>
      </c>
      <c r="N172" s="96">
        <v>0</v>
      </c>
      <c r="O172" s="96">
        <v>75</v>
      </c>
      <c r="P172" s="96">
        <v>100</v>
      </c>
      <c r="Q172" s="96">
        <v>71</v>
      </c>
      <c r="R172" s="45">
        <f t="shared" ref="R172:R181" si="87">O172*P172</f>
        <v>7500</v>
      </c>
    </row>
    <row r="173" spans="1:18" x14ac:dyDescent="0.25">
      <c r="A173" s="112">
        <v>2</v>
      </c>
      <c r="B173" s="113" t="s">
        <v>142</v>
      </c>
      <c r="C173" s="96">
        <v>757481</v>
      </c>
      <c r="D173" s="96">
        <v>540361</v>
      </c>
      <c r="E173" s="97">
        <f t="shared" si="85"/>
        <v>140.18054596834338</v>
      </c>
      <c r="F173" s="96">
        <v>276449</v>
      </c>
      <c r="G173" s="96">
        <v>184788</v>
      </c>
      <c r="H173" s="96">
        <f t="shared" ref="H173:H181" si="88">F173/G173*100</f>
        <v>149.60332922051217</v>
      </c>
      <c r="I173" s="96">
        <v>757481</v>
      </c>
      <c r="J173" s="96">
        <v>540361</v>
      </c>
      <c r="K173" s="96">
        <f t="shared" si="86"/>
        <v>140.18054596834338</v>
      </c>
      <c r="L173" s="96">
        <v>757481</v>
      </c>
      <c r="M173" s="96">
        <v>540361</v>
      </c>
      <c r="N173" s="96">
        <f t="shared" ref="N173:N181" si="89">L173/M173*100</f>
        <v>140.18054596834338</v>
      </c>
      <c r="O173" s="96">
        <v>125</v>
      </c>
      <c r="P173" s="96">
        <v>105</v>
      </c>
      <c r="Q173" s="96">
        <v>130</v>
      </c>
      <c r="R173" s="45">
        <f t="shared" si="87"/>
        <v>13125</v>
      </c>
    </row>
    <row r="174" spans="1:18" s="80" customFormat="1" x14ac:dyDescent="0.25">
      <c r="A174" s="102">
        <v>3</v>
      </c>
      <c r="B174" s="113" t="s">
        <v>143</v>
      </c>
      <c r="C174" s="96">
        <v>0</v>
      </c>
      <c r="D174" s="96">
        <v>97150</v>
      </c>
      <c r="E174" s="96">
        <f t="shared" si="85"/>
        <v>0</v>
      </c>
      <c r="F174" s="96">
        <v>0</v>
      </c>
      <c r="G174" s="96">
        <v>494</v>
      </c>
      <c r="H174" s="96">
        <f t="shared" si="88"/>
        <v>0</v>
      </c>
      <c r="I174" s="96">
        <v>0</v>
      </c>
      <c r="J174" s="96">
        <v>95041</v>
      </c>
      <c r="K174" s="96">
        <f t="shared" si="86"/>
        <v>0</v>
      </c>
      <c r="L174" s="96">
        <v>0</v>
      </c>
      <c r="M174" s="96">
        <v>88047</v>
      </c>
      <c r="N174" s="96">
        <f t="shared" si="89"/>
        <v>0</v>
      </c>
      <c r="O174" s="96">
        <v>10</v>
      </c>
      <c r="P174" s="96">
        <v>46</v>
      </c>
      <c r="Q174" s="96">
        <v>10</v>
      </c>
      <c r="R174" s="45">
        <f t="shared" si="87"/>
        <v>460</v>
      </c>
    </row>
    <row r="175" spans="1:18" x14ac:dyDescent="0.25">
      <c r="A175" s="112">
        <v>4</v>
      </c>
      <c r="B175" s="113" t="s">
        <v>144</v>
      </c>
      <c r="C175" s="96">
        <v>3562526</v>
      </c>
      <c r="D175" s="96">
        <v>2980206</v>
      </c>
      <c r="E175" s="114">
        <f t="shared" si="85"/>
        <v>119.53958887405769</v>
      </c>
      <c r="F175" s="96">
        <v>930758</v>
      </c>
      <c r="G175" s="96">
        <v>605471</v>
      </c>
      <c r="H175" s="114">
        <f t="shared" si="88"/>
        <v>153.72462099753744</v>
      </c>
      <c r="I175" s="96">
        <v>3562526</v>
      </c>
      <c r="J175" s="96">
        <v>2980206</v>
      </c>
      <c r="K175" s="114">
        <f t="shared" si="86"/>
        <v>119.53958887405769</v>
      </c>
      <c r="L175" s="96">
        <v>3562526</v>
      </c>
      <c r="M175" s="96">
        <v>2980206</v>
      </c>
      <c r="N175" s="47">
        <f t="shared" si="89"/>
        <v>119.53958887405769</v>
      </c>
      <c r="O175" s="96">
        <v>139</v>
      </c>
      <c r="P175" s="115">
        <v>135</v>
      </c>
      <c r="Q175" s="96">
        <v>148</v>
      </c>
      <c r="R175" s="45">
        <f t="shared" si="87"/>
        <v>18765</v>
      </c>
    </row>
    <row r="176" spans="1:18" x14ac:dyDescent="0.25">
      <c r="A176" s="102">
        <v>5</v>
      </c>
      <c r="B176" s="113" t="s">
        <v>145</v>
      </c>
      <c r="C176" s="96">
        <v>531430</v>
      </c>
      <c r="D176" s="96">
        <v>1559837</v>
      </c>
      <c r="E176" s="114">
        <f t="shared" si="85"/>
        <v>34.069585475918316</v>
      </c>
      <c r="F176" s="96">
        <v>89063</v>
      </c>
      <c r="G176" s="96">
        <v>216683</v>
      </c>
      <c r="H176" s="114">
        <f t="shared" si="88"/>
        <v>41.10290147358122</v>
      </c>
      <c r="I176" s="96">
        <v>769698</v>
      </c>
      <c r="J176" s="96">
        <v>1543996</v>
      </c>
      <c r="K176" s="114">
        <f t="shared" si="86"/>
        <v>49.851035883512651</v>
      </c>
      <c r="L176" s="96">
        <v>776782</v>
      </c>
      <c r="M176" s="96">
        <v>1543996</v>
      </c>
      <c r="N176" s="47">
        <f t="shared" si="89"/>
        <v>50.309845362293679</v>
      </c>
      <c r="O176" s="96">
        <v>40</v>
      </c>
      <c r="P176" s="96">
        <v>41</v>
      </c>
      <c r="Q176" s="96">
        <v>41</v>
      </c>
      <c r="R176" s="45">
        <f t="shared" si="87"/>
        <v>1640</v>
      </c>
    </row>
    <row r="177" spans="1:18" x14ac:dyDescent="0.25">
      <c r="A177" s="112">
        <v>6</v>
      </c>
      <c r="B177" s="113" t="s">
        <v>146</v>
      </c>
      <c r="C177" s="233">
        <v>0</v>
      </c>
      <c r="D177" s="233">
        <v>0</v>
      </c>
      <c r="E177" s="43">
        <v>0</v>
      </c>
      <c r="F177" s="233">
        <v>0</v>
      </c>
      <c r="G177" s="233">
        <v>0</v>
      </c>
      <c r="H177" s="43">
        <v>0</v>
      </c>
      <c r="I177" s="233">
        <v>0</v>
      </c>
      <c r="J177" s="233">
        <v>0</v>
      </c>
      <c r="K177" s="43">
        <v>0</v>
      </c>
      <c r="L177" s="233">
        <v>0</v>
      </c>
      <c r="M177" s="233">
        <v>0</v>
      </c>
      <c r="N177" s="47">
        <v>0</v>
      </c>
      <c r="O177" s="233">
        <v>0</v>
      </c>
      <c r="P177" s="44">
        <v>0</v>
      </c>
      <c r="Q177" s="233">
        <v>0</v>
      </c>
      <c r="R177" s="45">
        <f t="shared" si="87"/>
        <v>0</v>
      </c>
    </row>
    <row r="178" spans="1:18" x14ac:dyDescent="0.25">
      <c r="A178" s="102">
        <v>7</v>
      </c>
      <c r="B178" s="113" t="s">
        <v>147</v>
      </c>
      <c r="C178" s="96">
        <v>1793181</v>
      </c>
      <c r="D178" s="96">
        <v>2614925</v>
      </c>
      <c r="E178" s="114">
        <f t="shared" si="85"/>
        <v>68.574853963306794</v>
      </c>
      <c r="F178" s="96">
        <v>74432</v>
      </c>
      <c r="G178" s="96">
        <v>0</v>
      </c>
      <c r="H178" s="47" t="e">
        <f t="shared" si="88"/>
        <v>#DIV/0!</v>
      </c>
      <c r="I178" s="96">
        <v>1808122</v>
      </c>
      <c r="J178" s="96">
        <v>2498702</v>
      </c>
      <c r="K178" s="47">
        <f t="shared" si="86"/>
        <v>72.362450584343392</v>
      </c>
      <c r="L178" s="96">
        <v>1791950</v>
      </c>
      <c r="M178" s="96">
        <v>2498075</v>
      </c>
      <c r="N178" s="47">
        <f t="shared" si="89"/>
        <v>71.733234590634794</v>
      </c>
      <c r="O178" s="96">
        <v>52</v>
      </c>
      <c r="P178" s="96">
        <v>80</v>
      </c>
      <c r="Q178" s="96">
        <v>72</v>
      </c>
      <c r="R178" s="45">
        <f t="shared" si="87"/>
        <v>4160</v>
      </c>
    </row>
    <row r="179" spans="1:18" x14ac:dyDescent="0.25">
      <c r="A179" s="112">
        <v>8</v>
      </c>
      <c r="B179" s="113" t="s">
        <v>148</v>
      </c>
      <c r="C179" s="96">
        <v>574870</v>
      </c>
      <c r="D179" s="96">
        <v>708086</v>
      </c>
      <c r="E179" s="76">
        <f t="shared" si="85"/>
        <v>81.186466050733955</v>
      </c>
      <c r="F179" s="96">
        <v>80847</v>
      </c>
      <c r="G179" s="96">
        <v>229117</v>
      </c>
      <c r="H179" s="76">
        <f t="shared" si="88"/>
        <v>35.286338420981423</v>
      </c>
      <c r="I179" s="96">
        <v>574870</v>
      </c>
      <c r="J179" s="96">
        <v>708086</v>
      </c>
      <c r="K179" s="76">
        <f t="shared" si="86"/>
        <v>81.186466050733955</v>
      </c>
      <c r="L179" s="96">
        <v>574870</v>
      </c>
      <c r="M179" s="96">
        <v>708086</v>
      </c>
      <c r="N179" s="76">
        <f t="shared" si="89"/>
        <v>81.186466050733955</v>
      </c>
      <c r="O179" s="76">
        <v>37</v>
      </c>
      <c r="P179" s="76">
        <v>121</v>
      </c>
      <c r="Q179" s="76">
        <v>39</v>
      </c>
      <c r="R179" s="45">
        <f t="shared" si="87"/>
        <v>4477</v>
      </c>
    </row>
    <row r="180" spans="1:18" x14ac:dyDescent="0.25">
      <c r="A180" s="102">
        <v>9</v>
      </c>
      <c r="B180" s="113" t="s">
        <v>149</v>
      </c>
      <c r="C180" s="96">
        <v>223410</v>
      </c>
      <c r="D180" s="96">
        <v>113169</v>
      </c>
      <c r="E180" s="47">
        <f t="shared" si="85"/>
        <v>197.41271903083</v>
      </c>
      <c r="F180" s="96">
        <v>0</v>
      </c>
      <c r="G180" s="96">
        <v>470</v>
      </c>
      <c r="H180" s="47">
        <f t="shared" si="88"/>
        <v>0</v>
      </c>
      <c r="I180" s="96">
        <v>223410</v>
      </c>
      <c r="J180" s="96">
        <v>113169</v>
      </c>
      <c r="K180" s="47">
        <f t="shared" si="86"/>
        <v>197.41271903083</v>
      </c>
      <c r="L180" s="96">
        <v>223410</v>
      </c>
      <c r="M180" s="96">
        <v>113169</v>
      </c>
      <c r="N180" s="47">
        <f t="shared" si="89"/>
        <v>197.41271903083</v>
      </c>
      <c r="O180" s="96">
        <v>8</v>
      </c>
      <c r="P180" s="96">
        <v>55</v>
      </c>
      <c r="Q180" s="96">
        <v>8</v>
      </c>
      <c r="R180" s="45">
        <f t="shared" si="87"/>
        <v>440</v>
      </c>
    </row>
    <row r="181" spans="1:18" x14ac:dyDescent="0.25">
      <c r="A181" s="112">
        <v>10</v>
      </c>
      <c r="B181" s="113" t="s">
        <v>150</v>
      </c>
      <c r="C181" s="96">
        <v>149262</v>
      </c>
      <c r="D181" s="96">
        <v>206184</v>
      </c>
      <c r="E181" s="47">
        <f t="shared" si="85"/>
        <v>72.392620183913408</v>
      </c>
      <c r="F181" s="96">
        <v>17252</v>
      </c>
      <c r="G181" s="96">
        <v>35873</v>
      </c>
      <c r="H181" s="47">
        <f t="shared" si="88"/>
        <v>48.091879686672428</v>
      </c>
      <c r="I181" s="96">
        <v>149262</v>
      </c>
      <c r="J181" s="96">
        <v>206184</v>
      </c>
      <c r="K181" s="47">
        <f t="shared" si="86"/>
        <v>72.392620183913408</v>
      </c>
      <c r="L181" s="96">
        <f>147574+1688</f>
        <v>149262</v>
      </c>
      <c r="M181" s="96">
        <f>88969+117215</f>
        <v>206184</v>
      </c>
      <c r="N181" s="47">
        <f t="shared" si="89"/>
        <v>72.392620183913408</v>
      </c>
      <c r="O181" s="96"/>
      <c r="P181" s="96">
        <v>50</v>
      </c>
      <c r="Q181" s="96">
        <v>24</v>
      </c>
      <c r="R181" s="45">
        <f t="shared" si="87"/>
        <v>0</v>
      </c>
    </row>
    <row r="182" spans="1:18" s="60" customFormat="1" x14ac:dyDescent="0.25">
      <c r="A182" s="315" t="s">
        <v>173</v>
      </c>
      <c r="B182" s="315" t="s">
        <v>139</v>
      </c>
      <c r="C182" s="58">
        <f>SUM(C172:C181)</f>
        <v>7592438</v>
      </c>
      <c r="D182" s="58">
        <f>SUM(D172:D181)</f>
        <v>8824109</v>
      </c>
      <c r="E182" s="57">
        <f>C182/D182*100</f>
        <v>86.041978855882221</v>
      </c>
      <c r="F182" s="58">
        <f>SUM(F172:F181)</f>
        <v>1468801</v>
      </c>
      <c r="G182" s="58">
        <f>SUM(G172:G181)</f>
        <v>1273181</v>
      </c>
      <c r="H182" s="57">
        <f>F182/G182*100</f>
        <v>115.36466535394419</v>
      </c>
      <c r="I182" s="58">
        <f>SUM(I172:I181)</f>
        <v>7869174</v>
      </c>
      <c r="J182" s="58">
        <f>SUM(J172:J181)</f>
        <v>8708125</v>
      </c>
      <c r="K182" s="57">
        <f>I182/J182*100</f>
        <v>90.365882437378886</v>
      </c>
      <c r="L182" s="58">
        <f>SUM(L172:L181)</f>
        <v>7836281</v>
      </c>
      <c r="M182" s="56">
        <f>SUM(M172:M181)</f>
        <v>8678124</v>
      </c>
      <c r="N182" s="57">
        <f>L182/M182*100</f>
        <v>90.299251312841349</v>
      </c>
      <c r="O182" s="58">
        <f>SUM(O172:O181)</f>
        <v>486</v>
      </c>
      <c r="P182" s="57">
        <f>R182/O182</f>
        <v>104.04732510288066</v>
      </c>
      <c r="Q182" s="58">
        <f>SUM(Q172:Q181)</f>
        <v>543</v>
      </c>
      <c r="R182" s="59">
        <f>SUM(R172:R181)</f>
        <v>50567</v>
      </c>
    </row>
    <row r="183" spans="1:18" x14ac:dyDescent="0.25">
      <c r="A183" s="117"/>
      <c r="B183" s="117"/>
      <c r="C183" s="98"/>
      <c r="D183" s="98"/>
      <c r="E183" s="97"/>
      <c r="F183" s="118"/>
      <c r="G183" s="118"/>
      <c r="H183" s="97"/>
      <c r="I183" s="233"/>
      <c r="J183" s="233"/>
      <c r="K183" s="119"/>
      <c r="L183" s="233"/>
      <c r="M183" s="233"/>
      <c r="N183" s="233"/>
      <c r="O183" s="233"/>
      <c r="P183" s="62"/>
      <c r="Q183" s="233"/>
      <c r="R183" s="31"/>
    </row>
    <row r="184" spans="1:18" x14ac:dyDescent="0.25">
      <c r="A184" s="321" t="s">
        <v>151</v>
      </c>
      <c r="B184" s="322"/>
      <c r="C184" s="37">
        <v>3</v>
      </c>
      <c r="D184" s="37">
        <v>4</v>
      </c>
      <c r="E184" s="229">
        <v>5</v>
      </c>
      <c r="F184" s="37">
        <v>6</v>
      </c>
      <c r="G184" s="37">
        <v>7</v>
      </c>
      <c r="H184" s="37">
        <v>8</v>
      </c>
      <c r="I184" s="37">
        <v>9</v>
      </c>
      <c r="J184" s="37">
        <v>10</v>
      </c>
      <c r="K184" s="37">
        <v>11</v>
      </c>
      <c r="L184" s="37">
        <v>12</v>
      </c>
      <c r="M184" s="37">
        <v>13</v>
      </c>
      <c r="N184" s="37">
        <v>14</v>
      </c>
      <c r="O184" s="37">
        <v>15</v>
      </c>
      <c r="P184" s="229">
        <v>16</v>
      </c>
      <c r="Q184" s="37">
        <v>15</v>
      </c>
      <c r="R184" s="31"/>
    </row>
    <row r="185" spans="1:18" x14ac:dyDescent="0.25">
      <c r="A185" s="118">
        <v>1</v>
      </c>
      <c r="B185" s="120" t="s">
        <v>152</v>
      </c>
      <c r="C185" s="96">
        <v>570094</v>
      </c>
      <c r="D185" s="96">
        <v>525507</v>
      </c>
      <c r="E185" s="156">
        <f t="shared" ref="E185:E195" si="90">IF(OR(C185=0,D185=0),0,C185/D185*100)</f>
        <v>108.48456823600827</v>
      </c>
      <c r="F185" s="96">
        <v>60608</v>
      </c>
      <c r="G185" s="96">
        <v>43891</v>
      </c>
      <c r="H185" s="156">
        <f t="shared" ref="H185:H195" si="91">IF(OR(F185=0,G185=0),0,F185/G185*100)</f>
        <v>138.08753502996058</v>
      </c>
      <c r="I185" s="96">
        <v>449142</v>
      </c>
      <c r="J185" s="96">
        <v>530152</v>
      </c>
      <c r="K185" s="156">
        <f t="shared" ref="K185:K195" si="92">IF(OR(I185=0,J185=0),0,I185/J185*100)</f>
        <v>84.71947667838657</v>
      </c>
      <c r="L185" s="96">
        <v>0</v>
      </c>
      <c r="M185" s="96">
        <v>0</v>
      </c>
      <c r="N185" s="49">
        <f t="shared" ref="N185:N195" si="93">IF(OR(L185=0,M185=0),0,L185/M185*100)</f>
        <v>0</v>
      </c>
      <c r="O185" s="96">
        <v>338</v>
      </c>
      <c r="P185" s="76">
        <v>241.2</v>
      </c>
      <c r="Q185" s="49">
        <v>341</v>
      </c>
      <c r="R185" s="74">
        <f t="shared" ref="R185:R195" si="94">O185*P185</f>
        <v>81525.599999999991</v>
      </c>
    </row>
    <row r="186" spans="1:18" x14ac:dyDescent="0.25">
      <c r="A186" s="118">
        <v>2</v>
      </c>
      <c r="B186" s="120" t="s">
        <v>154</v>
      </c>
      <c r="C186" s="96">
        <v>85580</v>
      </c>
      <c r="D186" s="96">
        <v>390873</v>
      </c>
      <c r="E186" s="156">
        <f t="shared" si="90"/>
        <v>21.894579569323028</v>
      </c>
      <c r="F186" s="96">
        <v>9918</v>
      </c>
      <c r="G186" s="96">
        <v>5441</v>
      </c>
      <c r="H186" s="156">
        <f t="shared" si="91"/>
        <v>182.28266862709063</v>
      </c>
      <c r="I186" s="96">
        <v>93536</v>
      </c>
      <c r="J186" s="96">
        <v>366460</v>
      </c>
      <c r="K186" s="156">
        <f t="shared" si="92"/>
        <v>25.524204551656389</v>
      </c>
      <c r="L186" s="96">
        <v>93336</v>
      </c>
      <c r="M186" s="96">
        <v>366460</v>
      </c>
      <c r="N186" s="156">
        <f t="shared" si="93"/>
        <v>25.469628335971183</v>
      </c>
      <c r="O186" s="96">
        <v>47</v>
      </c>
      <c r="P186" s="96">
        <v>130</v>
      </c>
      <c r="Q186" s="49">
        <v>47</v>
      </c>
      <c r="R186" s="74">
        <f t="shared" si="94"/>
        <v>6110</v>
      </c>
    </row>
    <row r="187" spans="1:18" x14ac:dyDescent="0.25">
      <c r="A187" s="118">
        <v>3</v>
      </c>
      <c r="B187" s="120" t="s">
        <v>155</v>
      </c>
      <c r="C187" s="96">
        <v>5689</v>
      </c>
      <c r="D187" s="96">
        <v>43886</v>
      </c>
      <c r="E187" s="156">
        <f t="shared" si="90"/>
        <v>12.963131750444335</v>
      </c>
      <c r="F187" s="96">
        <v>950</v>
      </c>
      <c r="G187" s="96">
        <v>794</v>
      </c>
      <c r="H187" s="156">
        <f t="shared" si="91"/>
        <v>119.64735516372795</v>
      </c>
      <c r="I187" s="96">
        <v>2758</v>
      </c>
      <c r="J187" s="96">
        <v>4386</v>
      </c>
      <c r="K187" s="156">
        <f t="shared" si="92"/>
        <v>62.881896944824447</v>
      </c>
      <c r="L187" s="96">
        <v>0</v>
      </c>
      <c r="M187" s="96">
        <v>0</v>
      </c>
      <c r="N187" s="49">
        <f t="shared" si="93"/>
        <v>0</v>
      </c>
      <c r="O187" s="96">
        <v>29</v>
      </c>
      <c r="P187" s="96">
        <v>40</v>
      </c>
      <c r="Q187" s="49">
        <v>29</v>
      </c>
      <c r="R187" s="45">
        <f t="shared" si="94"/>
        <v>1160</v>
      </c>
    </row>
    <row r="188" spans="1:18" ht="36" x14ac:dyDescent="0.25">
      <c r="A188" s="118">
        <v>4</v>
      </c>
      <c r="B188" s="121" t="s">
        <v>156</v>
      </c>
      <c r="C188" s="96">
        <v>88431</v>
      </c>
      <c r="D188" s="96">
        <v>83131</v>
      </c>
      <c r="E188" s="156">
        <f t="shared" si="90"/>
        <v>106.3754796646257</v>
      </c>
      <c r="F188" s="96">
        <v>11699</v>
      </c>
      <c r="G188" s="96">
        <v>11203</v>
      </c>
      <c r="H188" s="156">
        <f t="shared" si="91"/>
        <v>104.42738552173525</v>
      </c>
      <c r="I188" s="96">
        <v>0</v>
      </c>
      <c r="J188" s="96">
        <v>0</v>
      </c>
      <c r="K188" s="49">
        <f t="shared" si="92"/>
        <v>0</v>
      </c>
      <c r="L188" s="96">
        <v>0</v>
      </c>
      <c r="M188" s="96">
        <v>0</v>
      </c>
      <c r="N188" s="49">
        <f t="shared" si="93"/>
        <v>0</v>
      </c>
      <c r="O188" s="96">
        <v>86</v>
      </c>
      <c r="P188" s="96">
        <v>87</v>
      </c>
      <c r="Q188" s="49">
        <v>86</v>
      </c>
      <c r="R188" s="45">
        <f t="shared" si="94"/>
        <v>7482</v>
      </c>
    </row>
    <row r="189" spans="1:18" x14ac:dyDescent="0.25">
      <c r="A189" s="118">
        <v>5</v>
      </c>
      <c r="B189" s="122" t="s">
        <v>157</v>
      </c>
      <c r="C189" s="96">
        <v>889</v>
      </c>
      <c r="D189" s="96">
        <v>291</v>
      </c>
      <c r="E189" s="156">
        <f>IF(OR(C189=0,D189=0),0,C189/D189*100)</f>
        <v>305.49828178694156</v>
      </c>
      <c r="F189" s="96">
        <v>250</v>
      </c>
      <c r="G189" s="96">
        <v>0</v>
      </c>
      <c r="H189" s="49">
        <f t="shared" si="91"/>
        <v>0</v>
      </c>
      <c r="I189" s="96">
        <v>889</v>
      </c>
      <c r="J189" s="96">
        <v>291</v>
      </c>
      <c r="K189" s="49">
        <f t="shared" si="92"/>
        <v>305.49828178694156</v>
      </c>
      <c r="L189" s="96">
        <v>0</v>
      </c>
      <c r="M189" s="96">
        <v>0</v>
      </c>
      <c r="N189" s="49">
        <f t="shared" si="93"/>
        <v>0</v>
      </c>
      <c r="O189" s="96">
        <v>30</v>
      </c>
      <c r="P189" s="76">
        <v>15.8</v>
      </c>
      <c r="Q189" s="49">
        <v>32</v>
      </c>
      <c r="R189" s="45">
        <f t="shared" si="94"/>
        <v>474</v>
      </c>
    </row>
    <row r="190" spans="1:18" x14ac:dyDescent="0.25">
      <c r="A190" s="118">
        <v>6</v>
      </c>
      <c r="B190" s="120" t="s">
        <v>158</v>
      </c>
      <c r="C190" s="96">
        <v>12015</v>
      </c>
      <c r="D190" s="96">
        <v>18160</v>
      </c>
      <c r="E190" s="156">
        <f t="shared" si="90"/>
        <v>66.161894273127757</v>
      </c>
      <c r="F190" s="96">
        <v>1565</v>
      </c>
      <c r="G190" s="96">
        <v>3991</v>
      </c>
      <c r="H190" s="156">
        <f t="shared" si="91"/>
        <v>39.213229766975694</v>
      </c>
      <c r="I190" s="96">
        <v>12015</v>
      </c>
      <c r="J190" s="96">
        <v>18160</v>
      </c>
      <c r="K190" s="156">
        <f t="shared" si="92"/>
        <v>66.161894273127757</v>
      </c>
      <c r="L190" s="96">
        <v>0</v>
      </c>
      <c r="M190" s="96">
        <v>0</v>
      </c>
      <c r="N190" s="49">
        <f t="shared" si="93"/>
        <v>0</v>
      </c>
      <c r="O190" s="96">
        <v>17</v>
      </c>
      <c r="P190" s="76">
        <v>34.1</v>
      </c>
      <c r="Q190" s="49">
        <v>17</v>
      </c>
      <c r="R190" s="45">
        <f t="shared" si="94"/>
        <v>579.70000000000005</v>
      </c>
    </row>
    <row r="191" spans="1:18" x14ac:dyDescent="0.25">
      <c r="A191" s="118">
        <v>7</v>
      </c>
      <c r="B191" s="120" t="s">
        <v>159</v>
      </c>
      <c r="C191" s="96">
        <v>35067</v>
      </c>
      <c r="D191" s="96">
        <v>46344</v>
      </c>
      <c r="E191" s="156">
        <f t="shared" si="90"/>
        <v>75.666752977731747</v>
      </c>
      <c r="F191" s="96">
        <v>5582</v>
      </c>
      <c r="G191" s="96">
        <v>9633</v>
      </c>
      <c r="H191" s="156">
        <f t="shared" si="91"/>
        <v>57.946641752309766</v>
      </c>
      <c r="I191" s="96">
        <v>35067</v>
      </c>
      <c r="J191" s="96">
        <v>46344</v>
      </c>
      <c r="K191" s="156">
        <f t="shared" si="92"/>
        <v>75.666752977731747</v>
      </c>
      <c r="L191" s="96">
        <v>0</v>
      </c>
      <c r="M191" s="96">
        <v>0</v>
      </c>
      <c r="N191" s="49">
        <f t="shared" si="93"/>
        <v>0</v>
      </c>
      <c r="O191" s="96">
        <v>85</v>
      </c>
      <c r="P191" s="76">
        <v>55.8</v>
      </c>
      <c r="Q191" s="49">
        <v>85</v>
      </c>
      <c r="R191" s="45">
        <f t="shared" si="94"/>
        <v>4743</v>
      </c>
    </row>
    <row r="192" spans="1:18" x14ac:dyDescent="0.25">
      <c r="A192" s="118">
        <v>8</v>
      </c>
      <c r="B192" s="120" t="s">
        <v>160</v>
      </c>
      <c r="C192" s="96">
        <v>8095</v>
      </c>
      <c r="D192" s="96">
        <v>5980</v>
      </c>
      <c r="E192" s="156">
        <f t="shared" si="90"/>
        <v>135.36789297658862</v>
      </c>
      <c r="F192" s="96">
        <v>1200</v>
      </c>
      <c r="G192" s="96">
        <v>1050</v>
      </c>
      <c r="H192" s="156">
        <f t="shared" si="91"/>
        <v>114.28571428571428</v>
      </c>
      <c r="I192" s="96">
        <v>0</v>
      </c>
      <c r="J192" s="96">
        <v>0</v>
      </c>
      <c r="K192" s="49">
        <f t="shared" si="92"/>
        <v>0</v>
      </c>
      <c r="L192" s="96">
        <v>0</v>
      </c>
      <c r="M192" s="96">
        <v>0</v>
      </c>
      <c r="N192" s="49">
        <f t="shared" si="93"/>
        <v>0</v>
      </c>
      <c r="O192" s="96">
        <v>12</v>
      </c>
      <c r="P192" s="76">
        <v>69.5</v>
      </c>
      <c r="Q192" s="49">
        <v>12</v>
      </c>
      <c r="R192" s="45">
        <f t="shared" si="94"/>
        <v>834</v>
      </c>
    </row>
    <row r="193" spans="1:18" x14ac:dyDescent="0.25">
      <c r="A193" s="118">
        <v>9</v>
      </c>
      <c r="B193" s="120" t="s">
        <v>161</v>
      </c>
      <c r="C193" s="96">
        <v>39698</v>
      </c>
      <c r="D193" s="96">
        <v>44900</v>
      </c>
      <c r="E193" s="156">
        <f t="shared" si="90"/>
        <v>88.414253897550111</v>
      </c>
      <c r="F193" s="96">
        <v>4200</v>
      </c>
      <c r="G193" s="96">
        <v>7004</v>
      </c>
      <c r="H193" s="156">
        <f t="shared" si="91"/>
        <v>59.965733866362079</v>
      </c>
      <c r="I193" s="96">
        <v>22109</v>
      </c>
      <c r="J193" s="96">
        <v>53877</v>
      </c>
      <c r="K193" s="156">
        <f t="shared" si="92"/>
        <v>41.0360636264083</v>
      </c>
      <c r="L193" s="96">
        <v>0</v>
      </c>
      <c r="M193" s="96">
        <v>0</v>
      </c>
      <c r="N193" s="49">
        <f t="shared" si="93"/>
        <v>0</v>
      </c>
      <c r="O193" s="96">
        <v>23</v>
      </c>
      <c r="P193" s="76">
        <v>79.8</v>
      </c>
      <c r="Q193" s="49">
        <v>23</v>
      </c>
      <c r="R193" s="45">
        <f t="shared" si="94"/>
        <v>1835.3999999999999</v>
      </c>
    </row>
    <row r="194" spans="1:18" x14ac:dyDescent="0.25">
      <c r="A194" s="118">
        <v>10</v>
      </c>
      <c r="B194" s="120" t="s">
        <v>162</v>
      </c>
      <c r="C194" s="96">
        <v>15100</v>
      </c>
      <c r="D194" s="96">
        <v>15131</v>
      </c>
      <c r="E194" s="156">
        <f t="shared" si="90"/>
        <v>99.795122595994982</v>
      </c>
      <c r="F194" s="96">
        <v>1791</v>
      </c>
      <c r="G194" s="96">
        <v>1606</v>
      </c>
      <c r="H194" s="156">
        <f t="shared" si="91"/>
        <v>111.51930261519303</v>
      </c>
      <c r="I194" s="96">
        <v>15100</v>
      </c>
      <c r="J194" s="96">
        <v>15131</v>
      </c>
      <c r="K194" s="49">
        <f t="shared" si="92"/>
        <v>99.795122595994982</v>
      </c>
      <c r="L194" s="96">
        <v>0</v>
      </c>
      <c r="M194" s="96">
        <v>0</v>
      </c>
      <c r="N194" s="49">
        <f t="shared" si="93"/>
        <v>0</v>
      </c>
      <c r="O194" s="96">
        <v>23</v>
      </c>
      <c r="P194" s="76">
        <v>52.4</v>
      </c>
      <c r="Q194" s="49">
        <v>24</v>
      </c>
      <c r="R194" s="74">
        <f t="shared" si="94"/>
        <v>1205.2</v>
      </c>
    </row>
    <row r="195" spans="1:18" x14ac:dyDescent="0.25">
      <c r="A195" s="118">
        <v>11</v>
      </c>
      <c r="B195" s="123" t="s">
        <v>163</v>
      </c>
      <c r="C195" s="96">
        <v>5524</v>
      </c>
      <c r="D195" s="96">
        <v>3965</v>
      </c>
      <c r="E195" s="156">
        <f t="shared" si="90"/>
        <v>139.31904161412359</v>
      </c>
      <c r="F195" s="96">
        <v>1100</v>
      </c>
      <c r="G195" s="96">
        <v>520</v>
      </c>
      <c r="H195" s="156">
        <f t="shared" si="91"/>
        <v>211.53846153846155</v>
      </c>
      <c r="I195" s="96">
        <v>3508</v>
      </c>
      <c r="J195" s="96">
        <v>4467</v>
      </c>
      <c r="K195" s="156">
        <f t="shared" si="92"/>
        <v>78.531452876651002</v>
      </c>
      <c r="L195" s="96">
        <v>0</v>
      </c>
      <c r="M195" s="96">
        <v>0</v>
      </c>
      <c r="N195" s="49">
        <f t="shared" si="93"/>
        <v>0</v>
      </c>
      <c r="O195" s="96">
        <v>26</v>
      </c>
      <c r="P195" s="96">
        <v>54</v>
      </c>
      <c r="Q195" s="49">
        <v>26</v>
      </c>
      <c r="R195" s="45">
        <f t="shared" si="94"/>
        <v>1404</v>
      </c>
    </row>
    <row r="196" spans="1:18" s="60" customFormat="1" x14ac:dyDescent="0.25">
      <c r="A196" s="315" t="s">
        <v>173</v>
      </c>
      <c r="B196" s="315" t="s">
        <v>139</v>
      </c>
      <c r="C196" s="124">
        <f>SUM(C185:C195)</f>
        <v>866182</v>
      </c>
      <c r="D196" s="124">
        <f>SUM(D185:D195)</f>
        <v>1178168</v>
      </c>
      <c r="E196" s="57">
        <f t="shared" ref="E196" si="95">C196/D196*100</f>
        <v>73.519396215140802</v>
      </c>
      <c r="F196" s="124">
        <f>SUM(F185:F195)</f>
        <v>98863</v>
      </c>
      <c r="G196" s="124">
        <f>SUM(G185:G195)</f>
        <v>85133</v>
      </c>
      <c r="H196" s="57">
        <f t="shared" ref="H196" si="96">F196/G196*100</f>
        <v>116.12770605992975</v>
      </c>
      <c r="I196" s="124">
        <f>SUM(I185:I195)</f>
        <v>634124</v>
      </c>
      <c r="J196" s="124">
        <f>SUM(J185:J195)</f>
        <v>1039268</v>
      </c>
      <c r="K196" s="57">
        <f>I196/J196*100</f>
        <v>61.016407702344345</v>
      </c>
      <c r="L196" s="124">
        <f>SUM(L185:L195)</f>
        <v>93336</v>
      </c>
      <c r="M196" s="124">
        <f>SUM(M185:M195)</f>
        <v>366460</v>
      </c>
      <c r="N196" s="57">
        <f>L196/M196*100</f>
        <v>25.469628335971183</v>
      </c>
      <c r="O196" s="124">
        <f>SUM(O185:O195)</f>
        <v>716</v>
      </c>
      <c r="P196" s="57">
        <f>R196/O196</f>
        <v>149.93421787709494</v>
      </c>
      <c r="Q196" s="124">
        <f>SUM(Q185:Q195)</f>
        <v>722</v>
      </c>
      <c r="R196" s="59">
        <f>SUM(R185:R195)</f>
        <v>107352.89999999998</v>
      </c>
    </row>
    <row r="197" spans="1:18" x14ac:dyDescent="0.25">
      <c r="A197" s="125"/>
      <c r="B197" s="37"/>
      <c r="C197" s="125"/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  <c r="N197" s="125"/>
      <c r="O197" s="125"/>
      <c r="P197" s="125"/>
      <c r="Q197" s="125"/>
      <c r="R197" s="126"/>
    </row>
    <row r="198" spans="1:18" x14ac:dyDescent="0.25">
      <c r="A198" s="226"/>
      <c r="B198" s="232"/>
      <c r="C198" s="125"/>
      <c r="D198" s="125"/>
      <c r="E198" s="125"/>
      <c r="F198" s="125"/>
      <c r="G198" s="125"/>
      <c r="H198" s="125"/>
      <c r="I198" s="125"/>
      <c r="J198" s="125"/>
      <c r="K198" s="125"/>
      <c r="L198" s="125"/>
      <c r="M198" s="125"/>
      <c r="N198" s="125"/>
      <c r="O198" s="125"/>
      <c r="P198" s="125"/>
      <c r="Q198" s="125"/>
      <c r="R198" s="126"/>
    </row>
    <row r="199" spans="1:18" x14ac:dyDescent="0.25">
      <c r="A199" s="226"/>
      <c r="B199" s="232"/>
      <c r="C199" s="125"/>
      <c r="D199" s="125"/>
      <c r="E199" s="125"/>
      <c r="F199" s="125"/>
      <c r="G199" s="125"/>
      <c r="H199" s="125"/>
      <c r="I199" s="125"/>
      <c r="J199" s="125"/>
      <c r="K199" s="125"/>
      <c r="L199" s="125"/>
      <c r="M199" s="125"/>
      <c r="N199" s="125"/>
      <c r="O199" s="125"/>
      <c r="P199" s="125"/>
      <c r="Q199" s="125"/>
      <c r="R199" s="126"/>
    </row>
    <row r="200" spans="1:18" x14ac:dyDescent="0.25">
      <c r="A200" s="323" t="s">
        <v>22</v>
      </c>
      <c r="B200" s="324"/>
      <c r="C200" s="37">
        <v>3</v>
      </c>
      <c r="D200" s="37">
        <v>4</v>
      </c>
      <c r="E200" s="229">
        <v>5</v>
      </c>
      <c r="F200" s="37">
        <v>6</v>
      </c>
      <c r="G200" s="37">
        <v>7</v>
      </c>
      <c r="H200" s="37">
        <v>8</v>
      </c>
      <c r="I200" s="37">
        <v>9</v>
      </c>
      <c r="J200" s="37">
        <v>10</v>
      </c>
      <c r="K200" s="37">
        <v>11</v>
      </c>
      <c r="L200" s="37">
        <v>12</v>
      </c>
      <c r="M200" s="37">
        <v>13</v>
      </c>
      <c r="N200" s="37">
        <v>14</v>
      </c>
      <c r="O200" s="37">
        <v>15</v>
      </c>
      <c r="P200" s="229">
        <v>16</v>
      </c>
      <c r="Q200" s="37">
        <v>15</v>
      </c>
      <c r="R200" s="23"/>
    </row>
    <row r="201" spans="1:18" x14ac:dyDescent="0.25">
      <c r="A201" s="96">
        <v>1</v>
      </c>
      <c r="B201" s="127" t="s">
        <v>164</v>
      </c>
      <c r="C201" s="49">
        <v>75779</v>
      </c>
      <c r="D201" s="49">
        <v>89986</v>
      </c>
      <c r="E201" s="119">
        <f t="shared" ref="E201:E202" si="97">C201/D201*100</f>
        <v>84.211988531549352</v>
      </c>
      <c r="F201" s="49">
        <v>21202</v>
      </c>
      <c r="G201" s="49">
        <v>21611</v>
      </c>
      <c r="H201" s="119">
        <f t="shared" ref="H201:H202" si="98">F201/G201*100</f>
        <v>98.107445282495021</v>
      </c>
      <c r="I201" s="49">
        <v>75779</v>
      </c>
      <c r="J201" s="49">
        <v>89986</v>
      </c>
      <c r="K201" s="97">
        <f t="shared" ref="K201:K202" si="99">IF(OR(I201=0,J201=0),0,I201/J201*100)</f>
        <v>84.211988531549352</v>
      </c>
      <c r="L201" s="49">
        <v>75779</v>
      </c>
      <c r="M201" s="49">
        <f>20459+69527</f>
        <v>89986</v>
      </c>
      <c r="N201" s="47">
        <f t="shared" ref="N201:N202" si="100">L201/M201*100</f>
        <v>84.211988531549352</v>
      </c>
      <c r="O201" s="34">
        <v>51</v>
      </c>
      <c r="P201" s="96">
        <v>45</v>
      </c>
      <c r="Q201" s="34">
        <v>49</v>
      </c>
      <c r="R201" s="74">
        <f t="shared" ref="R201:R202" si="101">O201*P201</f>
        <v>2295</v>
      </c>
    </row>
    <row r="202" spans="1:18" x14ac:dyDescent="0.25">
      <c r="A202" s="96">
        <v>2</v>
      </c>
      <c r="B202" s="127" t="s">
        <v>165</v>
      </c>
      <c r="C202" s="49">
        <v>121015</v>
      </c>
      <c r="D202" s="49">
        <v>222557</v>
      </c>
      <c r="E202" s="119">
        <f t="shared" si="97"/>
        <v>54.37483431210881</v>
      </c>
      <c r="F202" s="49">
        <v>7336</v>
      </c>
      <c r="G202" s="49">
        <v>77132</v>
      </c>
      <c r="H202" s="119">
        <f t="shared" si="98"/>
        <v>9.5109682103407138</v>
      </c>
      <c r="I202" s="49">
        <v>121001</v>
      </c>
      <c r="J202" s="49">
        <v>229933</v>
      </c>
      <c r="K202" s="97">
        <f t="shared" si="99"/>
        <v>52.624460168831789</v>
      </c>
      <c r="L202" s="49">
        <v>0</v>
      </c>
      <c r="M202" s="49">
        <f>674+7137</f>
        <v>7811</v>
      </c>
      <c r="N202" s="47">
        <f t="shared" si="100"/>
        <v>0</v>
      </c>
      <c r="O202" s="34">
        <v>188</v>
      </c>
      <c r="P202" s="96">
        <v>58</v>
      </c>
      <c r="Q202" s="34">
        <v>188</v>
      </c>
      <c r="R202" s="74">
        <f t="shared" si="101"/>
        <v>10904</v>
      </c>
    </row>
    <row r="203" spans="1:18" s="60" customFormat="1" x14ac:dyDescent="0.25">
      <c r="A203" s="315" t="s">
        <v>173</v>
      </c>
      <c r="B203" s="315" t="s">
        <v>139</v>
      </c>
      <c r="C203" s="56">
        <f>SUM(C201:C202)</f>
        <v>196794</v>
      </c>
      <c r="D203" s="56">
        <f>SUM(D201:D202)</f>
        <v>312543</v>
      </c>
      <c r="E203" s="57">
        <f>C203/D203*100</f>
        <v>62.965415958764069</v>
      </c>
      <c r="F203" s="56">
        <f>SUM(F201:F202)</f>
        <v>28538</v>
      </c>
      <c r="G203" s="56">
        <f>SUM(G201:G202)</f>
        <v>98743</v>
      </c>
      <c r="H203" s="57">
        <f>F203/G203*100</f>
        <v>28.901289205310754</v>
      </c>
      <c r="I203" s="57">
        <f>SUM(I201:I202)</f>
        <v>196780</v>
      </c>
      <c r="J203" s="56">
        <f>SUM(J201:J202)</f>
        <v>319919</v>
      </c>
      <c r="K203" s="57">
        <f>I203/J203*100</f>
        <v>61.509319546510213</v>
      </c>
      <c r="L203" s="58">
        <f>SUM(L201:L202)</f>
        <v>75779</v>
      </c>
      <c r="M203" s="56">
        <f>SUM(M201:M202)</f>
        <v>97797</v>
      </c>
      <c r="N203" s="57">
        <f>L203/M203*100</f>
        <v>77.486016953485276</v>
      </c>
      <c r="O203" s="58">
        <f>SUM(O201:O202)</f>
        <v>239</v>
      </c>
      <c r="P203" s="58">
        <f>R203/O203</f>
        <v>55.22594142259414</v>
      </c>
      <c r="Q203" s="58">
        <f>SUM(Q201:Q202)</f>
        <v>237</v>
      </c>
      <c r="R203" s="59">
        <f>SUM(R201:R202)</f>
        <v>13199</v>
      </c>
    </row>
    <row r="204" spans="1:18" x14ac:dyDescent="0.25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6"/>
    </row>
    <row r="205" spans="1:18" x14ac:dyDescent="0.25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6"/>
    </row>
    <row r="206" spans="1:18" x14ac:dyDescent="0.25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6"/>
    </row>
    <row r="207" spans="1:18" x14ac:dyDescent="0.25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6"/>
    </row>
    <row r="208" spans="1:18" x14ac:dyDescent="0.25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6"/>
    </row>
    <row r="209" spans="1:22" x14ac:dyDescent="0.25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6"/>
    </row>
    <row r="210" spans="1:22" x14ac:dyDescent="0.25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6"/>
    </row>
    <row r="211" spans="1:22" x14ac:dyDescent="0.25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</row>
    <row r="212" spans="1:22" x14ac:dyDescent="0.25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</row>
    <row r="213" spans="1:22" x14ac:dyDescent="0.25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</row>
    <row r="214" spans="1:22" x14ac:dyDescent="0.25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</row>
    <row r="215" spans="1:22" x14ac:dyDescent="0.25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</row>
    <row r="216" spans="1:22" x14ac:dyDescent="0.25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</row>
    <row r="217" spans="1:22" x14ac:dyDescent="0.25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</row>
    <row r="218" spans="1:22" x14ac:dyDescent="0.25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</row>
    <row r="219" spans="1:22" x14ac:dyDescent="0.25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</row>
    <row r="220" spans="1:22" x14ac:dyDescent="0.25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</row>
    <row r="221" spans="1:22" x14ac:dyDescent="0.25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</row>
    <row r="222" spans="1:22" x14ac:dyDescent="0.25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</row>
    <row r="223" spans="1:22" x14ac:dyDescent="0.25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</row>
    <row r="224" spans="1:22" x14ac:dyDescent="0.25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</row>
    <row r="225" spans="1:22" x14ac:dyDescent="0.25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</row>
    <row r="226" spans="1:22" x14ac:dyDescent="0.25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</row>
    <row r="227" spans="1:22" x14ac:dyDescent="0.25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</row>
    <row r="228" spans="1:22" x14ac:dyDescent="0.25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</row>
    <row r="229" spans="1:22" x14ac:dyDescent="0.25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</row>
    <row r="230" spans="1:22" x14ac:dyDescent="0.25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</row>
    <row r="231" spans="1:22" x14ac:dyDescent="0.25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</row>
    <row r="232" spans="1:22" x14ac:dyDescent="0.25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</row>
    <row r="233" spans="1:22" x14ac:dyDescent="0.25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</row>
    <row r="234" spans="1:22" x14ac:dyDescent="0.25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</row>
    <row r="235" spans="1:22" x14ac:dyDescent="0.25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</row>
    <row r="236" spans="1:22" x14ac:dyDescent="0.25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</row>
    <row r="237" spans="1:22" x14ac:dyDescent="0.25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</row>
    <row r="238" spans="1:22" x14ac:dyDescent="0.25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</row>
    <row r="239" spans="1:22" x14ac:dyDescent="0.25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</row>
    <row r="240" spans="1:22" x14ac:dyDescent="0.25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</row>
    <row r="241" spans="1:22" x14ac:dyDescent="0.25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</row>
    <row r="242" spans="1:22" x14ac:dyDescent="0.25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</row>
    <row r="243" spans="1:22" x14ac:dyDescent="0.25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</row>
    <row r="244" spans="1:22" x14ac:dyDescent="0.25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</row>
    <row r="245" spans="1:22" x14ac:dyDescent="0.25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</row>
    <row r="246" spans="1:22" x14ac:dyDescent="0.25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</row>
    <row r="247" spans="1:22" x14ac:dyDescent="0.25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</row>
    <row r="248" spans="1:22" x14ac:dyDescent="0.25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</row>
    <row r="249" spans="1:22" x14ac:dyDescent="0.25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</row>
    <row r="250" spans="1:22" x14ac:dyDescent="0.25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</row>
    <row r="251" spans="1:22" x14ac:dyDescent="0.25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</row>
    <row r="252" spans="1:22" x14ac:dyDescent="0.25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</row>
    <row r="253" spans="1:22" x14ac:dyDescent="0.25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</row>
    <row r="254" spans="1:22" x14ac:dyDescent="0.25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</row>
    <row r="255" spans="1:22" x14ac:dyDescent="0.25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</row>
    <row r="256" spans="1:22" x14ac:dyDescent="0.25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</row>
    <row r="257" spans="1:22" x14ac:dyDescent="0.25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</row>
    <row r="258" spans="1:22" s="18" customFormat="1" x14ac:dyDescent="0.25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</row>
    <row r="259" spans="1:22" s="18" customFormat="1" x14ac:dyDescent="0.25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</row>
    <row r="260" spans="1:22" s="18" customFormat="1" x14ac:dyDescent="0.25"/>
    <row r="261" spans="1:22" s="18" customFormat="1" x14ac:dyDescent="0.25"/>
    <row r="262" spans="1:22" s="18" customFormat="1" x14ac:dyDescent="0.25"/>
    <row r="263" spans="1:22" s="18" customFormat="1" x14ac:dyDescent="0.25"/>
    <row r="264" spans="1:22" s="18" customFormat="1" x14ac:dyDescent="0.25"/>
    <row r="265" spans="1:22" s="18" customFormat="1" x14ac:dyDescent="0.25"/>
    <row r="266" spans="1:22" s="18" customFormat="1" x14ac:dyDescent="0.25"/>
    <row r="267" spans="1:22" s="18" customFormat="1" x14ac:dyDescent="0.25"/>
    <row r="268" spans="1:22" s="18" customFormat="1" x14ac:dyDescent="0.25"/>
    <row r="269" spans="1:22" s="18" customFormat="1" x14ac:dyDescent="0.25"/>
    <row r="270" spans="1:22" s="18" customFormat="1" x14ac:dyDescent="0.25"/>
    <row r="271" spans="1:22" s="18" customFormat="1" x14ac:dyDescent="0.25"/>
    <row r="272" spans="1:2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</sheetData>
  <mergeCells count="54">
    <mergeCell ref="A200:B200"/>
    <mergeCell ref="A203:B203"/>
    <mergeCell ref="A165:B165"/>
    <mergeCell ref="A169:B169"/>
    <mergeCell ref="A171:B171"/>
    <mergeCell ref="A182:B182"/>
    <mergeCell ref="A184:B184"/>
    <mergeCell ref="A196:B196"/>
    <mergeCell ref="A163:B163"/>
    <mergeCell ref="A80:B80"/>
    <mergeCell ref="A81:B81"/>
    <mergeCell ref="A83:B83"/>
    <mergeCell ref="A95:B95"/>
    <mergeCell ref="A97:B97"/>
    <mergeCell ref="A123:B123"/>
    <mergeCell ref="A135:B135"/>
    <mergeCell ref="A137:B137"/>
    <mergeCell ref="A143:B143"/>
    <mergeCell ref="A153:B153"/>
    <mergeCell ref="A154:B154"/>
    <mergeCell ref="Q36:Q37"/>
    <mergeCell ref="A39:B39"/>
    <mergeCell ref="A57:B57"/>
    <mergeCell ref="A59:B59"/>
    <mergeCell ref="A69:B69"/>
    <mergeCell ref="O36:O37"/>
    <mergeCell ref="P36:P37"/>
    <mergeCell ref="A71:B71"/>
    <mergeCell ref="A36:A37"/>
    <mergeCell ref="B36:B37"/>
    <mergeCell ref="C36:G36"/>
    <mergeCell ref="H36:K36"/>
    <mergeCell ref="A33:Q35"/>
    <mergeCell ref="D7:D11"/>
    <mergeCell ref="E7:E11"/>
    <mergeCell ref="F7:F11"/>
    <mergeCell ref="G7:G11"/>
    <mergeCell ref="H7:H11"/>
    <mergeCell ref="I7:I11"/>
    <mergeCell ref="J7:J11"/>
    <mergeCell ref="K7:K11"/>
    <mergeCell ref="L7:L11"/>
    <mergeCell ref="M7:M11"/>
    <mergeCell ref="N7:N11"/>
    <mergeCell ref="A4:Q5"/>
    <mergeCell ref="A6:A11"/>
    <mergeCell ref="B6:B11"/>
    <mergeCell ref="C6:H6"/>
    <mergeCell ref="I6:K6"/>
    <mergeCell ref="L6:N6"/>
    <mergeCell ref="O6:O11"/>
    <mergeCell ref="P6:P11"/>
    <mergeCell ref="Q6:Q11"/>
    <mergeCell ref="C7:C1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73"/>
  <sheetViews>
    <sheetView tabSelected="1" topLeftCell="A40" workbookViewId="0">
      <selection activeCell="F53" sqref="F53"/>
    </sheetView>
  </sheetViews>
  <sheetFormatPr defaultRowHeight="15" x14ac:dyDescent="0.25"/>
  <cols>
    <col min="1" max="1" width="3.28515625" customWidth="1"/>
    <col min="2" max="2" width="26.85546875" customWidth="1"/>
    <col min="3" max="3" width="11.42578125" customWidth="1"/>
    <col min="4" max="4" width="11.5703125" customWidth="1"/>
    <col min="5" max="5" width="6.42578125" customWidth="1"/>
    <col min="6" max="6" width="10.28515625" customWidth="1"/>
    <col min="7" max="7" width="10.140625" customWidth="1"/>
    <col min="8" max="8" width="6.42578125" customWidth="1"/>
    <col min="9" max="9" width="11.28515625" customWidth="1"/>
    <col min="10" max="10" width="11.42578125" customWidth="1"/>
    <col min="11" max="11" width="6.42578125" customWidth="1"/>
    <col min="12" max="12" width="11.28515625" customWidth="1"/>
    <col min="13" max="13" width="11.42578125" customWidth="1"/>
    <col min="14" max="14" width="6.7109375" customWidth="1"/>
    <col min="15" max="15" width="7.28515625" customWidth="1"/>
    <col min="16" max="16" width="6.28515625" customWidth="1"/>
    <col min="17" max="17" width="6.7109375" customWidth="1"/>
    <col min="18" max="18" width="10.28515625" customWidth="1"/>
  </cols>
  <sheetData>
    <row r="1" spans="1:18" x14ac:dyDescent="0.25">
      <c r="A1" s="337" t="s">
        <v>217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</row>
    <row r="2" spans="1:18" x14ac:dyDescent="0.25">
      <c r="A2" s="338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1"/>
    </row>
    <row r="3" spans="1:18" x14ac:dyDescent="0.25">
      <c r="A3" s="339" t="s">
        <v>0</v>
      </c>
      <c r="B3" s="340" t="s">
        <v>1</v>
      </c>
      <c r="C3" s="341" t="s">
        <v>172</v>
      </c>
      <c r="D3" s="341"/>
      <c r="E3" s="341"/>
      <c r="F3" s="341"/>
      <c r="G3" s="341"/>
      <c r="H3" s="341"/>
      <c r="I3" s="342" t="s">
        <v>2</v>
      </c>
      <c r="J3" s="343"/>
      <c r="K3" s="344"/>
      <c r="L3" s="345" t="s">
        <v>3</v>
      </c>
      <c r="M3" s="346"/>
      <c r="N3" s="347"/>
      <c r="O3" s="340" t="s">
        <v>4</v>
      </c>
      <c r="P3" s="348" t="s">
        <v>5</v>
      </c>
      <c r="Q3" s="340" t="s">
        <v>6</v>
      </c>
      <c r="R3" s="2"/>
    </row>
    <row r="4" spans="1:18" x14ac:dyDescent="0.25">
      <c r="A4" s="339"/>
      <c r="B4" s="340"/>
      <c r="C4" s="340" t="s">
        <v>7</v>
      </c>
      <c r="D4" s="340" t="s">
        <v>8</v>
      </c>
      <c r="E4" s="349" t="s">
        <v>9</v>
      </c>
      <c r="F4" s="340" t="s">
        <v>10</v>
      </c>
      <c r="G4" s="340" t="s">
        <v>8</v>
      </c>
      <c r="H4" s="349" t="s">
        <v>9</v>
      </c>
      <c r="I4" s="340" t="s">
        <v>11</v>
      </c>
      <c r="J4" s="340" t="s">
        <v>8</v>
      </c>
      <c r="K4" s="349" t="s">
        <v>9</v>
      </c>
      <c r="L4" s="340" t="s">
        <v>11</v>
      </c>
      <c r="M4" s="340" t="s">
        <v>8</v>
      </c>
      <c r="N4" s="349" t="s">
        <v>9</v>
      </c>
      <c r="O4" s="340"/>
      <c r="P4" s="348"/>
      <c r="Q4" s="340"/>
      <c r="R4" s="2"/>
    </row>
    <row r="5" spans="1:18" x14ac:dyDescent="0.25">
      <c r="A5" s="339"/>
      <c r="B5" s="340"/>
      <c r="C5" s="340"/>
      <c r="D5" s="340"/>
      <c r="E5" s="349"/>
      <c r="F5" s="340"/>
      <c r="G5" s="340"/>
      <c r="H5" s="349"/>
      <c r="I5" s="340"/>
      <c r="J5" s="340"/>
      <c r="K5" s="349"/>
      <c r="L5" s="340"/>
      <c r="M5" s="340"/>
      <c r="N5" s="349"/>
      <c r="O5" s="340"/>
      <c r="P5" s="348"/>
      <c r="Q5" s="340"/>
      <c r="R5" s="2"/>
    </row>
    <row r="6" spans="1:18" x14ac:dyDescent="0.25">
      <c r="A6" s="339"/>
      <c r="B6" s="340"/>
      <c r="C6" s="340"/>
      <c r="D6" s="340"/>
      <c r="E6" s="349"/>
      <c r="F6" s="340"/>
      <c r="G6" s="340"/>
      <c r="H6" s="349"/>
      <c r="I6" s="340"/>
      <c r="J6" s="340"/>
      <c r="K6" s="349"/>
      <c r="L6" s="340"/>
      <c r="M6" s="340"/>
      <c r="N6" s="349"/>
      <c r="O6" s="340"/>
      <c r="P6" s="348"/>
      <c r="Q6" s="340"/>
      <c r="R6" s="2"/>
    </row>
    <row r="7" spans="1:18" x14ac:dyDescent="0.25">
      <c r="A7" s="339"/>
      <c r="B7" s="340"/>
      <c r="C7" s="340"/>
      <c r="D7" s="340"/>
      <c r="E7" s="349"/>
      <c r="F7" s="340"/>
      <c r="G7" s="340"/>
      <c r="H7" s="349"/>
      <c r="I7" s="340"/>
      <c r="J7" s="340"/>
      <c r="K7" s="349"/>
      <c r="L7" s="340"/>
      <c r="M7" s="340"/>
      <c r="N7" s="349"/>
      <c r="O7" s="340"/>
      <c r="P7" s="348"/>
      <c r="Q7" s="340"/>
      <c r="R7" s="2"/>
    </row>
    <row r="8" spans="1:18" x14ac:dyDescent="0.25">
      <c r="A8" s="339"/>
      <c r="B8" s="340"/>
      <c r="C8" s="340"/>
      <c r="D8" s="340"/>
      <c r="E8" s="349"/>
      <c r="F8" s="340"/>
      <c r="G8" s="340"/>
      <c r="H8" s="349"/>
      <c r="I8" s="340"/>
      <c r="J8" s="340"/>
      <c r="K8" s="349"/>
      <c r="L8" s="340"/>
      <c r="M8" s="340"/>
      <c r="N8" s="349"/>
      <c r="O8" s="340"/>
      <c r="P8" s="348"/>
      <c r="Q8" s="340"/>
      <c r="R8" s="2"/>
    </row>
    <row r="9" spans="1:18" x14ac:dyDescent="0.25">
      <c r="A9" s="240">
        <v>1</v>
      </c>
      <c r="B9" s="240">
        <v>2</v>
      </c>
      <c r="C9" s="241">
        <v>3</v>
      </c>
      <c r="D9" s="241">
        <v>4</v>
      </c>
      <c r="E9" s="5">
        <v>5</v>
      </c>
      <c r="F9" s="241">
        <v>6</v>
      </c>
      <c r="G9" s="241">
        <v>7</v>
      </c>
      <c r="H9" s="241">
        <v>8</v>
      </c>
      <c r="I9" s="241">
        <v>11</v>
      </c>
      <c r="J9" s="241">
        <v>12</v>
      </c>
      <c r="K9" s="241">
        <v>13</v>
      </c>
      <c r="L9" s="241">
        <v>17</v>
      </c>
      <c r="M9" s="241">
        <v>18</v>
      </c>
      <c r="N9" s="241">
        <v>19</v>
      </c>
      <c r="O9" s="241">
        <v>20</v>
      </c>
      <c r="P9" s="5">
        <v>21</v>
      </c>
      <c r="Q9" s="241">
        <v>22</v>
      </c>
      <c r="R9" s="6"/>
    </row>
    <row r="10" spans="1:18" ht="16.5" x14ac:dyDescent="0.25">
      <c r="A10" s="7">
        <v>1</v>
      </c>
      <c r="B10" s="219" t="s">
        <v>209</v>
      </c>
      <c r="C10" s="5">
        <f t="shared" ref="C10:P10" si="0">C139</f>
        <v>133106000</v>
      </c>
      <c r="D10" s="5">
        <f t="shared" si="0"/>
        <v>120527633</v>
      </c>
      <c r="E10" s="9">
        <f t="shared" si="0"/>
        <v>110.43608564021166</v>
      </c>
      <c r="F10" s="5">
        <f t="shared" si="0"/>
        <v>14421257</v>
      </c>
      <c r="G10" s="10">
        <f t="shared" si="0"/>
        <v>12763876</v>
      </c>
      <c r="H10" s="11">
        <f t="shared" si="0"/>
        <v>112.9849349836993</v>
      </c>
      <c r="I10" s="10">
        <f t="shared" si="0"/>
        <v>123844141</v>
      </c>
      <c r="J10" s="10">
        <f t="shared" si="0"/>
        <v>118502189</v>
      </c>
      <c r="K10" s="11">
        <f t="shared" si="0"/>
        <v>104.50789309891988</v>
      </c>
      <c r="L10" s="5">
        <f t="shared" si="0"/>
        <v>78606208</v>
      </c>
      <c r="M10" s="5">
        <f t="shared" si="0"/>
        <v>78784080</v>
      </c>
      <c r="N10" s="9">
        <f t="shared" si="0"/>
        <v>99.774228498955637</v>
      </c>
      <c r="O10" s="5">
        <f t="shared" si="0"/>
        <v>6033</v>
      </c>
      <c r="P10" s="9">
        <f t="shared" si="0"/>
        <v>164.44637825294214</v>
      </c>
      <c r="Q10" s="5">
        <f>Q139</f>
        <v>5631</v>
      </c>
      <c r="R10" s="12">
        <f t="shared" ref="R10:R22" si="1">O10*P10</f>
        <v>992104.99999999988</v>
      </c>
    </row>
    <row r="11" spans="1:18" ht="16.5" x14ac:dyDescent="0.25">
      <c r="A11" s="7"/>
      <c r="B11" s="219" t="s">
        <v>210</v>
      </c>
      <c r="C11" s="5">
        <f>C149</f>
        <v>119836859</v>
      </c>
      <c r="D11" s="5">
        <f>D149</f>
        <v>114122293</v>
      </c>
      <c r="E11" s="9">
        <f t="shared" ref="E11:Q11" si="2">E149</f>
        <v>105.00740552067246</v>
      </c>
      <c r="F11" s="5">
        <f t="shared" si="2"/>
        <v>13002361</v>
      </c>
      <c r="G11" s="5">
        <f t="shared" si="2"/>
        <v>13532039</v>
      </c>
      <c r="H11" s="9">
        <f t="shared" si="2"/>
        <v>96.085748792181278</v>
      </c>
      <c r="I11" s="5">
        <f t="shared" si="2"/>
        <v>117855083</v>
      </c>
      <c r="J11" s="5">
        <f t="shared" si="2"/>
        <v>112222662</v>
      </c>
      <c r="K11" s="9">
        <f t="shared" si="2"/>
        <v>105.0189693415043</v>
      </c>
      <c r="L11" s="5">
        <f t="shared" si="2"/>
        <v>114649826</v>
      </c>
      <c r="M11" s="5">
        <f t="shared" si="2"/>
        <v>109996471</v>
      </c>
      <c r="N11" s="9">
        <f t="shared" si="2"/>
        <v>104.23045844807149</v>
      </c>
      <c r="O11" s="5">
        <f t="shared" si="2"/>
        <v>3574</v>
      </c>
      <c r="P11" s="5">
        <f t="shared" si="2"/>
        <v>127.35982092893117</v>
      </c>
      <c r="Q11" s="5">
        <f t="shared" si="2"/>
        <v>3171</v>
      </c>
      <c r="R11" s="12">
        <f t="shared" si="1"/>
        <v>455184</v>
      </c>
    </row>
    <row r="12" spans="1:18" ht="16.5" x14ac:dyDescent="0.25">
      <c r="A12" s="7">
        <v>2</v>
      </c>
      <c r="B12" s="219" t="s">
        <v>212</v>
      </c>
      <c r="C12" s="5">
        <f t="shared" ref="C12:P12" si="3">C159</f>
        <v>8758645</v>
      </c>
      <c r="D12" s="5">
        <f t="shared" si="3"/>
        <v>8384471</v>
      </c>
      <c r="E12" s="9">
        <f t="shared" si="3"/>
        <v>104.46270253662992</v>
      </c>
      <c r="F12" s="5">
        <f t="shared" si="3"/>
        <v>1238922</v>
      </c>
      <c r="G12" s="10">
        <f t="shared" si="3"/>
        <v>1435022</v>
      </c>
      <c r="H12" s="11">
        <f t="shared" si="3"/>
        <v>86.334704276310745</v>
      </c>
      <c r="I12" s="10">
        <f t="shared" si="3"/>
        <v>9064919</v>
      </c>
      <c r="J12" s="10">
        <f t="shared" si="3"/>
        <v>10226048</v>
      </c>
      <c r="K12" s="11">
        <f t="shared" si="3"/>
        <v>88.645378938178268</v>
      </c>
      <c r="L12" s="5">
        <f t="shared" si="3"/>
        <v>2839406</v>
      </c>
      <c r="M12" s="5">
        <f t="shared" si="3"/>
        <v>2330876</v>
      </c>
      <c r="N12" s="9">
        <f t="shared" si="3"/>
        <v>121.81711940060302</v>
      </c>
      <c r="O12" s="5">
        <f t="shared" si="3"/>
        <v>1297</v>
      </c>
      <c r="P12" s="9">
        <f t="shared" si="3"/>
        <v>82.13107170393215</v>
      </c>
      <c r="Q12" s="5">
        <f>Q159</f>
        <v>1295</v>
      </c>
      <c r="R12" s="12">
        <f t="shared" si="1"/>
        <v>106524</v>
      </c>
    </row>
    <row r="13" spans="1:18" ht="33" x14ac:dyDescent="0.25">
      <c r="A13" s="7">
        <v>3</v>
      </c>
      <c r="B13" s="219" t="s">
        <v>180</v>
      </c>
      <c r="C13" s="5">
        <f t="shared" ref="C13:P13" si="4">C178</f>
        <v>8415073</v>
      </c>
      <c r="D13" s="5">
        <f t="shared" si="4"/>
        <v>10590746</v>
      </c>
      <c r="E13" s="9">
        <f t="shared" si="4"/>
        <v>79.456848459966849</v>
      </c>
      <c r="F13" s="5">
        <f t="shared" si="4"/>
        <v>822635</v>
      </c>
      <c r="G13" s="10">
        <f t="shared" si="4"/>
        <v>1759580</v>
      </c>
      <c r="H13" s="11">
        <f t="shared" si="4"/>
        <v>46.751781675172481</v>
      </c>
      <c r="I13" s="10">
        <f t="shared" si="4"/>
        <v>8678452</v>
      </c>
      <c r="J13" s="10">
        <f t="shared" si="4"/>
        <v>10457722</v>
      </c>
      <c r="K13" s="11">
        <f t="shared" si="4"/>
        <v>82.986065225294752</v>
      </c>
      <c r="L13" s="5">
        <f t="shared" si="4"/>
        <v>8642002</v>
      </c>
      <c r="M13" s="5">
        <f t="shared" si="4"/>
        <v>10412004</v>
      </c>
      <c r="N13" s="9">
        <f t="shared" si="4"/>
        <v>83.000371494286782</v>
      </c>
      <c r="O13" s="5">
        <f t="shared" si="4"/>
        <v>511</v>
      </c>
      <c r="P13" s="9">
        <f t="shared" si="4"/>
        <v>100.66340508806262</v>
      </c>
      <c r="Q13" s="5">
        <f>Q178</f>
        <v>486</v>
      </c>
      <c r="R13" s="12">
        <f t="shared" si="1"/>
        <v>51439</v>
      </c>
    </row>
    <row r="14" spans="1:18" ht="16.5" x14ac:dyDescent="0.25">
      <c r="A14" s="7">
        <v>4</v>
      </c>
      <c r="B14" s="219" t="s">
        <v>181</v>
      </c>
      <c r="C14" s="5">
        <f t="shared" ref="C14:Q14" si="5">C54</f>
        <v>2785387</v>
      </c>
      <c r="D14" s="10">
        <f t="shared" si="5"/>
        <v>1926018</v>
      </c>
      <c r="E14" s="11">
        <f t="shared" si="5"/>
        <v>144.61894956329587</v>
      </c>
      <c r="F14" s="10">
        <f t="shared" si="5"/>
        <v>244962</v>
      </c>
      <c r="G14" s="10">
        <f t="shared" si="5"/>
        <v>214423</v>
      </c>
      <c r="H14" s="11">
        <f t="shared" si="5"/>
        <v>114.24240869682822</v>
      </c>
      <c r="I14" s="10">
        <f t="shared" si="5"/>
        <v>2224503</v>
      </c>
      <c r="J14" s="10">
        <f t="shared" si="5"/>
        <v>2014450</v>
      </c>
      <c r="K14" s="11">
        <f t="shared" si="5"/>
        <v>110.42731266598824</v>
      </c>
      <c r="L14" s="10">
        <f t="shared" si="5"/>
        <v>1207045</v>
      </c>
      <c r="M14" s="10">
        <f t="shared" si="5"/>
        <v>1086579</v>
      </c>
      <c r="N14" s="11">
        <f t="shared" si="5"/>
        <v>111.0867226405075</v>
      </c>
      <c r="O14" s="10">
        <f t="shared" si="5"/>
        <v>817</v>
      </c>
      <c r="P14" s="11">
        <f t="shared" si="5"/>
        <v>83.397796817625462</v>
      </c>
      <c r="Q14" s="10">
        <f t="shared" si="5"/>
        <v>845</v>
      </c>
      <c r="R14" s="12">
        <f t="shared" si="1"/>
        <v>68136</v>
      </c>
    </row>
    <row r="15" spans="1:18" ht="16.5" x14ac:dyDescent="0.25">
      <c r="A15" s="7">
        <v>5</v>
      </c>
      <c r="B15" s="219" t="s">
        <v>182</v>
      </c>
      <c r="C15" s="5">
        <f t="shared" ref="C15:Q15" si="6">C66</f>
        <v>1293725</v>
      </c>
      <c r="D15" s="10">
        <f t="shared" si="6"/>
        <v>1444445</v>
      </c>
      <c r="E15" s="11">
        <f t="shared" si="6"/>
        <v>89.565542474791357</v>
      </c>
      <c r="F15" s="10">
        <f t="shared" si="6"/>
        <v>204211</v>
      </c>
      <c r="G15" s="10">
        <f t="shared" si="6"/>
        <v>314844</v>
      </c>
      <c r="H15" s="11">
        <f t="shared" si="6"/>
        <v>64.861010532200069</v>
      </c>
      <c r="I15" s="10">
        <f t="shared" si="6"/>
        <v>1286588</v>
      </c>
      <c r="J15" s="10">
        <f t="shared" si="6"/>
        <v>1471562</v>
      </c>
      <c r="K15" s="11">
        <f t="shared" si="6"/>
        <v>87.430091290750909</v>
      </c>
      <c r="L15" s="10">
        <f t="shared" si="6"/>
        <v>820561</v>
      </c>
      <c r="M15" s="10">
        <f t="shared" si="6"/>
        <v>888401</v>
      </c>
      <c r="N15" s="11">
        <f t="shared" si="6"/>
        <v>92.363808685492259</v>
      </c>
      <c r="O15" s="10">
        <f t="shared" si="6"/>
        <v>577</v>
      </c>
      <c r="P15" s="11">
        <f t="shared" si="6"/>
        <v>73.717504332755638</v>
      </c>
      <c r="Q15" s="10">
        <f t="shared" si="6"/>
        <v>575</v>
      </c>
      <c r="R15" s="12">
        <f t="shared" si="1"/>
        <v>42535</v>
      </c>
    </row>
    <row r="16" spans="1:18" ht="16.5" x14ac:dyDescent="0.25">
      <c r="A16" s="7">
        <v>6</v>
      </c>
      <c r="B16" s="219" t="s">
        <v>183</v>
      </c>
      <c r="C16" s="5">
        <f t="shared" ref="C16:Q16" si="7">C77</f>
        <v>1292201</v>
      </c>
      <c r="D16" s="10">
        <f t="shared" si="7"/>
        <v>963446</v>
      </c>
      <c r="E16" s="11">
        <f t="shared" si="7"/>
        <v>134.12282577331786</v>
      </c>
      <c r="F16" s="10">
        <f t="shared" si="7"/>
        <v>109386</v>
      </c>
      <c r="G16" s="10">
        <f t="shared" si="7"/>
        <v>218509</v>
      </c>
      <c r="H16" s="11">
        <f t="shared" si="7"/>
        <v>50.060180587527292</v>
      </c>
      <c r="I16" s="10">
        <f t="shared" si="7"/>
        <v>1356287</v>
      </c>
      <c r="J16" s="10">
        <f t="shared" si="7"/>
        <v>1085098</v>
      </c>
      <c r="K16" s="11">
        <f t="shared" si="7"/>
        <v>124.9921205273625</v>
      </c>
      <c r="L16" s="10">
        <f t="shared" si="7"/>
        <v>759384</v>
      </c>
      <c r="M16" s="10">
        <f t="shared" si="7"/>
        <v>451301</v>
      </c>
      <c r="N16" s="11">
        <f t="shared" si="7"/>
        <v>168.26552566912105</v>
      </c>
      <c r="O16" s="10">
        <f t="shared" si="7"/>
        <v>537</v>
      </c>
      <c r="P16" s="11">
        <f t="shared" si="7"/>
        <v>92.465549348230908</v>
      </c>
      <c r="Q16" s="10">
        <f t="shared" si="7"/>
        <v>541</v>
      </c>
      <c r="R16" s="12">
        <f t="shared" si="1"/>
        <v>49654</v>
      </c>
    </row>
    <row r="17" spans="1:18" ht="16.5" x14ac:dyDescent="0.25">
      <c r="A17" s="7">
        <v>7</v>
      </c>
      <c r="B17" s="219" t="s">
        <v>184</v>
      </c>
      <c r="C17" s="5">
        <f t="shared" ref="C17:Q17" si="8">C92</f>
        <v>5591777</v>
      </c>
      <c r="D17" s="10">
        <f t="shared" si="8"/>
        <v>5371497</v>
      </c>
      <c r="E17" s="11">
        <f t="shared" si="8"/>
        <v>104.10090520389382</v>
      </c>
      <c r="F17" s="10">
        <f t="shared" si="8"/>
        <v>782519</v>
      </c>
      <c r="G17" s="10">
        <f t="shared" si="8"/>
        <v>698942</v>
      </c>
      <c r="H17" s="11">
        <f t="shared" si="8"/>
        <v>111.95764455419763</v>
      </c>
      <c r="I17" s="10">
        <f t="shared" si="8"/>
        <v>8455683</v>
      </c>
      <c r="J17" s="10">
        <f t="shared" si="8"/>
        <v>8080173</v>
      </c>
      <c r="K17" s="11">
        <f t="shared" si="8"/>
        <v>104.64730148723301</v>
      </c>
      <c r="L17" s="10">
        <f t="shared" si="8"/>
        <v>1965219</v>
      </c>
      <c r="M17" s="10">
        <f t="shared" si="8"/>
        <v>1551245</v>
      </c>
      <c r="N17" s="11">
        <f t="shared" si="8"/>
        <v>126.68656466257748</v>
      </c>
      <c r="O17" s="10">
        <f t="shared" si="8"/>
        <v>1677</v>
      </c>
      <c r="P17" s="11">
        <f t="shared" si="8"/>
        <v>109.93977340488968</v>
      </c>
      <c r="Q17" s="10">
        <f t="shared" si="8"/>
        <v>1612</v>
      </c>
      <c r="R17" s="12">
        <f t="shared" si="1"/>
        <v>184369</v>
      </c>
    </row>
    <row r="18" spans="1:18" ht="33" x14ac:dyDescent="0.25">
      <c r="A18" s="7">
        <v>8</v>
      </c>
      <c r="B18" s="219" t="s">
        <v>177</v>
      </c>
      <c r="C18" s="5">
        <f t="shared" ref="C18:Q18" si="9">C165</f>
        <v>3561839</v>
      </c>
      <c r="D18" s="10">
        <f t="shared" si="9"/>
        <v>2094687</v>
      </c>
      <c r="E18" s="11">
        <f t="shared" si="9"/>
        <v>170.04158616537936</v>
      </c>
      <c r="F18" s="10">
        <f t="shared" si="9"/>
        <v>581221</v>
      </c>
      <c r="G18" s="10">
        <f t="shared" si="9"/>
        <v>146100</v>
      </c>
      <c r="H18" s="11">
        <f t="shared" si="9"/>
        <v>397.82409308692672</v>
      </c>
      <c r="I18" s="10">
        <f t="shared" si="9"/>
        <v>3251309</v>
      </c>
      <c r="J18" s="10">
        <f t="shared" si="9"/>
        <v>1757922</v>
      </c>
      <c r="K18" s="11">
        <f t="shared" si="9"/>
        <v>184.95183517812507</v>
      </c>
      <c r="L18" s="10">
        <f t="shared" si="9"/>
        <v>264661</v>
      </c>
      <c r="M18" s="10">
        <f t="shared" si="9"/>
        <v>90592</v>
      </c>
      <c r="N18" s="11">
        <f t="shared" si="9"/>
        <v>0</v>
      </c>
      <c r="O18" s="10">
        <f t="shared" si="9"/>
        <v>571</v>
      </c>
      <c r="P18" s="11">
        <f t="shared" si="9"/>
        <v>96.164623467600705</v>
      </c>
      <c r="Q18" s="10">
        <f t="shared" si="9"/>
        <v>581</v>
      </c>
      <c r="R18" s="12">
        <f t="shared" si="1"/>
        <v>54910</v>
      </c>
    </row>
    <row r="19" spans="1:18" ht="33" x14ac:dyDescent="0.25">
      <c r="A19" s="7">
        <v>9</v>
      </c>
      <c r="B19" s="219" t="s">
        <v>185</v>
      </c>
      <c r="C19" s="5">
        <f t="shared" ref="C19:Q19" si="10">C120</f>
        <v>2648552</v>
      </c>
      <c r="D19" s="10">
        <f t="shared" si="10"/>
        <v>2802325</v>
      </c>
      <c r="E19" s="11">
        <f t="shared" si="10"/>
        <v>94.512663591838916</v>
      </c>
      <c r="F19" s="10">
        <f t="shared" si="10"/>
        <v>351996</v>
      </c>
      <c r="G19" s="10">
        <f t="shared" si="10"/>
        <v>442434</v>
      </c>
      <c r="H19" s="11">
        <f t="shared" si="10"/>
        <v>79.558985068959444</v>
      </c>
      <c r="I19" s="10">
        <f t="shared" si="10"/>
        <v>2697020</v>
      </c>
      <c r="J19" s="10">
        <f t="shared" si="10"/>
        <v>2739360</v>
      </c>
      <c r="K19" s="11">
        <f t="shared" si="10"/>
        <v>98.454383505636358</v>
      </c>
      <c r="L19" s="10">
        <f t="shared" si="10"/>
        <v>1206218</v>
      </c>
      <c r="M19" s="10">
        <f t="shared" si="10"/>
        <v>1247555</v>
      </c>
      <c r="N19" s="11">
        <f t="shared" si="10"/>
        <v>96.686558909226449</v>
      </c>
      <c r="O19" s="10">
        <f t="shared" si="10"/>
        <v>1599</v>
      </c>
      <c r="P19" s="11">
        <f t="shared" si="10"/>
        <v>54.979987492182616</v>
      </c>
      <c r="Q19" s="10">
        <f t="shared" si="10"/>
        <v>1772</v>
      </c>
      <c r="R19" s="12">
        <f t="shared" si="1"/>
        <v>87913</v>
      </c>
    </row>
    <row r="20" spans="1:18" ht="16.5" x14ac:dyDescent="0.25">
      <c r="A20" s="7">
        <v>10</v>
      </c>
      <c r="B20" s="219" t="s">
        <v>186</v>
      </c>
      <c r="C20" s="5">
        <f t="shared" ref="C20:Q20" si="11">C131</f>
        <v>213084</v>
      </c>
      <c r="D20" s="10">
        <f t="shared" si="11"/>
        <v>123964</v>
      </c>
      <c r="E20" s="11">
        <f t="shared" si="11"/>
        <v>171.8918395663257</v>
      </c>
      <c r="F20" s="10">
        <f t="shared" si="11"/>
        <v>9137</v>
      </c>
      <c r="G20" s="10">
        <f t="shared" si="11"/>
        <v>23463</v>
      </c>
      <c r="H20" s="11">
        <f t="shared" si="11"/>
        <v>38.942164258619954</v>
      </c>
      <c r="I20" s="10">
        <f t="shared" si="11"/>
        <v>248901</v>
      </c>
      <c r="J20" s="10">
        <f t="shared" si="11"/>
        <v>135729</v>
      </c>
      <c r="K20" s="11">
        <f t="shared" si="11"/>
        <v>183.38085449682825</v>
      </c>
      <c r="L20" s="10">
        <f>L131</f>
        <v>0</v>
      </c>
      <c r="M20" s="10">
        <f t="shared" si="11"/>
        <v>0</v>
      </c>
      <c r="N20" s="11">
        <f t="shared" si="11"/>
        <v>0</v>
      </c>
      <c r="O20" s="10">
        <f t="shared" si="11"/>
        <v>102</v>
      </c>
      <c r="P20" s="11">
        <f t="shared" si="11"/>
        <v>75.392156862745097</v>
      </c>
      <c r="Q20" s="10">
        <f t="shared" si="11"/>
        <v>102</v>
      </c>
      <c r="R20" s="12">
        <f t="shared" si="1"/>
        <v>7690</v>
      </c>
    </row>
    <row r="21" spans="1:18" ht="33" x14ac:dyDescent="0.25">
      <c r="A21" s="7">
        <v>11</v>
      </c>
      <c r="B21" s="219" t="s">
        <v>187</v>
      </c>
      <c r="C21" s="5">
        <f t="shared" ref="C21:P21" si="12">C192</f>
        <v>962517.7</v>
      </c>
      <c r="D21" s="10">
        <f t="shared" si="12"/>
        <v>1268156.7</v>
      </c>
      <c r="E21" s="11">
        <f t="shared" si="12"/>
        <v>75.898956335601113</v>
      </c>
      <c r="F21" s="10">
        <f t="shared" si="12"/>
        <v>102921</v>
      </c>
      <c r="G21" s="10">
        <f t="shared" si="12"/>
        <v>100415.4</v>
      </c>
      <c r="H21" s="11">
        <f t="shared" si="12"/>
        <v>102.49523479466298</v>
      </c>
      <c r="I21" s="10">
        <f t="shared" si="12"/>
        <v>667608.1</v>
      </c>
      <c r="J21" s="10">
        <f t="shared" si="12"/>
        <v>1093971.7</v>
      </c>
      <c r="K21" s="11">
        <f t="shared" si="12"/>
        <v>61.026085044064672</v>
      </c>
      <c r="L21" s="10">
        <f t="shared" si="12"/>
        <v>105629</v>
      </c>
      <c r="M21" s="10">
        <f t="shared" si="12"/>
        <v>366460</v>
      </c>
      <c r="N21" s="11">
        <f t="shared" si="12"/>
        <v>28.82415543306227</v>
      </c>
      <c r="O21" s="10">
        <f t="shared" si="12"/>
        <v>700</v>
      </c>
      <c r="P21" s="11">
        <f t="shared" si="12"/>
        <v>149.49814285714282</v>
      </c>
      <c r="Q21" s="10">
        <f>Q192</f>
        <v>716</v>
      </c>
      <c r="R21" s="12">
        <f t="shared" si="1"/>
        <v>104648.69999999998</v>
      </c>
    </row>
    <row r="22" spans="1:18" ht="16.5" x14ac:dyDescent="0.25">
      <c r="A22" s="7">
        <v>12</v>
      </c>
      <c r="B22" s="219" t="s">
        <v>188</v>
      </c>
      <c r="C22" s="5">
        <f t="shared" ref="C22:P22" si="13">C197</f>
        <v>271225</v>
      </c>
      <c r="D22" s="10">
        <f t="shared" si="13"/>
        <v>373155</v>
      </c>
      <c r="E22" s="11">
        <f t="shared" si="13"/>
        <v>72.684273291259657</v>
      </c>
      <c r="F22" s="10">
        <f t="shared" si="13"/>
        <v>74431</v>
      </c>
      <c r="G22" s="10">
        <f t="shared" si="13"/>
        <v>60616</v>
      </c>
      <c r="H22" s="11">
        <f>H197</f>
        <v>122.79101227398708</v>
      </c>
      <c r="I22" s="10">
        <f t="shared" si="13"/>
        <v>248795</v>
      </c>
      <c r="J22" s="10">
        <f t="shared" si="13"/>
        <v>387983</v>
      </c>
      <c r="K22" s="11">
        <f t="shared" si="13"/>
        <v>64.125232291105533</v>
      </c>
      <c r="L22" s="10">
        <f t="shared" si="13"/>
        <v>83244</v>
      </c>
      <c r="M22" s="10">
        <f t="shared" si="13"/>
        <v>104281</v>
      </c>
      <c r="N22" s="11">
        <f t="shared" si="13"/>
        <v>79.826622299364217</v>
      </c>
      <c r="O22" s="10">
        <f>O197</f>
        <v>233</v>
      </c>
      <c r="P22" s="11">
        <f t="shared" si="13"/>
        <v>55.630901287553648</v>
      </c>
      <c r="Q22" s="10">
        <f>Q197</f>
        <v>239</v>
      </c>
      <c r="R22" s="12">
        <f t="shared" si="1"/>
        <v>12962</v>
      </c>
    </row>
    <row r="23" spans="1:18" s="218" customFormat="1" x14ac:dyDescent="0.25">
      <c r="A23" s="214"/>
      <c r="B23" s="214" t="s">
        <v>189</v>
      </c>
      <c r="C23" s="215">
        <f>SUM(C10:C22)</f>
        <v>288736884.69999999</v>
      </c>
      <c r="D23" s="215">
        <f>SUM(D10:D22)</f>
        <v>269992836.69999999</v>
      </c>
      <c r="E23" s="216">
        <f>C23/D23*100</f>
        <v>106.94242418765623</v>
      </c>
      <c r="F23" s="215">
        <f>SUM(F10:F22)</f>
        <v>31945959</v>
      </c>
      <c r="G23" s="215">
        <f>SUM(G10:G22)</f>
        <v>31710263.399999999</v>
      </c>
      <c r="H23" s="216">
        <f>F23/G23*100</f>
        <v>100.74327859414754</v>
      </c>
      <c r="I23" s="215">
        <f>SUM(I10:I22)</f>
        <v>279879289.10000002</v>
      </c>
      <c r="J23" s="215">
        <f>SUM(J10:J22)</f>
        <v>270174869.69999999</v>
      </c>
      <c r="K23" s="216">
        <f>I23/J23*100</f>
        <v>103.59190305551947</v>
      </c>
      <c r="L23" s="215">
        <f>SUM(L10:L22)</f>
        <v>211149403</v>
      </c>
      <c r="M23" s="215">
        <f>SUM(M10:M22)</f>
        <v>207309845</v>
      </c>
      <c r="N23" s="216">
        <f>L23/M23*100</f>
        <v>101.85208666766405</v>
      </c>
      <c r="O23" s="215">
        <f>SUM(O10:O22)</f>
        <v>18228</v>
      </c>
      <c r="P23" s="216">
        <f>R23/O23</f>
        <v>121.68475422427036</v>
      </c>
      <c r="Q23" s="215">
        <f>SUM(Q10:Q22)</f>
        <v>17566</v>
      </c>
      <c r="R23" s="217">
        <f>SUM(R10:R22)</f>
        <v>2218069.7000000002</v>
      </c>
    </row>
    <row r="24" spans="1:18" x14ac:dyDescent="0.2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7"/>
      <c r="Q24" s="17"/>
      <c r="R24" s="18"/>
    </row>
    <row r="25" spans="1:18" s="22" customFormat="1" x14ac:dyDescent="0.25">
      <c r="A25" s="19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20"/>
      <c r="Q25" s="20"/>
      <c r="R25" s="21"/>
    </row>
    <row r="26" spans="1:18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18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 ht="156" customHeight="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s="24" customFormat="1" ht="14.25" x14ac:dyDescent="0.2">
      <c r="A30" s="325" t="s">
        <v>216</v>
      </c>
      <c r="B30" s="325"/>
      <c r="C30" s="325"/>
      <c r="D30" s="325"/>
      <c r="E30" s="325"/>
      <c r="F30" s="325"/>
      <c r="G30" s="325"/>
      <c r="H30" s="325"/>
      <c r="I30" s="325"/>
      <c r="J30" s="325"/>
      <c r="K30" s="325"/>
      <c r="L30" s="325"/>
      <c r="M30" s="325"/>
      <c r="N30" s="325"/>
      <c r="O30" s="325"/>
      <c r="P30" s="325"/>
      <c r="Q30" s="325"/>
      <c r="R30" s="23"/>
    </row>
    <row r="31" spans="1:18" s="24" customFormat="1" ht="14.25" x14ac:dyDescent="0.2">
      <c r="A31" s="325"/>
      <c r="B31" s="325"/>
      <c r="C31" s="325"/>
      <c r="D31" s="325"/>
      <c r="E31" s="325"/>
      <c r="F31" s="325"/>
      <c r="G31" s="325"/>
      <c r="H31" s="325"/>
      <c r="I31" s="325"/>
      <c r="J31" s="325"/>
      <c r="K31" s="325"/>
      <c r="L31" s="325"/>
      <c r="M31" s="325"/>
      <c r="N31" s="325"/>
      <c r="O31" s="325"/>
      <c r="P31" s="325"/>
      <c r="Q31" s="325"/>
      <c r="R31" s="23"/>
    </row>
    <row r="32" spans="1:18" s="24" customFormat="1" ht="6.75" customHeight="1" x14ac:dyDescent="0.2">
      <c r="A32" s="326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6"/>
      <c r="M32" s="326"/>
      <c r="N32" s="326"/>
      <c r="O32" s="326"/>
      <c r="P32" s="326"/>
      <c r="Q32" s="326"/>
      <c r="R32" s="25"/>
    </row>
    <row r="33" spans="1:18" x14ac:dyDescent="0.25">
      <c r="A33" s="327" t="s">
        <v>0</v>
      </c>
      <c r="B33" s="329" t="s">
        <v>24</v>
      </c>
      <c r="C33" s="331" t="s">
        <v>172</v>
      </c>
      <c r="D33" s="331"/>
      <c r="E33" s="331"/>
      <c r="F33" s="331"/>
      <c r="G33" s="331"/>
      <c r="H33" s="331" t="s">
        <v>2</v>
      </c>
      <c r="I33" s="331"/>
      <c r="J33" s="331"/>
      <c r="K33" s="331"/>
      <c r="L33" s="238"/>
      <c r="M33" s="238" t="s">
        <v>3</v>
      </c>
      <c r="N33" s="27"/>
      <c r="O33" s="329" t="s">
        <v>25</v>
      </c>
      <c r="P33" s="332" t="s">
        <v>26</v>
      </c>
      <c r="Q33" s="329" t="s">
        <v>27</v>
      </c>
      <c r="R33" s="28"/>
    </row>
    <row r="34" spans="1:18" ht="60" x14ac:dyDescent="0.25">
      <c r="A34" s="328"/>
      <c r="B34" s="330"/>
      <c r="C34" s="237" t="s">
        <v>7</v>
      </c>
      <c r="D34" s="237" t="s">
        <v>28</v>
      </c>
      <c r="E34" s="30" t="s">
        <v>29</v>
      </c>
      <c r="F34" s="237" t="s">
        <v>10</v>
      </c>
      <c r="G34" s="237" t="s">
        <v>30</v>
      </c>
      <c r="H34" s="30" t="s">
        <v>29</v>
      </c>
      <c r="I34" s="237" t="s">
        <v>11</v>
      </c>
      <c r="J34" s="237" t="s">
        <v>28</v>
      </c>
      <c r="K34" s="30" t="s">
        <v>29</v>
      </c>
      <c r="L34" s="237" t="s">
        <v>11</v>
      </c>
      <c r="M34" s="237" t="s">
        <v>28</v>
      </c>
      <c r="N34" s="30" t="s">
        <v>29</v>
      </c>
      <c r="O34" s="330"/>
      <c r="P34" s="333"/>
      <c r="Q34" s="330"/>
      <c r="R34" s="31"/>
    </row>
    <row r="35" spans="1:18" x14ac:dyDescent="0.25">
      <c r="A35" s="32"/>
      <c r="B35" s="33" t="s">
        <v>31</v>
      </c>
      <c r="C35" s="32"/>
      <c r="D35" s="32"/>
      <c r="E35" s="32"/>
      <c r="F35" s="32"/>
      <c r="G35" s="32"/>
      <c r="H35" s="32"/>
      <c r="I35" s="32"/>
      <c r="J35" s="32"/>
      <c r="K35" s="34"/>
      <c r="L35" s="32"/>
      <c r="M35" s="32"/>
      <c r="N35" s="32"/>
      <c r="O35" s="32"/>
      <c r="P35" s="35"/>
      <c r="Q35" s="35"/>
      <c r="R35" s="36"/>
    </row>
    <row r="36" spans="1:18" x14ac:dyDescent="0.25">
      <c r="A36" s="319" t="s">
        <v>32</v>
      </c>
      <c r="B36" s="320"/>
      <c r="C36" s="37">
        <v>3</v>
      </c>
      <c r="D36" s="37">
        <v>4</v>
      </c>
      <c r="E36" s="239">
        <v>5</v>
      </c>
      <c r="F36" s="37">
        <v>6</v>
      </c>
      <c r="G36" s="37">
        <v>7</v>
      </c>
      <c r="H36" s="37">
        <v>8</v>
      </c>
      <c r="I36" s="37">
        <v>9</v>
      </c>
      <c r="J36" s="37">
        <v>10</v>
      </c>
      <c r="K36" s="37">
        <v>11</v>
      </c>
      <c r="L36" s="37">
        <v>12</v>
      </c>
      <c r="M36" s="37">
        <v>13</v>
      </c>
      <c r="N36" s="37">
        <v>14</v>
      </c>
      <c r="O36" s="37">
        <v>15</v>
      </c>
      <c r="P36" s="239">
        <v>16</v>
      </c>
      <c r="Q36" s="37">
        <v>17</v>
      </c>
      <c r="R36" s="39"/>
    </row>
    <row r="37" spans="1:18" x14ac:dyDescent="0.25">
      <c r="A37" s="40">
        <v>1</v>
      </c>
      <c r="B37" s="41" t="s">
        <v>33</v>
      </c>
      <c r="C37" s="42">
        <v>120426</v>
      </c>
      <c r="D37" s="42">
        <v>125415</v>
      </c>
      <c r="E37" s="42">
        <f t="shared" ref="E37:E54" si="14">C37/D37*100</f>
        <v>96.022006936969262</v>
      </c>
      <c r="F37" s="42">
        <v>4294</v>
      </c>
      <c r="G37" s="42">
        <v>14484</v>
      </c>
      <c r="H37" s="42">
        <f>F37/G37*100</f>
        <v>29.646506489919911</v>
      </c>
      <c r="I37" s="42">
        <v>120426</v>
      </c>
      <c r="J37" s="42">
        <v>125415</v>
      </c>
      <c r="K37" s="42">
        <f>I37/J37*100</f>
        <v>96.022006936969262</v>
      </c>
      <c r="L37" s="42">
        <v>5501</v>
      </c>
      <c r="M37" s="42">
        <v>548</v>
      </c>
      <c r="N37" s="42">
        <f t="shared" ref="N37:N42" si="15">L37/M37*100</f>
        <v>1003.8321167883212</v>
      </c>
      <c r="O37" s="42">
        <v>91</v>
      </c>
      <c r="P37" s="42">
        <v>76</v>
      </c>
      <c r="Q37" s="42">
        <v>90</v>
      </c>
      <c r="R37" s="45">
        <f>O37*P37</f>
        <v>6916</v>
      </c>
    </row>
    <row r="38" spans="1:18" x14ac:dyDescent="0.25">
      <c r="A38" s="40">
        <v>2</v>
      </c>
      <c r="B38" s="41" t="s">
        <v>34</v>
      </c>
      <c r="C38" s="42">
        <v>0</v>
      </c>
      <c r="D38" s="42">
        <v>0</v>
      </c>
      <c r="E38" s="43">
        <v>0</v>
      </c>
      <c r="F38" s="42">
        <v>0</v>
      </c>
      <c r="G38" s="42">
        <v>0</v>
      </c>
      <c r="H38" s="43">
        <v>0</v>
      </c>
      <c r="I38" s="42">
        <v>0</v>
      </c>
      <c r="J38" s="42">
        <v>0</v>
      </c>
      <c r="K38" s="43">
        <v>0</v>
      </c>
      <c r="L38" s="42">
        <v>0</v>
      </c>
      <c r="M38" s="42">
        <v>0</v>
      </c>
      <c r="N38" s="43">
        <v>0</v>
      </c>
      <c r="O38" s="236">
        <v>0</v>
      </c>
      <c r="P38" s="44">
        <v>0</v>
      </c>
      <c r="Q38" s="236">
        <v>0</v>
      </c>
      <c r="R38" s="45">
        <f t="shared" ref="R38:R53" si="16">O38*P38</f>
        <v>0</v>
      </c>
    </row>
    <row r="39" spans="1:18" x14ac:dyDescent="0.25">
      <c r="A39" s="40">
        <v>3</v>
      </c>
      <c r="B39" s="41" t="s">
        <v>35</v>
      </c>
      <c r="C39" s="42">
        <v>66458</v>
      </c>
      <c r="D39" s="42">
        <v>48976</v>
      </c>
      <c r="E39" s="43">
        <f t="shared" si="14"/>
        <v>135.69503430251552</v>
      </c>
      <c r="F39" s="42">
        <v>13900</v>
      </c>
      <c r="G39" s="42">
        <v>7712</v>
      </c>
      <c r="H39" s="43">
        <f t="shared" ref="H39:H54" si="17">F39/G39*100</f>
        <v>180.23858921161826</v>
      </c>
      <c r="I39" s="42">
        <v>103511</v>
      </c>
      <c r="J39" s="42">
        <v>64992</v>
      </c>
      <c r="K39" s="43">
        <f t="shared" ref="K39:K54" si="18">I39/J39*100</f>
        <v>159.2672944362383</v>
      </c>
      <c r="L39" s="42">
        <v>0</v>
      </c>
      <c r="M39" s="42">
        <v>12643</v>
      </c>
      <c r="N39" s="43">
        <f t="shared" si="15"/>
        <v>0</v>
      </c>
      <c r="O39" s="236">
        <v>38</v>
      </c>
      <c r="P39" s="44">
        <v>70</v>
      </c>
      <c r="Q39" s="236">
        <v>38</v>
      </c>
      <c r="R39" s="45">
        <f t="shared" si="16"/>
        <v>2660</v>
      </c>
    </row>
    <row r="40" spans="1:18" x14ac:dyDescent="0.25">
      <c r="A40" s="40">
        <v>4</v>
      </c>
      <c r="B40" s="41" t="s">
        <v>36</v>
      </c>
      <c r="C40" s="42">
        <v>12700</v>
      </c>
      <c r="D40" s="42">
        <v>16730</v>
      </c>
      <c r="E40" s="43">
        <f t="shared" si="14"/>
        <v>75.911536162582181</v>
      </c>
      <c r="F40" s="42">
        <v>2400</v>
      </c>
      <c r="G40" s="42">
        <v>1500</v>
      </c>
      <c r="H40" s="43">
        <f t="shared" si="17"/>
        <v>160</v>
      </c>
      <c r="I40" s="42">
        <v>16541</v>
      </c>
      <c r="J40" s="42">
        <v>26632</v>
      </c>
      <c r="K40" s="43">
        <f t="shared" si="18"/>
        <v>62.109492340042053</v>
      </c>
      <c r="L40" s="42">
        <v>16541</v>
      </c>
      <c r="M40" s="42">
        <f>25623+1009</f>
        <v>26632</v>
      </c>
      <c r="N40" s="43">
        <f t="shared" si="15"/>
        <v>62.109492340042053</v>
      </c>
      <c r="O40" s="236">
        <v>20</v>
      </c>
      <c r="P40" s="44">
        <v>60</v>
      </c>
      <c r="Q40" s="236">
        <v>20</v>
      </c>
      <c r="R40" s="45">
        <f t="shared" si="16"/>
        <v>1200</v>
      </c>
    </row>
    <row r="41" spans="1:18" x14ac:dyDescent="0.25">
      <c r="A41" s="40">
        <v>5</v>
      </c>
      <c r="B41" s="41" t="s">
        <v>37</v>
      </c>
      <c r="C41" s="48">
        <v>39942</v>
      </c>
      <c r="D41" s="48">
        <v>97751</v>
      </c>
      <c r="E41" s="43">
        <f t="shared" si="14"/>
        <v>40.860963059201438</v>
      </c>
      <c r="F41" s="48">
        <v>5238</v>
      </c>
      <c r="G41" s="48">
        <v>26537</v>
      </c>
      <c r="H41" s="43">
        <f t="shared" si="17"/>
        <v>19.738478350981648</v>
      </c>
      <c r="I41" s="48">
        <v>46263</v>
      </c>
      <c r="J41" s="48">
        <v>98041</v>
      </c>
      <c r="K41" s="43">
        <f t="shared" si="18"/>
        <v>47.187401189298356</v>
      </c>
      <c r="L41" s="48">
        <f>6244+2898</f>
        <v>9142</v>
      </c>
      <c r="M41" s="48">
        <f>2535+7788</f>
        <v>10323</v>
      </c>
      <c r="N41" s="43">
        <f t="shared" si="15"/>
        <v>88.559527269204679</v>
      </c>
      <c r="O41" s="236">
        <v>52</v>
      </c>
      <c r="P41" s="44">
        <v>53</v>
      </c>
      <c r="Q41" s="236">
        <v>52</v>
      </c>
      <c r="R41" s="45">
        <f t="shared" si="16"/>
        <v>2756</v>
      </c>
    </row>
    <row r="42" spans="1:18" x14ac:dyDescent="0.25">
      <c r="A42" s="40">
        <v>6</v>
      </c>
      <c r="B42" s="41" t="s">
        <v>38</v>
      </c>
      <c r="C42" s="49">
        <v>74438</v>
      </c>
      <c r="D42" s="42">
        <v>113009</v>
      </c>
      <c r="E42" s="43">
        <f t="shared" si="14"/>
        <v>65.869090072472105</v>
      </c>
      <c r="F42" s="42">
        <v>9412</v>
      </c>
      <c r="G42" s="42">
        <v>10936</v>
      </c>
      <c r="H42" s="43">
        <f t="shared" si="17"/>
        <v>86.06437454279444</v>
      </c>
      <c r="I42" s="42">
        <v>73675</v>
      </c>
      <c r="J42" s="42">
        <v>107465</v>
      </c>
      <c r="K42" s="43">
        <f t="shared" si="18"/>
        <v>68.557204671288332</v>
      </c>
      <c r="L42" s="42">
        <v>878</v>
      </c>
      <c r="M42" s="42">
        <v>42730</v>
      </c>
      <c r="N42" s="43">
        <f t="shared" si="15"/>
        <v>2.0547624619705123</v>
      </c>
      <c r="O42" s="236">
        <v>64</v>
      </c>
      <c r="P42" s="44">
        <v>75</v>
      </c>
      <c r="Q42" s="236">
        <v>64</v>
      </c>
      <c r="R42" s="45">
        <f t="shared" si="16"/>
        <v>4800</v>
      </c>
    </row>
    <row r="43" spans="1:18" x14ac:dyDescent="0.25">
      <c r="A43" s="40">
        <v>7</v>
      </c>
      <c r="B43" s="41" t="s">
        <v>39</v>
      </c>
      <c r="C43" s="42">
        <v>4649</v>
      </c>
      <c r="D43" s="42">
        <v>300</v>
      </c>
      <c r="E43" s="55">
        <f t="shared" si="14"/>
        <v>1549.6666666666665</v>
      </c>
      <c r="F43" s="42">
        <v>450</v>
      </c>
      <c r="G43" s="42">
        <v>0</v>
      </c>
      <c r="H43" s="43">
        <v>0</v>
      </c>
      <c r="I43" s="42">
        <v>660</v>
      </c>
      <c r="J43" s="42">
        <v>300</v>
      </c>
      <c r="K43" s="43">
        <f t="shared" si="18"/>
        <v>220.00000000000003</v>
      </c>
      <c r="L43" s="42">
        <v>0</v>
      </c>
      <c r="M43" s="42">
        <v>0</v>
      </c>
      <c r="N43" s="43">
        <v>0</v>
      </c>
      <c r="O43" s="236">
        <v>23</v>
      </c>
      <c r="P43" s="44">
        <v>75</v>
      </c>
      <c r="Q43" s="236">
        <v>34</v>
      </c>
      <c r="R43" s="45">
        <f t="shared" si="16"/>
        <v>1725</v>
      </c>
    </row>
    <row r="44" spans="1:18" x14ac:dyDescent="0.25">
      <c r="A44" s="40">
        <v>8</v>
      </c>
      <c r="B44" s="41" t="s">
        <v>41</v>
      </c>
      <c r="C44" s="51">
        <v>75441</v>
      </c>
      <c r="D44" s="42">
        <v>78124</v>
      </c>
      <c r="E44" s="43">
        <f t="shared" si="14"/>
        <v>96.565716041165331</v>
      </c>
      <c r="F44" s="42">
        <v>12117</v>
      </c>
      <c r="G44" s="42">
        <v>11383</v>
      </c>
      <c r="H44" s="43">
        <f t="shared" si="17"/>
        <v>106.44821224633225</v>
      </c>
      <c r="I44" s="42">
        <v>73839</v>
      </c>
      <c r="J44" s="42">
        <v>79018</v>
      </c>
      <c r="K44" s="43">
        <f t="shared" si="18"/>
        <v>93.445797160140728</v>
      </c>
      <c r="L44" s="42">
        <v>0</v>
      </c>
      <c r="M44" s="42">
        <v>0</v>
      </c>
      <c r="N44" s="43">
        <v>0</v>
      </c>
      <c r="O44" s="236">
        <v>44</v>
      </c>
      <c r="P44" s="44">
        <v>68</v>
      </c>
      <c r="Q44" s="236">
        <v>44</v>
      </c>
      <c r="R44" s="45">
        <f t="shared" si="16"/>
        <v>2992</v>
      </c>
    </row>
    <row r="45" spans="1:18" x14ac:dyDescent="0.25">
      <c r="A45" s="40">
        <v>9</v>
      </c>
      <c r="B45" s="41" t="s">
        <v>42</v>
      </c>
      <c r="C45" s="51">
        <v>213759</v>
      </c>
      <c r="D45" s="42">
        <v>191945</v>
      </c>
      <c r="E45" s="52">
        <f t="shared" si="14"/>
        <v>111.36471385032172</v>
      </c>
      <c r="F45" s="42">
        <v>36647</v>
      </c>
      <c r="G45" s="42">
        <v>20884</v>
      </c>
      <c r="H45" s="43">
        <f t="shared" si="17"/>
        <v>175.47883547213178</v>
      </c>
      <c r="I45" s="42">
        <v>190716</v>
      </c>
      <c r="J45" s="53">
        <v>189032</v>
      </c>
      <c r="K45" s="43">
        <f t="shared" si="18"/>
        <v>100.89085445850439</v>
      </c>
      <c r="L45" s="42">
        <v>0</v>
      </c>
      <c r="M45" s="42">
        <v>0</v>
      </c>
      <c r="N45" s="43">
        <v>0</v>
      </c>
      <c r="O45" s="236">
        <v>77</v>
      </c>
      <c r="P45" s="44">
        <v>110</v>
      </c>
      <c r="Q45" s="236">
        <v>77</v>
      </c>
      <c r="R45" s="45">
        <f t="shared" si="16"/>
        <v>8470</v>
      </c>
    </row>
    <row r="46" spans="1:18" x14ac:dyDescent="0.25">
      <c r="A46" s="40">
        <v>10</v>
      </c>
      <c r="B46" s="41" t="s">
        <v>43</v>
      </c>
      <c r="C46" s="51">
        <v>806820</v>
      </c>
      <c r="D46" s="42">
        <v>839790</v>
      </c>
      <c r="E46" s="43">
        <f t="shared" si="14"/>
        <v>96.074018504626153</v>
      </c>
      <c r="F46" s="51">
        <v>62851</v>
      </c>
      <c r="G46" s="42">
        <v>75901</v>
      </c>
      <c r="H46" s="43">
        <f t="shared" si="17"/>
        <v>82.806550638331515</v>
      </c>
      <c r="I46" s="42">
        <v>718568</v>
      </c>
      <c r="J46" s="42">
        <v>858561</v>
      </c>
      <c r="K46" s="43">
        <f t="shared" si="18"/>
        <v>83.694460847860555</v>
      </c>
      <c r="L46" s="42">
        <v>712448</v>
      </c>
      <c r="M46" s="42">
        <v>857580</v>
      </c>
      <c r="N46" s="43">
        <f t="shared" ref="N46:N48" si="19">L46/M46*100</f>
        <v>83.076564285547704</v>
      </c>
      <c r="O46" s="236">
        <v>198</v>
      </c>
      <c r="P46" s="44">
        <v>84</v>
      </c>
      <c r="Q46" s="236">
        <v>204</v>
      </c>
      <c r="R46" s="45">
        <f t="shared" si="16"/>
        <v>16632</v>
      </c>
    </row>
    <row r="47" spans="1:18" x14ac:dyDescent="0.25">
      <c r="A47" s="40">
        <v>11</v>
      </c>
      <c r="B47" s="41" t="s">
        <v>44</v>
      </c>
      <c r="C47" s="51">
        <v>23715</v>
      </c>
      <c r="D47" s="42">
        <v>20860</v>
      </c>
      <c r="E47" s="43">
        <f t="shared" si="14"/>
        <v>113.68648130393098</v>
      </c>
      <c r="F47" s="42">
        <v>6452</v>
      </c>
      <c r="G47" s="42">
        <v>522</v>
      </c>
      <c r="H47" s="43">
        <f t="shared" si="17"/>
        <v>1236.0153256704982</v>
      </c>
      <c r="I47" s="42">
        <v>30807</v>
      </c>
      <c r="J47" s="42">
        <v>30360</v>
      </c>
      <c r="K47" s="43">
        <f t="shared" si="18"/>
        <v>101.47233201581028</v>
      </c>
      <c r="L47" s="42">
        <v>30807</v>
      </c>
      <c r="M47" s="42">
        <v>30360</v>
      </c>
      <c r="N47" s="43">
        <f t="shared" si="19"/>
        <v>101.47233201581028</v>
      </c>
      <c r="O47" s="236">
        <v>24</v>
      </c>
      <c r="P47" s="44">
        <v>67</v>
      </c>
      <c r="Q47" s="236">
        <v>24</v>
      </c>
      <c r="R47" s="45">
        <f t="shared" si="16"/>
        <v>1608</v>
      </c>
    </row>
    <row r="48" spans="1:18" x14ac:dyDescent="0.25">
      <c r="A48" s="40">
        <v>12</v>
      </c>
      <c r="B48" s="41" t="s">
        <v>45</v>
      </c>
      <c r="C48" s="42">
        <v>75527</v>
      </c>
      <c r="D48" s="42">
        <v>58690</v>
      </c>
      <c r="E48" s="43">
        <f t="shared" si="14"/>
        <v>128.68802180950757</v>
      </c>
      <c r="F48" s="54">
        <v>4539</v>
      </c>
      <c r="G48" s="54">
        <v>7260</v>
      </c>
      <c r="H48" s="43">
        <f t="shared" si="17"/>
        <v>62.52066115702479</v>
      </c>
      <c r="I48" s="54">
        <v>80423</v>
      </c>
      <c r="J48" s="54">
        <v>68977</v>
      </c>
      <c r="K48" s="43">
        <f t="shared" si="18"/>
        <v>116.59393710947128</v>
      </c>
      <c r="L48" s="55">
        <v>74862</v>
      </c>
      <c r="M48" s="54">
        <v>63952</v>
      </c>
      <c r="N48" s="43">
        <f t="shared" si="19"/>
        <v>117.05966975231424</v>
      </c>
      <c r="O48" s="236">
        <v>27</v>
      </c>
      <c r="P48" s="44">
        <v>111</v>
      </c>
      <c r="Q48" s="236">
        <v>27</v>
      </c>
      <c r="R48" s="45">
        <f t="shared" si="16"/>
        <v>2997</v>
      </c>
    </row>
    <row r="49" spans="1:18" x14ac:dyDescent="0.25">
      <c r="A49" s="40">
        <v>13</v>
      </c>
      <c r="B49" s="41" t="s">
        <v>46</v>
      </c>
      <c r="C49" s="49">
        <v>285136</v>
      </c>
      <c r="D49" s="49">
        <v>269724</v>
      </c>
      <c r="E49" s="43">
        <f t="shared" si="14"/>
        <v>105.71398911479884</v>
      </c>
      <c r="F49" s="49">
        <v>24487</v>
      </c>
      <c r="G49" s="49">
        <v>24920</v>
      </c>
      <c r="H49" s="43">
        <f t="shared" si="17"/>
        <v>98.262439807383629</v>
      </c>
      <c r="I49" s="42">
        <v>278668</v>
      </c>
      <c r="J49" s="42">
        <v>277590</v>
      </c>
      <c r="K49" s="43">
        <f t="shared" si="18"/>
        <v>100.3883425195432</v>
      </c>
      <c r="L49" s="49">
        <v>3429</v>
      </c>
      <c r="M49" s="49">
        <v>0</v>
      </c>
      <c r="N49" s="43">
        <v>0</v>
      </c>
      <c r="O49" s="236">
        <v>80</v>
      </c>
      <c r="P49" s="44">
        <v>107</v>
      </c>
      <c r="Q49" s="236">
        <v>80</v>
      </c>
      <c r="R49" s="45">
        <f t="shared" si="16"/>
        <v>8560</v>
      </c>
    </row>
    <row r="50" spans="1:18" x14ac:dyDescent="0.25">
      <c r="A50" s="40">
        <v>14</v>
      </c>
      <c r="B50" s="41" t="s">
        <v>47</v>
      </c>
      <c r="C50" s="236">
        <v>13427</v>
      </c>
      <c r="D50" s="236">
        <v>27244</v>
      </c>
      <c r="E50" s="47">
        <f t="shared" si="14"/>
        <v>49.284246072529733</v>
      </c>
      <c r="F50" s="236">
        <v>1455</v>
      </c>
      <c r="G50" s="236">
        <v>2384</v>
      </c>
      <c r="H50" s="47">
        <f t="shared" si="17"/>
        <v>61.031879194630868</v>
      </c>
      <c r="I50" s="236">
        <v>15490</v>
      </c>
      <c r="J50" s="236">
        <v>27584</v>
      </c>
      <c r="K50" s="47">
        <f t="shared" si="18"/>
        <v>56.155742459396748</v>
      </c>
      <c r="L50" s="236">
        <v>0</v>
      </c>
      <c r="M50" s="236">
        <v>8026</v>
      </c>
      <c r="N50" s="43">
        <v>0</v>
      </c>
      <c r="O50" s="236">
        <v>13</v>
      </c>
      <c r="P50" s="44">
        <v>80</v>
      </c>
      <c r="Q50" s="236">
        <v>13</v>
      </c>
      <c r="R50" s="45">
        <f t="shared" si="16"/>
        <v>1040</v>
      </c>
    </row>
    <row r="51" spans="1:18" x14ac:dyDescent="0.25">
      <c r="A51" s="40">
        <v>15</v>
      </c>
      <c r="B51" s="41" t="s">
        <v>48</v>
      </c>
      <c r="C51" s="42">
        <v>275943</v>
      </c>
      <c r="D51" s="53">
        <v>34473</v>
      </c>
      <c r="E51" s="47">
        <f t="shared" si="14"/>
        <v>800.46123052823953</v>
      </c>
      <c r="F51" s="42">
        <v>50820</v>
      </c>
      <c r="G51" s="42">
        <v>10000</v>
      </c>
      <c r="H51" s="47">
        <f t="shared" si="17"/>
        <v>508.2</v>
      </c>
      <c r="I51" s="42">
        <v>415610</v>
      </c>
      <c r="J51" s="42">
        <v>57496</v>
      </c>
      <c r="K51" s="47">
        <f t="shared" si="18"/>
        <v>722.85028523723383</v>
      </c>
      <c r="L51" s="42">
        <v>353437</v>
      </c>
      <c r="M51" s="42">
        <v>33785</v>
      </c>
      <c r="N51" s="47">
        <f t="shared" ref="N51" si="20">L51/M51*100</f>
        <v>1046.135859109072</v>
      </c>
      <c r="O51" s="236">
        <v>50</v>
      </c>
      <c r="P51" s="44">
        <v>95</v>
      </c>
      <c r="Q51" s="236">
        <v>62</v>
      </c>
      <c r="R51" s="45">
        <f t="shared" si="16"/>
        <v>4750</v>
      </c>
    </row>
    <row r="52" spans="1:18" x14ac:dyDescent="0.25">
      <c r="A52" s="40">
        <v>16</v>
      </c>
      <c r="B52" s="41" t="s">
        <v>49</v>
      </c>
      <c r="C52" s="42">
        <v>3106</v>
      </c>
      <c r="D52" s="53">
        <v>2987</v>
      </c>
      <c r="E52" s="47">
        <f t="shared" si="14"/>
        <v>103.98393036491463</v>
      </c>
      <c r="F52" s="42">
        <v>0</v>
      </c>
      <c r="G52" s="42">
        <v>0</v>
      </c>
      <c r="H52" s="47">
        <v>0</v>
      </c>
      <c r="I52" s="42">
        <v>3106</v>
      </c>
      <c r="J52" s="42">
        <v>2987</v>
      </c>
      <c r="K52" s="47">
        <f t="shared" si="18"/>
        <v>103.98393036491463</v>
      </c>
      <c r="L52" s="42">
        <v>0</v>
      </c>
      <c r="M52" s="42">
        <v>0</v>
      </c>
      <c r="N52" s="43">
        <v>0</v>
      </c>
      <c r="O52" s="236">
        <v>3</v>
      </c>
      <c r="P52" s="44">
        <v>40</v>
      </c>
      <c r="Q52" s="236">
        <v>3</v>
      </c>
      <c r="R52" s="45">
        <f t="shared" si="16"/>
        <v>120</v>
      </c>
    </row>
    <row r="53" spans="1:18" x14ac:dyDescent="0.25">
      <c r="A53" s="40">
        <v>17</v>
      </c>
      <c r="B53" s="41" t="s">
        <v>169</v>
      </c>
      <c r="C53" s="236">
        <v>693900</v>
      </c>
      <c r="D53" s="236">
        <v>0</v>
      </c>
      <c r="E53" s="47">
        <v>0</v>
      </c>
      <c r="F53" s="236">
        <v>9900</v>
      </c>
      <c r="G53" s="236">
        <v>0</v>
      </c>
      <c r="H53" s="47">
        <v>0</v>
      </c>
      <c r="I53" s="236">
        <v>56200</v>
      </c>
      <c r="J53" s="236">
        <v>0</v>
      </c>
      <c r="K53" s="43">
        <v>0</v>
      </c>
      <c r="L53" s="236">
        <v>0</v>
      </c>
      <c r="M53" s="236">
        <v>0</v>
      </c>
      <c r="N53" s="47">
        <v>0</v>
      </c>
      <c r="O53" s="236">
        <v>13</v>
      </c>
      <c r="P53" s="44">
        <v>70</v>
      </c>
      <c r="Q53" s="236">
        <v>13</v>
      </c>
      <c r="R53" s="45">
        <f t="shared" si="16"/>
        <v>910</v>
      </c>
    </row>
    <row r="54" spans="1:18" s="60" customFormat="1" x14ac:dyDescent="0.25">
      <c r="A54" s="315" t="s">
        <v>50</v>
      </c>
      <c r="B54" s="315"/>
      <c r="C54" s="56">
        <f>SUM(C37:C53)</f>
        <v>2785387</v>
      </c>
      <c r="D54" s="56">
        <f>SUM(D37:D53)</f>
        <v>1926018</v>
      </c>
      <c r="E54" s="57">
        <f t="shared" si="14"/>
        <v>144.61894956329587</v>
      </c>
      <c r="F54" s="56">
        <f>SUM(F37:F53)</f>
        <v>244962</v>
      </c>
      <c r="G54" s="56">
        <f>SUM(G37:G52)</f>
        <v>214423</v>
      </c>
      <c r="H54" s="57">
        <f t="shared" si="17"/>
        <v>114.24240869682822</v>
      </c>
      <c r="I54" s="56">
        <f>SUM(I37:I53)</f>
        <v>2224503</v>
      </c>
      <c r="J54" s="56">
        <f>SUM(J37:J53)</f>
        <v>2014450</v>
      </c>
      <c r="K54" s="57">
        <f t="shared" si="18"/>
        <v>110.42731266598824</v>
      </c>
      <c r="L54" s="56">
        <f>SUM(L37:L53)</f>
        <v>1207045</v>
      </c>
      <c r="M54" s="56">
        <f>SUM(M37:M53)</f>
        <v>1086579</v>
      </c>
      <c r="N54" s="57">
        <f>L54/M54*100</f>
        <v>111.0867226405075</v>
      </c>
      <c r="O54" s="56">
        <f>SUM(O37:O53)</f>
        <v>817</v>
      </c>
      <c r="P54" s="57">
        <f>R54/O54</f>
        <v>83.397796817625462</v>
      </c>
      <c r="Q54" s="56">
        <f>SUM(Q37:Q53)</f>
        <v>845</v>
      </c>
      <c r="R54" s="56">
        <f>SUM(R37:R53)</f>
        <v>68136</v>
      </c>
    </row>
    <row r="55" spans="1:18" x14ac:dyDescent="0.25">
      <c r="A55" s="236"/>
      <c r="B55" s="61"/>
      <c r="C55" s="236"/>
      <c r="D55" s="236"/>
      <c r="E55" s="236"/>
      <c r="F55" s="236"/>
      <c r="G55" s="236"/>
      <c r="H55" s="236"/>
      <c r="I55" s="236"/>
      <c r="J55" s="236"/>
      <c r="K55" s="34"/>
      <c r="L55" s="236"/>
      <c r="M55" s="236"/>
      <c r="N55" s="236"/>
      <c r="O55" s="236"/>
      <c r="P55" s="62"/>
      <c r="Q55" s="236"/>
      <c r="R55" s="39"/>
    </row>
    <row r="56" spans="1:18" x14ac:dyDescent="0.25">
      <c r="A56" s="319" t="s">
        <v>51</v>
      </c>
      <c r="B56" s="320"/>
      <c r="C56" s="37">
        <v>3</v>
      </c>
      <c r="D56" s="37">
        <v>4</v>
      </c>
      <c r="E56" s="239">
        <v>5</v>
      </c>
      <c r="F56" s="37">
        <v>6</v>
      </c>
      <c r="G56" s="37">
        <v>7</v>
      </c>
      <c r="H56" s="37">
        <v>8</v>
      </c>
      <c r="I56" s="37">
        <v>9</v>
      </c>
      <c r="J56" s="37">
        <v>10</v>
      </c>
      <c r="K56" s="37">
        <v>11</v>
      </c>
      <c r="L56" s="37">
        <v>12</v>
      </c>
      <c r="M56" s="37">
        <v>13</v>
      </c>
      <c r="N56" s="37">
        <v>14</v>
      </c>
      <c r="O56" s="37">
        <v>15</v>
      </c>
      <c r="P56" s="239">
        <v>16</v>
      </c>
      <c r="Q56" s="37">
        <v>15</v>
      </c>
      <c r="R56" s="39"/>
    </row>
    <row r="57" spans="1:18" s="66" customFormat="1" x14ac:dyDescent="0.25">
      <c r="A57" s="44">
        <v>1</v>
      </c>
      <c r="B57" s="63" t="s">
        <v>52</v>
      </c>
      <c r="C57" s="64">
        <v>423708</v>
      </c>
      <c r="D57" s="65">
        <v>344612</v>
      </c>
      <c r="E57" s="43">
        <f t="shared" ref="E57:E64" si="21">C57/D57*100</f>
        <v>122.95218970900608</v>
      </c>
      <c r="F57" s="65">
        <v>46053</v>
      </c>
      <c r="G57" s="68">
        <v>58843</v>
      </c>
      <c r="H57" s="43">
        <f>F57/G57*100</f>
        <v>78.26419455160341</v>
      </c>
      <c r="I57" s="65">
        <v>424083</v>
      </c>
      <c r="J57" s="65">
        <v>361925</v>
      </c>
      <c r="K57" s="43">
        <f t="shared" ref="K57:K64" si="22">I57/J57*100</f>
        <v>117.17427643848863</v>
      </c>
      <c r="L57" s="65">
        <v>422935</v>
      </c>
      <c r="M57" s="65">
        <v>304319</v>
      </c>
      <c r="N57" s="43">
        <f>L57/M57*100</f>
        <v>138.97752029942265</v>
      </c>
      <c r="O57" s="68">
        <v>150</v>
      </c>
      <c r="P57" s="65">
        <v>86</v>
      </c>
      <c r="Q57" s="68">
        <v>154</v>
      </c>
      <c r="R57" s="45">
        <f>O57*P57</f>
        <v>12900</v>
      </c>
    </row>
    <row r="58" spans="1:18" x14ac:dyDescent="0.25">
      <c r="A58" s="67">
        <v>2</v>
      </c>
      <c r="B58" s="63" t="s">
        <v>53</v>
      </c>
      <c r="C58" s="42">
        <v>121901</v>
      </c>
      <c r="D58" s="42">
        <v>72747</v>
      </c>
      <c r="E58" s="43">
        <f t="shared" si="21"/>
        <v>167.56842206551471</v>
      </c>
      <c r="F58" s="68">
        <v>1907</v>
      </c>
      <c r="G58" s="68">
        <v>8935</v>
      </c>
      <c r="H58" s="43">
        <f t="shared" ref="H58:H64" si="23">F58/G58*100</f>
        <v>21.343033016228315</v>
      </c>
      <c r="I58" s="68">
        <v>133478</v>
      </c>
      <c r="J58" s="68">
        <v>72440</v>
      </c>
      <c r="K58" s="43">
        <f t="shared" si="22"/>
        <v>184.26007730535616</v>
      </c>
      <c r="L58" s="68">
        <v>0</v>
      </c>
      <c r="M58" s="68">
        <v>3908</v>
      </c>
      <c r="N58" s="43">
        <v>0</v>
      </c>
      <c r="O58" s="68">
        <v>129</v>
      </c>
      <c r="P58" s="68">
        <v>105</v>
      </c>
      <c r="Q58" s="68">
        <v>128</v>
      </c>
      <c r="R58" s="45">
        <f t="shared" ref="R58:R65" si="24">O58*P58</f>
        <v>13545</v>
      </c>
    </row>
    <row r="59" spans="1:18" x14ac:dyDescent="0.25">
      <c r="A59" s="67">
        <v>3</v>
      </c>
      <c r="B59" s="63" t="s">
        <v>54</v>
      </c>
      <c r="C59" s="68">
        <v>200146</v>
      </c>
      <c r="D59" s="68">
        <v>331438</v>
      </c>
      <c r="E59" s="43">
        <f t="shared" si="21"/>
        <v>60.387161399718806</v>
      </c>
      <c r="F59" s="68">
        <v>28725</v>
      </c>
      <c r="G59" s="68">
        <v>27349</v>
      </c>
      <c r="H59" s="43">
        <f t="shared" si="23"/>
        <v>105.03126256901531</v>
      </c>
      <c r="I59" s="68">
        <v>200146</v>
      </c>
      <c r="J59" s="68">
        <v>331438</v>
      </c>
      <c r="K59" s="43">
        <f t="shared" si="22"/>
        <v>60.387161399718806</v>
      </c>
      <c r="L59" s="68">
        <v>0</v>
      </c>
      <c r="M59" s="68">
        <v>0</v>
      </c>
      <c r="N59" s="43">
        <v>0</v>
      </c>
      <c r="O59" s="68">
        <v>118</v>
      </c>
      <c r="P59" s="68">
        <v>50</v>
      </c>
      <c r="Q59" s="68">
        <v>118</v>
      </c>
      <c r="R59" s="45">
        <f t="shared" si="24"/>
        <v>5900</v>
      </c>
    </row>
    <row r="60" spans="1:18" x14ac:dyDescent="0.25">
      <c r="A60" s="44">
        <v>4</v>
      </c>
      <c r="B60" s="63" t="s">
        <v>55</v>
      </c>
      <c r="C60" s="68">
        <v>209555</v>
      </c>
      <c r="D60" s="68">
        <v>241167</v>
      </c>
      <c r="E60" s="43">
        <f t="shared" si="21"/>
        <v>86.892070639847077</v>
      </c>
      <c r="F60" s="68">
        <v>16103</v>
      </c>
      <c r="G60" s="68">
        <v>45134</v>
      </c>
      <c r="H60" s="43">
        <f t="shared" si="23"/>
        <v>35.678202685336998</v>
      </c>
      <c r="I60" s="48">
        <v>223729</v>
      </c>
      <c r="J60" s="48">
        <v>228946</v>
      </c>
      <c r="K60" s="43">
        <f>I60/J60*100</f>
        <v>97.72129672499193</v>
      </c>
      <c r="L60" s="68">
        <f>96603+2761</f>
        <v>99364</v>
      </c>
      <c r="M60" s="68">
        <f>98772+4625</f>
        <v>103397</v>
      </c>
      <c r="N60" s="43">
        <f t="shared" ref="N60:N62" si="25">L60/M60*100</f>
        <v>96.099499985492812</v>
      </c>
      <c r="O60" s="68">
        <v>66</v>
      </c>
      <c r="P60" s="68">
        <v>57</v>
      </c>
      <c r="Q60" s="68">
        <v>65</v>
      </c>
      <c r="R60" s="45">
        <f t="shared" si="24"/>
        <v>3762</v>
      </c>
    </row>
    <row r="61" spans="1:18" x14ac:dyDescent="0.25">
      <c r="A61" s="67">
        <v>5</v>
      </c>
      <c r="B61" s="63" t="s">
        <v>56</v>
      </c>
      <c r="C61" s="42">
        <v>0</v>
      </c>
      <c r="D61" s="42">
        <v>0</v>
      </c>
      <c r="E61" s="43">
        <v>0</v>
      </c>
      <c r="F61" s="42">
        <v>0</v>
      </c>
      <c r="G61" s="42">
        <v>0</v>
      </c>
      <c r="H61" s="43">
        <v>0</v>
      </c>
      <c r="I61" s="42">
        <v>0</v>
      </c>
      <c r="J61" s="42">
        <v>0</v>
      </c>
      <c r="K61" s="43">
        <v>0</v>
      </c>
      <c r="L61" s="42">
        <v>0</v>
      </c>
      <c r="M61" s="42">
        <v>0</v>
      </c>
      <c r="N61" s="43">
        <v>0</v>
      </c>
      <c r="O61" s="242">
        <v>0</v>
      </c>
      <c r="P61" s="44">
        <v>0</v>
      </c>
      <c r="Q61" s="242">
        <v>0</v>
      </c>
      <c r="R61" s="45">
        <f t="shared" si="24"/>
        <v>0</v>
      </c>
    </row>
    <row r="62" spans="1:18" x14ac:dyDescent="0.25">
      <c r="A62" s="67">
        <v>6</v>
      </c>
      <c r="B62" s="63" t="s">
        <v>57</v>
      </c>
      <c r="C62" s="68">
        <v>40169</v>
      </c>
      <c r="D62" s="68">
        <v>55221</v>
      </c>
      <c r="E62" s="43">
        <f t="shared" si="21"/>
        <v>72.742253852700969</v>
      </c>
      <c r="F62" s="68">
        <v>3659</v>
      </c>
      <c r="G62" s="68">
        <v>6469</v>
      </c>
      <c r="H62" s="43">
        <f t="shared" si="23"/>
        <v>56.562065234193845</v>
      </c>
      <c r="I62" s="68">
        <v>44259</v>
      </c>
      <c r="J62" s="68">
        <v>57624</v>
      </c>
      <c r="K62" s="43">
        <f t="shared" si="22"/>
        <v>76.806538942107466</v>
      </c>
      <c r="L62" s="68">
        <v>44124</v>
      </c>
      <c r="M62" s="68">
        <v>57624</v>
      </c>
      <c r="N62" s="43">
        <f t="shared" si="25"/>
        <v>76.5722615576843</v>
      </c>
      <c r="O62" s="68">
        <v>34</v>
      </c>
      <c r="P62" s="68">
        <v>42</v>
      </c>
      <c r="Q62" s="68">
        <v>34</v>
      </c>
      <c r="R62" s="45">
        <f t="shared" si="24"/>
        <v>1428</v>
      </c>
    </row>
    <row r="63" spans="1:18" x14ac:dyDescent="0.25">
      <c r="A63" s="44">
        <v>7</v>
      </c>
      <c r="B63" s="63" t="s">
        <v>58</v>
      </c>
      <c r="C63" s="42">
        <v>42846</v>
      </c>
      <c r="D63" s="42">
        <v>75260</v>
      </c>
      <c r="E63" s="43">
        <f t="shared" si="21"/>
        <v>56.930640446452294</v>
      </c>
      <c r="F63" s="42">
        <v>5464</v>
      </c>
      <c r="G63" s="42">
        <v>9114</v>
      </c>
      <c r="H63" s="43">
        <f t="shared" si="23"/>
        <v>59.951722624533687</v>
      </c>
      <c r="I63" s="42">
        <v>45166</v>
      </c>
      <c r="J63" s="42">
        <v>89449</v>
      </c>
      <c r="K63" s="43">
        <f t="shared" si="22"/>
        <v>50.493577345750097</v>
      </c>
      <c r="L63" s="69">
        <v>38411</v>
      </c>
      <c r="M63" s="42">
        <v>89413</v>
      </c>
      <c r="N63" s="43">
        <f>L63/M63*100</f>
        <v>42.959077539060317</v>
      </c>
      <c r="O63" s="68">
        <v>40</v>
      </c>
      <c r="P63" s="68">
        <v>50</v>
      </c>
      <c r="Q63" s="68">
        <v>41</v>
      </c>
      <c r="R63" s="45">
        <f t="shared" si="24"/>
        <v>2000</v>
      </c>
    </row>
    <row r="64" spans="1:18" s="66" customFormat="1" x14ac:dyDescent="0.25">
      <c r="A64" s="67">
        <v>8</v>
      </c>
      <c r="B64" s="63" t="s">
        <v>59</v>
      </c>
      <c r="C64" s="199">
        <v>255400</v>
      </c>
      <c r="D64" s="42">
        <v>324000</v>
      </c>
      <c r="E64" s="43">
        <f t="shared" si="21"/>
        <v>78.827160493827165</v>
      </c>
      <c r="F64" s="42">
        <v>102300</v>
      </c>
      <c r="G64" s="198">
        <v>159000</v>
      </c>
      <c r="H64" s="43">
        <f t="shared" si="23"/>
        <v>64.339622641509436</v>
      </c>
      <c r="I64" s="42">
        <v>215727</v>
      </c>
      <c r="J64" s="198">
        <v>329740</v>
      </c>
      <c r="K64" s="43">
        <f t="shared" si="22"/>
        <v>65.423363862437071</v>
      </c>
      <c r="L64" s="42">
        <v>215727</v>
      </c>
      <c r="M64" s="198">
        <v>329740</v>
      </c>
      <c r="N64" s="43">
        <f t="shared" ref="N64" si="26">L64/M64*100</f>
        <v>65.423363862437071</v>
      </c>
      <c r="O64" s="68">
        <v>40</v>
      </c>
      <c r="P64" s="65">
        <v>75</v>
      </c>
      <c r="Q64" s="68">
        <v>35</v>
      </c>
      <c r="R64" s="45">
        <f t="shared" si="24"/>
        <v>3000</v>
      </c>
    </row>
    <row r="65" spans="1:18" s="66" customFormat="1" x14ac:dyDescent="0.25">
      <c r="A65" s="67">
        <v>9</v>
      </c>
      <c r="B65" s="63" t="s">
        <v>60</v>
      </c>
      <c r="C65" s="42">
        <v>0</v>
      </c>
      <c r="D65" s="42">
        <v>0</v>
      </c>
      <c r="E65" s="43">
        <v>0</v>
      </c>
      <c r="F65" s="42">
        <v>0</v>
      </c>
      <c r="G65" s="42">
        <v>0</v>
      </c>
      <c r="H65" s="43">
        <v>0</v>
      </c>
      <c r="I65" s="42">
        <v>0</v>
      </c>
      <c r="J65" s="42">
        <v>0</v>
      </c>
      <c r="K65" s="43">
        <v>0</v>
      </c>
      <c r="L65" s="42">
        <v>0</v>
      </c>
      <c r="M65" s="42">
        <v>0</v>
      </c>
      <c r="N65" s="43">
        <v>0</v>
      </c>
      <c r="O65" s="242">
        <v>0</v>
      </c>
      <c r="P65" s="44">
        <v>0</v>
      </c>
      <c r="Q65" s="242">
        <v>0</v>
      </c>
      <c r="R65" s="45">
        <f t="shared" si="24"/>
        <v>0</v>
      </c>
    </row>
    <row r="66" spans="1:18" s="60" customFormat="1" x14ac:dyDescent="0.25">
      <c r="A66" s="334" t="s">
        <v>61</v>
      </c>
      <c r="B66" s="334"/>
      <c r="C66" s="70">
        <f>SUM(C57:C65)</f>
        <v>1293725</v>
      </c>
      <c r="D66" s="70">
        <f>SUM(D57:D65)</f>
        <v>1444445</v>
      </c>
      <c r="E66" s="71">
        <f>C66/D66*100</f>
        <v>89.565542474791357</v>
      </c>
      <c r="F66" s="70">
        <f>SUM(F57:F65)</f>
        <v>204211</v>
      </c>
      <c r="G66" s="70">
        <f>SUM(G57:G65)</f>
        <v>314844</v>
      </c>
      <c r="H66" s="71">
        <f>F66/G66*100</f>
        <v>64.861010532200069</v>
      </c>
      <c r="I66" s="72">
        <f>SUM(I57:I65)</f>
        <v>1286588</v>
      </c>
      <c r="J66" s="70">
        <f>SUM(J57:J65)</f>
        <v>1471562</v>
      </c>
      <c r="K66" s="71">
        <f>I66/J66*100</f>
        <v>87.430091290750909</v>
      </c>
      <c r="L66" s="70">
        <f>SUM(L57:L65)</f>
        <v>820561</v>
      </c>
      <c r="M66" s="70">
        <f>SUM(M57:M65)</f>
        <v>888401</v>
      </c>
      <c r="N66" s="71">
        <f>L66/M66*100</f>
        <v>92.363808685492259</v>
      </c>
      <c r="O66" s="72">
        <f>SUM(O57:O65)</f>
        <v>577</v>
      </c>
      <c r="P66" s="71">
        <f>R66/O66</f>
        <v>73.717504332755638</v>
      </c>
      <c r="Q66" s="72">
        <f>SUM(Q57:Q65)</f>
        <v>575</v>
      </c>
      <c r="R66" s="59">
        <f>SUM(R57:R65)</f>
        <v>42535</v>
      </c>
    </row>
    <row r="67" spans="1:18" x14ac:dyDescent="0.25">
      <c r="A67" s="39"/>
      <c r="B67" s="73"/>
      <c r="C67" s="39"/>
      <c r="D67" s="39"/>
      <c r="E67" s="39"/>
      <c r="F67" s="39"/>
      <c r="G67" s="39"/>
      <c r="H67" s="39"/>
      <c r="I67" s="39"/>
      <c r="J67" s="39"/>
      <c r="K67" s="74"/>
      <c r="L67" s="39"/>
      <c r="M67" s="39"/>
      <c r="N67" s="39"/>
      <c r="O67" s="39"/>
      <c r="P67" s="75"/>
      <c r="Q67" s="39"/>
      <c r="R67" s="39"/>
    </row>
    <row r="68" spans="1:18" x14ac:dyDescent="0.25">
      <c r="A68" s="319" t="s">
        <v>62</v>
      </c>
      <c r="B68" s="320"/>
      <c r="C68" s="37">
        <v>3</v>
      </c>
      <c r="D68" s="37">
        <v>4</v>
      </c>
      <c r="E68" s="239">
        <v>5</v>
      </c>
      <c r="F68" s="37">
        <v>6</v>
      </c>
      <c r="G68" s="37">
        <v>7</v>
      </c>
      <c r="H68" s="37">
        <v>8</v>
      </c>
      <c r="I68" s="37">
        <v>9</v>
      </c>
      <c r="J68" s="37">
        <v>10</v>
      </c>
      <c r="K68" s="37">
        <v>11</v>
      </c>
      <c r="L68" s="37">
        <v>12</v>
      </c>
      <c r="M68" s="37">
        <v>13</v>
      </c>
      <c r="N68" s="37">
        <v>14</v>
      </c>
      <c r="O68" s="37">
        <v>15</v>
      </c>
      <c r="P68" s="239">
        <v>16</v>
      </c>
      <c r="Q68" s="37">
        <v>15</v>
      </c>
      <c r="R68" s="39"/>
    </row>
    <row r="69" spans="1:18" x14ac:dyDescent="0.25">
      <c r="A69" s="40">
        <v>1</v>
      </c>
      <c r="B69" s="41" t="s">
        <v>63</v>
      </c>
      <c r="C69" s="236">
        <v>55836</v>
      </c>
      <c r="D69" s="236">
        <v>1958</v>
      </c>
      <c r="E69" s="47">
        <f t="shared" ref="E69:E76" si="27">C69/D69*100</f>
        <v>2851.6853932584268</v>
      </c>
      <c r="F69" s="236">
        <v>5931</v>
      </c>
      <c r="G69" s="236">
        <v>177</v>
      </c>
      <c r="H69" s="47">
        <f t="shared" ref="H69:H75" si="28">F69/G69*100</f>
        <v>3350.8474576271183</v>
      </c>
      <c r="I69" s="236">
        <v>135768</v>
      </c>
      <c r="J69" s="236">
        <v>115245</v>
      </c>
      <c r="K69" s="47">
        <f>I69/J69*100</f>
        <v>117.80814785890928</v>
      </c>
      <c r="L69" s="236">
        <v>53172</v>
      </c>
      <c r="M69" s="236">
        <v>14000</v>
      </c>
      <c r="N69" s="47">
        <f t="shared" ref="N69:N70" si="29">L69/M69*100</f>
        <v>379.8</v>
      </c>
      <c r="O69" s="236">
        <v>173</v>
      </c>
      <c r="P69" s="62">
        <v>55</v>
      </c>
      <c r="Q69" s="236">
        <v>172</v>
      </c>
      <c r="R69" s="45">
        <f t="shared" ref="R69:R76" si="30">O69*P69</f>
        <v>9515</v>
      </c>
    </row>
    <row r="70" spans="1:18" x14ac:dyDescent="0.25">
      <c r="A70" s="40">
        <v>2</v>
      </c>
      <c r="B70" s="41" t="s">
        <v>40</v>
      </c>
      <c r="C70" s="51">
        <v>409787</v>
      </c>
      <c r="D70" s="51">
        <v>270149</v>
      </c>
      <c r="E70" s="47">
        <f t="shared" si="27"/>
        <v>151.68925296780665</v>
      </c>
      <c r="F70" s="51">
        <v>34692</v>
      </c>
      <c r="G70" s="51">
        <v>27513</v>
      </c>
      <c r="H70" s="47">
        <f t="shared" si="28"/>
        <v>126.09311961618144</v>
      </c>
      <c r="I70" s="51">
        <v>409428</v>
      </c>
      <c r="J70" s="51">
        <v>271182</v>
      </c>
      <c r="K70" s="47">
        <f t="shared" ref="K70:K76" si="31">I70/J70*100</f>
        <v>150.97904728189923</v>
      </c>
      <c r="L70" s="51">
        <f>804+409528</f>
        <v>410332</v>
      </c>
      <c r="M70" s="51">
        <v>270378</v>
      </c>
      <c r="N70" s="47">
        <f t="shared" si="29"/>
        <v>151.76234752827523</v>
      </c>
      <c r="O70" s="236">
        <v>24</v>
      </c>
      <c r="P70" s="44">
        <v>65</v>
      </c>
      <c r="Q70" s="236">
        <v>24</v>
      </c>
      <c r="R70" s="45">
        <f t="shared" si="30"/>
        <v>1560</v>
      </c>
    </row>
    <row r="71" spans="1:18" x14ac:dyDescent="0.25">
      <c r="A71" s="40">
        <v>3</v>
      </c>
      <c r="B71" s="41" t="s">
        <v>64</v>
      </c>
      <c r="C71" s="236">
        <v>31081</v>
      </c>
      <c r="D71" s="252">
        <v>9753</v>
      </c>
      <c r="E71" s="47">
        <f t="shared" si="27"/>
        <v>318.68143135445501</v>
      </c>
      <c r="F71" s="236">
        <v>1473</v>
      </c>
      <c r="G71" s="252">
        <v>1884</v>
      </c>
      <c r="H71" s="47">
        <f t="shared" si="28"/>
        <v>78.184713375796179</v>
      </c>
      <c r="I71" s="236">
        <v>30308</v>
      </c>
      <c r="J71" s="236">
        <v>10566</v>
      </c>
      <c r="K71" s="47">
        <f t="shared" si="31"/>
        <v>286.84459587355667</v>
      </c>
      <c r="L71" s="236">
        <v>4160</v>
      </c>
      <c r="M71" s="236">
        <v>0</v>
      </c>
      <c r="N71" s="47">
        <v>0</v>
      </c>
      <c r="O71" s="236">
        <v>39</v>
      </c>
      <c r="P71" s="62">
        <v>45</v>
      </c>
      <c r="Q71" s="236">
        <v>39</v>
      </c>
      <c r="R71" s="45">
        <f t="shared" si="30"/>
        <v>1755</v>
      </c>
    </row>
    <row r="72" spans="1:18" x14ac:dyDescent="0.25">
      <c r="A72" s="40">
        <v>4</v>
      </c>
      <c r="B72" s="41" t="s">
        <v>65</v>
      </c>
      <c r="C72" s="236">
        <v>30215</v>
      </c>
      <c r="D72" s="236">
        <v>18413</v>
      </c>
      <c r="E72" s="47">
        <f t="shared" si="27"/>
        <v>164.09601911692826</v>
      </c>
      <c r="F72" s="236">
        <v>1180</v>
      </c>
      <c r="G72" s="236">
        <v>3368</v>
      </c>
      <c r="H72" s="47">
        <f t="shared" si="28"/>
        <v>35.035629453681707</v>
      </c>
      <c r="I72" s="236">
        <v>39603</v>
      </c>
      <c r="J72" s="236">
        <v>14401</v>
      </c>
      <c r="K72" s="47">
        <f t="shared" si="31"/>
        <v>275.0017359905562</v>
      </c>
      <c r="L72" s="236">
        <v>23341</v>
      </c>
      <c r="M72" s="236">
        <v>0</v>
      </c>
      <c r="N72" s="47">
        <v>0</v>
      </c>
      <c r="O72" s="236">
        <v>73</v>
      </c>
      <c r="P72" s="76">
        <v>50</v>
      </c>
      <c r="Q72" s="236">
        <v>72</v>
      </c>
      <c r="R72" s="45">
        <f t="shared" si="30"/>
        <v>3650</v>
      </c>
    </row>
    <row r="73" spans="1:18" x14ac:dyDescent="0.25">
      <c r="A73" s="40">
        <v>5</v>
      </c>
      <c r="B73" s="41" t="s">
        <v>66</v>
      </c>
      <c r="C73" s="236">
        <v>55772</v>
      </c>
      <c r="D73" s="236">
        <v>81004</v>
      </c>
      <c r="E73" s="47">
        <f t="shared" si="27"/>
        <v>68.850920942175691</v>
      </c>
      <c r="F73" s="236">
        <v>125</v>
      </c>
      <c r="G73" s="236">
        <v>50857</v>
      </c>
      <c r="H73" s="34">
        <f t="shared" si="28"/>
        <v>0.24578720726743616</v>
      </c>
      <c r="I73" s="236">
        <v>56554</v>
      </c>
      <c r="J73" s="236">
        <v>81518</v>
      </c>
      <c r="K73" s="47">
        <f t="shared" si="31"/>
        <v>69.376088716602467</v>
      </c>
      <c r="L73" s="236">
        <f>41935+2033</f>
        <v>43968</v>
      </c>
      <c r="M73" s="236">
        <v>50807</v>
      </c>
      <c r="N73" s="47">
        <f t="shared" ref="N73:N75" si="32">L73/M73*100</f>
        <v>86.539256401676937</v>
      </c>
      <c r="O73" s="236">
        <v>62</v>
      </c>
      <c r="P73" s="62">
        <v>62</v>
      </c>
      <c r="Q73" s="236">
        <v>64</v>
      </c>
      <c r="R73" s="45">
        <f t="shared" si="30"/>
        <v>3844</v>
      </c>
    </row>
    <row r="74" spans="1:18" x14ac:dyDescent="0.25">
      <c r="A74" s="40">
        <v>6</v>
      </c>
      <c r="B74" s="41" t="s">
        <v>67</v>
      </c>
      <c r="C74" s="236">
        <v>2696</v>
      </c>
      <c r="D74" s="236">
        <v>6244</v>
      </c>
      <c r="E74" s="47">
        <f t="shared" si="27"/>
        <v>43.177450352338241</v>
      </c>
      <c r="F74" s="236">
        <v>540</v>
      </c>
      <c r="G74" s="236">
        <v>2163</v>
      </c>
      <c r="H74" s="47">
        <f t="shared" si="28"/>
        <v>24.965325936199722</v>
      </c>
      <c r="I74" s="236">
        <v>2832</v>
      </c>
      <c r="J74" s="236">
        <v>5681</v>
      </c>
      <c r="K74" s="47">
        <f t="shared" si="31"/>
        <v>49.850378454497445</v>
      </c>
      <c r="L74" s="236">
        <v>48146</v>
      </c>
      <c r="M74" s="236">
        <v>146</v>
      </c>
      <c r="N74" s="34">
        <f t="shared" si="32"/>
        <v>32976.71232876712</v>
      </c>
      <c r="O74" s="236">
        <v>10</v>
      </c>
      <c r="P74" s="62">
        <v>69</v>
      </c>
      <c r="Q74" s="236">
        <v>12</v>
      </c>
      <c r="R74" s="45">
        <f t="shared" si="30"/>
        <v>690</v>
      </c>
    </row>
    <row r="75" spans="1:18" x14ac:dyDescent="0.25">
      <c r="A75" s="40">
        <v>7</v>
      </c>
      <c r="B75" s="41" t="s">
        <v>168</v>
      </c>
      <c r="C75" s="236">
        <v>704022</v>
      </c>
      <c r="D75" s="236">
        <v>572667</v>
      </c>
      <c r="E75" s="47">
        <f t="shared" si="27"/>
        <v>122.93741388974743</v>
      </c>
      <c r="F75" s="236">
        <v>65369</v>
      </c>
      <c r="G75" s="236">
        <v>132547</v>
      </c>
      <c r="H75" s="47">
        <f t="shared" si="28"/>
        <v>49.317600549239138</v>
      </c>
      <c r="I75" s="236">
        <v>678722</v>
      </c>
      <c r="J75" s="236">
        <v>582922</v>
      </c>
      <c r="K75" s="47">
        <f t="shared" si="31"/>
        <v>116.43444577490642</v>
      </c>
      <c r="L75" s="236">
        <f>17865+158400</f>
        <v>176265</v>
      </c>
      <c r="M75" s="236">
        <v>115970</v>
      </c>
      <c r="N75" s="47">
        <f t="shared" si="32"/>
        <v>151.99189445546261</v>
      </c>
      <c r="O75" s="236">
        <v>140</v>
      </c>
      <c r="P75" s="44">
        <v>200</v>
      </c>
      <c r="Q75" s="236">
        <v>140</v>
      </c>
      <c r="R75" s="45">
        <f t="shared" si="30"/>
        <v>28000</v>
      </c>
    </row>
    <row r="76" spans="1:18" x14ac:dyDescent="0.25">
      <c r="A76" s="40">
        <v>8</v>
      </c>
      <c r="B76" s="41" t="s">
        <v>68</v>
      </c>
      <c r="C76" s="236">
        <v>2792</v>
      </c>
      <c r="D76" s="236">
        <v>3258</v>
      </c>
      <c r="E76" s="47">
        <f t="shared" si="27"/>
        <v>85.69674647022714</v>
      </c>
      <c r="F76" s="236">
        <v>76</v>
      </c>
      <c r="G76" s="236">
        <v>0</v>
      </c>
      <c r="H76" s="47">
        <v>0</v>
      </c>
      <c r="I76" s="236">
        <v>3072</v>
      </c>
      <c r="J76" s="236">
        <v>3583</v>
      </c>
      <c r="K76" s="47">
        <f t="shared" si="31"/>
        <v>85.738208205414452</v>
      </c>
      <c r="L76" s="236">
        <v>0</v>
      </c>
      <c r="M76" s="236">
        <v>0</v>
      </c>
      <c r="N76" s="47">
        <v>0</v>
      </c>
      <c r="O76" s="236">
        <v>16</v>
      </c>
      <c r="P76" s="62">
        <v>40</v>
      </c>
      <c r="Q76" s="236">
        <v>18</v>
      </c>
      <c r="R76" s="45">
        <f t="shared" si="30"/>
        <v>640</v>
      </c>
    </row>
    <row r="77" spans="1:18" s="60" customFormat="1" x14ac:dyDescent="0.25">
      <c r="A77" s="315" t="s">
        <v>211</v>
      </c>
      <c r="B77" s="315" t="s">
        <v>69</v>
      </c>
      <c r="C77" s="56">
        <f>SUM(C69:C76)</f>
        <v>1292201</v>
      </c>
      <c r="D77" s="56">
        <f>SUM(D69:D76)</f>
        <v>963446</v>
      </c>
      <c r="E77" s="57">
        <f>C77/D77*100</f>
        <v>134.12282577331786</v>
      </c>
      <c r="F77" s="56">
        <f>SUM(F69:F76)</f>
        <v>109386</v>
      </c>
      <c r="G77" s="56">
        <f>SUM(G69:G76)</f>
        <v>218509</v>
      </c>
      <c r="H77" s="57">
        <f>F77/G77*100</f>
        <v>50.060180587527292</v>
      </c>
      <c r="I77" s="56">
        <f>SUM(I69:I76)</f>
        <v>1356287</v>
      </c>
      <c r="J77" s="56">
        <f>SUM(J69:J76)</f>
        <v>1085098</v>
      </c>
      <c r="K77" s="57">
        <f>I77/J77*100</f>
        <v>124.9921205273625</v>
      </c>
      <c r="L77" s="56">
        <f>SUM(L69:L76)</f>
        <v>759384</v>
      </c>
      <c r="M77" s="56">
        <f>SUM(M69:M76)</f>
        <v>451301</v>
      </c>
      <c r="N77" s="58">
        <f>L77/M77*100</f>
        <v>168.26552566912105</v>
      </c>
      <c r="O77" s="56">
        <f>SUM(O69:O76)</f>
        <v>537</v>
      </c>
      <c r="P77" s="57">
        <f>R77/O77</f>
        <v>92.465549348230908</v>
      </c>
      <c r="Q77" s="56">
        <f>SUM(Q69:Q76)</f>
        <v>541</v>
      </c>
      <c r="R77" s="59">
        <f>SUM(R69:R76)</f>
        <v>49654</v>
      </c>
    </row>
    <row r="78" spans="1:18" s="211" customFormat="1" x14ac:dyDescent="0.25">
      <c r="A78" s="352" t="s">
        <v>70</v>
      </c>
      <c r="B78" s="352" t="s">
        <v>70</v>
      </c>
      <c r="C78" s="212">
        <f>C54+C66+C77</f>
        <v>5371313</v>
      </c>
      <c r="D78" s="212">
        <f>D54+D66+D77</f>
        <v>4333909</v>
      </c>
      <c r="E78" s="210">
        <f>C78/D78*100</f>
        <v>123.93691238094755</v>
      </c>
      <c r="F78" s="212">
        <f>F54+F66+F77</f>
        <v>558559</v>
      </c>
      <c r="G78" s="212">
        <f>G54+G66+G77</f>
        <v>747776</v>
      </c>
      <c r="H78" s="210">
        <f>F78/G78*100</f>
        <v>74.696031966792191</v>
      </c>
      <c r="I78" s="212">
        <f>I54+I66+I77</f>
        <v>4867378</v>
      </c>
      <c r="J78" s="212">
        <f>J54+J66+J77</f>
        <v>4571110</v>
      </c>
      <c r="K78" s="210">
        <f>I78/J78*100</f>
        <v>106.48131416658097</v>
      </c>
      <c r="L78" s="212">
        <f>L54+L66+L77</f>
        <v>2786990</v>
      </c>
      <c r="M78" s="212">
        <f>M54+M66+M77</f>
        <v>2426281</v>
      </c>
      <c r="N78" s="210">
        <f>L78/M78*100</f>
        <v>114.8667446186159</v>
      </c>
      <c r="O78" s="212">
        <f>O54+O66+O77</f>
        <v>1931</v>
      </c>
      <c r="P78" s="210">
        <f>R78/O78</f>
        <v>83.02692905230451</v>
      </c>
      <c r="Q78" s="212">
        <f>Q54+Q66+Q77</f>
        <v>1961</v>
      </c>
      <c r="R78" s="213">
        <f>R54+R66+R77</f>
        <v>160325</v>
      </c>
    </row>
    <row r="79" spans="1:18" x14ac:dyDescent="0.25">
      <c r="A79" s="236"/>
      <c r="B79" s="61"/>
      <c r="C79" s="236"/>
      <c r="D79" s="236"/>
      <c r="E79" s="236"/>
      <c r="F79" s="236"/>
      <c r="G79" s="236"/>
      <c r="H79" s="236"/>
      <c r="I79" s="236"/>
      <c r="J79" s="236"/>
      <c r="K79" s="34"/>
      <c r="L79" s="236"/>
      <c r="M79" s="236"/>
      <c r="N79" s="236"/>
      <c r="O79" s="236"/>
      <c r="P79" s="62"/>
      <c r="Q79" s="236"/>
      <c r="R79" s="39"/>
    </row>
    <row r="80" spans="1:18" x14ac:dyDescent="0.25">
      <c r="A80" s="316" t="s">
        <v>18</v>
      </c>
      <c r="B80" s="317"/>
      <c r="C80" s="37">
        <v>3</v>
      </c>
      <c r="D80" s="37">
        <v>4</v>
      </c>
      <c r="E80" s="239">
        <v>5</v>
      </c>
      <c r="F80" s="37">
        <v>6</v>
      </c>
      <c r="G80" s="37">
        <v>7</v>
      </c>
      <c r="H80" s="37">
        <v>8</v>
      </c>
      <c r="I80" s="37">
        <v>9</v>
      </c>
      <c r="J80" s="37">
        <v>10</v>
      </c>
      <c r="K80" s="37">
        <v>11</v>
      </c>
      <c r="L80" s="37">
        <v>12</v>
      </c>
      <c r="M80" s="37">
        <v>13</v>
      </c>
      <c r="N80" s="37">
        <v>14</v>
      </c>
      <c r="O80" s="37">
        <v>15</v>
      </c>
      <c r="P80" s="239">
        <v>16</v>
      </c>
      <c r="Q80" s="37">
        <v>15</v>
      </c>
      <c r="R80" s="39"/>
    </row>
    <row r="81" spans="1:18" x14ac:dyDescent="0.25">
      <c r="A81" s="77">
        <v>1</v>
      </c>
      <c r="B81" s="78" t="s">
        <v>71</v>
      </c>
      <c r="C81" s="51">
        <v>11444</v>
      </c>
      <c r="D81" s="51">
        <v>44477</v>
      </c>
      <c r="E81" s="47">
        <f>C81/D81*100</f>
        <v>25.730152663174227</v>
      </c>
      <c r="F81" s="51">
        <v>338</v>
      </c>
      <c r="G81" s="51">
        <v>4484</v>
      </c>
      <c r="H81" s="47">
        <f>F81/G81*100</f>
        <v>7.5379125780553071</v>
      </c>
      <c r="I81" s="51">
        <v>8871</v>
      </c>
      <c r="J81" s="51">
        <v>50378</v>
      </c>
      <c r="K81" s="47">
        <f>I81/J81*100</f>
        <v>17.608876890706259</v>
      </c>
      <c r="L81" s="236">
        <v>0</v>
      </c>
      <c r="M81" s="51">
        <v>5674</v>
      </c>
      <c r="N81" s="47">
        <v>0</v>
      </c>
      <c r="O81" s="236">
        <v>342</v>
      </c>
      <c r="P81" s="51">
        <v>113</v>
      </c>
      <c r="Q81" s="236">
        <v>342</v>
      </c>
      <c r="R81" s="45">
        <f t="shared" ref="R81:R91" si="33">O81*P81</f>
        <v>38646</v>
      </c>
    </row>
    <row r="82" spans="1:18" s="80" customFormat="1" x14ac:dyDescent="0.25">
      <c r="A82" s="79">
        <v>2</v>
      </c>
      <c r="B82" s="78" t="s">
        <v>72</v>
      </c>
      <c r="C82" s="51">
        <v>463003</v>
      </c>
      <c r="D82" s="51">
        <v>516894</v>
      </c>
      <c r="E82" s="47">
        <f>C82/D82*100</f>
        <v>89.574071279604723</v>
      </c>
      <c r="F82" s="51">
        <v>58855</v>
      </c>
      <c r="G82" s="51">
        <v>63258</v>
      </c>
      <c r="H82" s="47">
        <f t="shared" ref="H82:H91" si="34">F82/G82*100</f>
        <v>93.039615542698158</v>
      </c>
      <c r="I82" s="51">
        <v>500704</v>
      </c>
      <c r="J82" s="51">
        <v>505440</v>
      </c>
      <c r="K82" s="47">
        <f>I82/J82*100</f>
        <v>99.062994618550164</v>
      </c>
      <c r="L82" s="51">
        <v>493973</v>
      </c>
      <c r="M82" s="51">
        <v>498742</v>
      </c>
      <c r="N82" s="47">
        <f t="shared" ref="N82:N91" si="35">L82/M82*100</f>
        <v>99.043794186172406</v>
      </c>
      <c r="O82" s="236">
        <v>639</v>
      </c>
      <c r="P82" s="51">
        <v>102</v>
      </c>
      <c r="Q82" s="236">
        <v>571</v>
      </c>
      <c r="R82" s="45">
        <f t="shared" si="33"/>
        <v>65178</v>
      </c>
    </row>
    <row r="83" spans="1:18" x14ac:dyDescent="0.25">
      <c r="A83" s="77">
        <v>3</v>
      </c>
      <c r="B83" s="78" t="s">
        <v>73</v>
      </c>
      <c r="C83" s="51">
        <v>750197</v>
      </c>
      <c r="D83" s="51">
        <v>573288</v>
      </c>
      <c r="E83" s="47">
        <f>C83/D83*100</f>
        <v>130.85866091737486</v>
      </c>
      <c r="F83" s="51">
        <v>141915</v>
      </c>
      <c r="G83" s="51">
        <v>105084</v>
      </c>
      <c r="H83" s="47">
        <f t="shared" si="34"/>
        <v>135.04910357428344</v>
      </c>
      <c r="I83" s="51">
        <v>1509886</v>
      </c>
      <c r="J83" s="51">
        <v>989525</v>
      </c>
      <c r="K83" s="47">
        <f>I83/J83*100</f>
        <v>152.58694828326722</v>
      </c>
      <c r="L83" s="51">
        <v>331794</v>
      </c>
      <c r="M83" s="51">
        <v>186185</v>
      </c>
      <c r="N83" s="47">
        <f t="shared" si="35"/>
        <v>178.2066224454172</v>
      </c>
      <c r="O83" s="236">
        <v>21</v>
      </c>
      <c r="P83" s="51">
        <v>306</v>
      </c>
      <c r="Q83" s="236">
        <v>22</v>
      </c>
      <c r="R83" s="45">
        <f t="shared" si="33"/>
        <v>6426</v>
      </c>
    </row>
    <row r="84" spans="1:18" x14ac:dyDescent="0.25">
      <c r="A84" s="79">
        <v>4</v>
      </c>
      <c r="B84" s="78" t="s">
        <v>74</v>
      </c>
      <c r="C84" s="51">
        <v>653172</v>
      </c>
      <c r="D84" s="51">
        <v>585856</v>
      </c>
      <c r="E84" s="47">
        <f t="shared" ref="E84:E91" si="36">C84/D84*100</f>
        <v>111.49019554293204</v>
      </c>
      <c r="F84" s="51">
        <v>85777</v>
      </c>
      <c r="G84" s="51">
        <v>69319</v>
      </c>
      <c r="H84" s="47">
        <f t="shared" si="34"/>
        <v>123.74240828632843</v>
      </c>
      <c r="I84" s="51">
        <v>610255</v>
      </c>
      <c r="J84" s="51">
        <v>573996</v>
      </c>
      <c r="K84" s="47">
        <f t="shared" ref="K84:K91" si="37">I84/J84*100</f>
        <v>106.31694297521237</v>
      </c>
      <c r="L84" s="236">
        <v>419474</v>
      </c>
      <c r="M84" s="51">
        <v>317153</v>
      </c>
      <c r="N84" s="47">
        <f t="shared" si="35"/>
        <v>132.26234656459187</v>
      </c>
      <c r="O84" s="236">
        <v>196</v>
      </c>
      <c r="P84" s="51">
        <v>40</v>
      </c>
      <c r="Q84" s="236">
        <v>196</v>
      </c>
      <c r="R84" s="45">
        <f t="shared" si="33"/>
        <v>7840</v>
      </c>
    </row>
    <row r="85" spans="1:18" x14ac:dyDescent="0.25">
      <c r="A85" s="77">
        <v>5</v>
      </c>
      <c r="B85" s="78" t="s">
        <v>75</v>
      </c>
      <c r="C85" s="62">
        <v>258769</v>
      </c>
      <c r="D85" s="62">
        <v>226042</v>
      </c>
      <c r="E85" s="47">
        <f t="shared" si="36"/>
        <v>114.47828279700232</v>
      </c>
      <c r="F85" s="62">
        <v>43814</v>
      </c>
      <c r="G85" s="62">
        <v>44918</v>
      </c>
      <c r="H85" s="47">
        <f t="shared" si="34"/>
        <v>97.542187986998528</v>
      </c>
      <c r="I85" s="62">
        <v>258026</v>
      </c>
      <c r="J85" s="62">
        <v>214347</v>
      </c>
      <c r="K85" s="47">
        <f t="shared" si="37"/>
        <v>120.37770530961478</v>
      </c>
      <c r="L85" s="236">
        <v>110123</v>
      </c>
      <c r="M85" s="62">
        <v>0</v>
      </c>
      <c r="N85" s="47">
        <v>0</v>
      </c>
      <c r="O85" s="236">
        <v>90</v>
      </c>
      <c r="P85" s="62">
        <v>45</v>
      </c>
      <c r="Q85" s="236">
        <v>89</v>
      </c>
      <c r="R85" s="45">
        <f t="shared" si="33"/>
        <v>4050</v>
      </c>
    </row>
    <row r="86" spans="1:18" x14ac:dyDescent="0.25">
      <c r="A86" s="79">
        <v>6</v>
      </c>
      <c r="B86" s="78" t="s">
        <v>76</v>
      </c>
      <c r="C86" s="236">
        <v>0</v>
      </c>
      <c r="D86" s="236">
        <v>0</v>
      </c>
      <c r="E86" s="47">
        <v>0</v>
      </c>
      <c r="F86" s="236">
        <v>0</v>
      </c>
      <c r="G86" s="236">
        <v>0</v>
      </c>
      <c r="H86" s="43">
        <v>0</v>
      </c>
      <c r="I86" s="236">
        <v>0</v>
      </c>
      <c r="J86" s="236">
        <v>0</v>
      </c>
      <c r="K86" s="43">
        <v>0</v>
      </c>
      <c r="L86" s="236">
        <v>0</v>
      </c>
      <c r="M86" s="236">
        <v>0</v>
      </c>
      <c r="N86" s="47">
        <v>0</v>
      </c>
      <c r="O86" s="236">
        <v>0</v>
      </c>
      <c r="P86" s="44">
        <v>0</v>
      </c>
      <c r="Q86" s="236">
        <v>0</v>
      </c>
      <c r="R86" s="45">
        <f t="shared" si="33"/>
        <v>0</v>
      </c>
    </row>
    <row r="87" spans="1:18" x14ac:dyDescent="0.25">
      <c r="A87" s="77">
        <v>7</v>
      </c>
      <c r="B87" s="78" t="s">
        <v>77</v>
      </c>
      <c r="C87" s="51">
        <v>406</v>
      </c>
      <c r="D87" s="62">
        <v>839</v>
      </c>
      <c r="E87" s="47">
        <f t="shared" si="36"/>
        <v>48.390941597139452</v>
      </c>
      <c r="F87" s="51">
        <v>0</v>
      </c>
      <c r="G87" s="62">
        <v>0</v>
      </c>
      <c r="H87" s="47" t="e">
        <f t="shared" ref="H87:H88" si="38">F87/G87*100</f>
        <v>#DIV/0!</v>
      </c>
      <c r="I87" s="51">
        <v>406</v>
      </c>
      <c r="J87" s="62">
        <v>839</v>
      </c>
      <c r="K87" s="47">
        <f t="shared" ref="K87:K88" si="39">I87/J87*100</f>
        <v>48.390941597139452</v>
      </c>
      <c r="L87" s="236">
        <v>0</v>
      </c>
      <c r="M87" s="62">
        <v>0</v>
      </c>
      <c r="N87" s="47">
        <v>0</v>
      </c>
      <c r="O87" s="236">
        <v>10</v>
      </c>
      <c r="P87" s="51">
        <v>73</v>
      </c>
      <c r="Q87" s="236">
        <v>12</v>
      </c>
      <c r="R87" s="45">
        <f t="shared" si="33"/>
        <v>730</v>
      </c>
    </row>
    <row r="88" spans="1:18" x14ac:dyDescent="0.25">
      <c r="A88" s="79">
        <v>8</v>
      </c>
      <c r="B88" s="81" t="s">
        <v>78</v>
      </c>
      <c r="C88" s="62">
        <v>736807</v>
      </c>
      <c r="D88" s="62">
        <v>821262</v>
      </c>
      <c r="E88" s="47">
        <f t="shared" si="36"/>
        <v>89.716436411279219</v>
      </c>
      <c r="F88" s="62">
        <v>79087</v>
      </c>
      <c r="G88" s="62">
        <v>155256</v>
      </c>
      <c r="H88" s="47">
        <f t="shared" si="38"/>
        <v>50.939738238779817</v>
      </c>
      <c r="I88" s="62">
        <v>818059</v>
      </c>
      <c r="J88" s="62">
        <v>890038</v>
      </c>
      <c r="K88" s="47">
        <f t="shared" si="39"/>
        <v>91.912817205557516</v>
      </c>
      <c r="L88" s="236">
        <v>149810</v>
      </c>
      <c r="M88" s="62">
        <v>170175</v>
      </c>
      <c r="N88" s="47">
        <f t="shared" si="35"/>
        <v>88.032907301307475</v>
      </c>
      <c r="O88" s="236">
        <v>79</v>
      </c>
      <c r="P88" s="51">
        <v>85</v>
      </c>
      <c r="Q88" s="236">
        <v>79</v>
      </c>
      <c r="R88" s="45">
        <f t="shared" si="33"/>
        <v>6715</v>
      </c>
    </row>
    <row r="89" spans="1:18" x14ac:dyDescent="0.25">
      <c r="A89" s="77">
        <v>9</v>
      </c>
      <c r="B89" s="81" t="s">
        <v>79</v>
      </c>
      <c r="C89" s="51">
        <v>1564668</v>
      </c>
      <c r="D89" s="51">
        <v>1654060</v>
      </c>
      <c r="E89" s="47">
        <f t="shared" si="36"/>
        <v>94.595601126924052</v>
      </c>
      <c r="F89" s="51">
        <v>190474</v>
      </c>
      <c r="G89" s="51">
        <v>208074</v>
      </c>
      <c r="H89" s="47">
        <f t="shared" si="34"/>
        <v>91.541470822880328</v>
      </c>
      <c r="I89" s="51">
        <v>1481782</v>
      </c>
      <c r="J89" s="51">
        <v>1828790</v>
      </c>
      <c r="K89" s="47">
        <f t="shared" si="37"/>
        <v>81.025268073425593</v>
      </c>
      <c r="L89" s="236">
        <v>0</v>
      </c>
      <c r="M89" s="51">
        <v>0</v>
      </c>
      <c r="N89" s="47">
        <v>0</v>
      </c>
      <c r="O89" s="236">
        <v>128</v>
      </c>
      <c r="P89" s="51">
        <v>145</v>
      </c>
      <c r="Q89" s="236">
        <v>128</v>
      </c>
      <c r="R89" s="45">
        <f t="shared" si="33"/>
        <v>18560</v>
      </c>
    </row>
    <row r="90" spans="1:18" x14ac:dyDescent="0.25">
      <c r="A90" s="79">
        <v>10</v>
      </c>
      <c r="B90" s="78" t="s">
        <v>80</v>
      </c>
      <c r="C90" s="51">
        <v>937454</v>
      </c>
      <c r="D90" s="51">
        <v>771522</v>
      </c>
      <c r="E90" s="47">
        <f t="shared" si="36"/>
        <v>121.50709895505247</v>
      </c>
      <c r="F90" s="51">
        <v>157960</v>
      </c>
      <c r="G90" s="51">
        <v>40810</v>
      </c>
      <c r="H90" s="47">
        <f t="shared" si="34"/>
        <v>387.0619946091644</v>
      </c>
      <c r="I90" s="51">
        <v>866441</v>
      </c>
      <c r="J90" s="51">
        <v>674966</v>
      </c>
      <c r="K90" s="47">
        <f t="shared" si="37"/>
        <v>128.36809557814763</v>
      </c>
      <c r="L90" s="236">
        <f>242620+192727</f>
        <v>435347</v>
      </c>
      <c r="M90" s="51">
        <f>261535+103419</f>
        <v>364954</v>
      </c>
      <c r="N90" s="47">
        <f t="shared" si="35"/>
        <v>119.28818426431825</v>
      </c>
      <c r="O90" s="236">
        <v>121</v>
      </c>
      <c r="P90" s="51">
        <v>194</v>
      </c>
      <c r="Q90" s="236">
        <v>121</v>
      </c>
      <c r="R90" s="45">
        <f t="shared" si="33"/>
        <v>23474</v>
      </c>
    </row>
    <row r="91" spans="1:18" x14ac:dyDescent="0.25">
      <c r="A91" s="77">
        <v>11</v>
      </c>
      <c r="B91" s="78" t="s">
        <v>81</v>
      </c>
      <c r="C91" s="77">
        <v>215857</v>
      </c>
      <c r="D91" s="181">
        <v>177257</v>
      </c>
      <c r="E91" s="47">
        <f t="shared" si="36"/>
        <v>121.77629092222028</v>
      </c>
      <c r="F91" s="51">
        <v>24299</v>
      </c>
      <c r="G91" s="51">
        <v>7739</v>
      </c>
      <c r="H91" s="47">
        <f t="shared" si="34"/>
        <v>313.98113451350304</v>
      </c>
      <c r="I91" s="82">
        <v>2401253</v>
      </c>
      <c r="J91" s="83">
        <v>2351854</v>
      </c>
      <c r="K91" s="47">
        <f t="shared" si="37"/>
        <v>102.10042800275868</v>
      </c>
      <c r="L91" s="82">
        <v>24698</v>
      </c>
      <c r="M91" s="83">
        <v>8362</v>
      </c>
      <c r="N91" s="47">
        <f t="shared" si="35"/>
        <v>295.35996173164312</v>
      </c>
      <c r="O91" s="236">
        <v>51</v>
      </c>
      <c r="P91" s="51">
        <v>250</v>
      </c>
      <c r="Q91" s="236">
        <v>52</v>
      </c>
      <c r="R91" s="45">
        <f t="shared" si="33"/>
        <v>12750</v>
      </c>
    </row>
    <row r="92" spans="1:18" s="60" customFormat="1" x14ac:dyDescent="0.25">
      <c r="A92" s="315" t="s">
        <v>82</v>
      </c>
      <c r="B92" s="315" t="s">
        <v>83</v>
      </c>
      <c r="C92" s="58">
        <f>SUM(C81:C91)</f>
        <v>5591777</v>
      </c>
      <c r="D92" s="58">
        <f>SUM(D81:D91)</f>
        <v>5371497</v>
      </c>
      <c r="E92" s="57">
        <f>C92/D92*100</f>
        <v>104.10090520389382</v>
      </c>
      <c r="F92" s="58">
        <f>SUM(F81:F91)</f>
        <v>782519</v>
      </c>
      <c r="G92" s="58">
        <f>SUM(G81:G91)</f>
        <v>698942</v>
      </c>
      <c r="H92" s="57">
        <f>F92/G92*100</f>
        <v>111.95764455419763</v>
      </c>
      <c r="I92" s="58">
        <f>SUM(I81:I91)</f>
        <v>8455683</v>
      </c>
      <c r="J92" s="58">
        <f>SUM(J81:J91)</f>
        <v>8080173</v>
      </c>
      <c r="K92" s="57">
        <f>I92/J92*100</f>
        <v>104.64730148723301</v>
      </c>
      <c r="L92" s="58">
        <f>SUM(L81:L91)</f>
        <v>1965219</v>
      </c>
      <c r="M92" s="58">
        <f>SUM(M81:M91)</f>
        <v>1551245</v>
      </c>
      <c r="N92" s="57">
        <f>L92/M92*100</f>
        <v>126.68656466257748</v>
      </c>
      <c r="O92" s="56">
        <f>SUM(O81:O91)</f>
        <v>1677</v>
      </c>
      <c r="P92" s="57">
        <f>R92/O92</f>
        <v>109.93977340488968</v>
      </c>
      <c r="Q92" s="56">
        <f>SUM(Q81:Q91)</f>
        <v>1612</v>
      </c>
      <c r="R92" s="59">
        <f>SUM(R81:R91)</f>
        <v>184369</v>
      </c>
    </row>
    <row r="93" spans="1:18" x14ac:dyDescent="0.25">
      <c r="A93" s="236"/>
      <c r="B93" s="236"/>
      <c r="C93" s="236"/>
      <c r="D93" s="236"/>
      <c r="E93" s="236"/>
      <c r="F93" s="236"/>
      <c r="G93" s="236"/>
      <c r="H93" s="236"/>
      <c r="I93" s="236"/>
      <c r="J93" s="236"/>
      <c r="K93" s="34"/>
      <c r="L93" s="236"/>
      <c r="M93" s="236"/>
      <c r="N93" s="236"/>
      <c r="O93" s="236"/>
      <c r="P93" s="62"/>
      <c r="Q93" s="236"/>
      <c r="R93" s="39"/>
    </row>
    <row r="94" spans="1:18" x14ac:dyDescent="0.25">
      <c r="A94" s="316" t="s">
        <v>19</v>
      </c>
      <c r="B94" s="317"/>
      <c r="C94" s="37">
        <v>3</v>
      </c>
      <c r="D94" s="37">
        <v>4</v>
      </c>
      <c r="E94" s="239">
        <v>5</v>
      </c>
      <c r="F94" s="37">
        <v>6</v>
      </c>
      <c r="G94" s="37">
        <v>7</v>
      </c>
      <c r="H94" s="37">
        <v>8</v>
      </c>
      <c r="I94" s="37">
        <v>9</v>
      </c>
      <c r="J94" s="37">
        <v>10</v>
      </c>
      <c r="K94" s="37">
        <v>11</v>
      </c>
      <c r="L94" s="37">
        <v>12</v>
      </c>
      <c r="M94" s="37">
        <v>13</v>
      </c>
      <c r="N94" s="37">
        <v>14</v>
      </c>
      <c r="O94" s="37">
        <v>15</v>
      </c>
      <c r="P94" s="239">
        <v>16</v>
      </c>
      <c r="Q94" s="37">
        <v>15</v>
      </c>
      <c r="R94" s="39"/>
    </row>
    <row r="95" spans="1:18" x14ac:dyDescent="0.25">
      <c r="A95" s="85">
        <v>1</v>
      </c>
      <c r="B95" s="81" t="s">
        <v>84</v>
      </c>
      <c r="C95" s="87">
        <v>209003</v>
      </c>
      <c r="D95" s="87">
        <v>270486</v>
      </c>
      <c r="E95" s="47">
        <f>C95/D95*100</f>
        <v>77.269433538149841</v>
      </c>
      <c r="F95" s="87">
        <v>29360</v>
      </c>
      <c r="G95" s="87">
        <v>33415</v>
      </c>
      <c r="H95" s="47">
        <f>F95/G95*100</f>
        <v>87.864731408050275</v>
      </c>
      <c r="I95" s="87">
        <v>198233</v>
      </c>
      <c r="J95" s="86">
        <v>259524</v>
      </c>
      <c r="K95" s="47">
        <f>I95/J95*100</f>
        <v>76.383301737026244</v>
      </c>
      <c r="L95" s="87">
        <v>198188</v>
      </c>
      <c r="M95" s="87">
        <v>249152</v>
      </c>
      <c r="N95" s="47">
        <f t="shared" ref="N95" si="40">L95/M95*100</f>
        <v>79.545016696634988</v>
      </c>
      <c r="O95" s="129">
        <v>300</v>
      </c>
      <c r="P95" s="62">
        <v>30</v>
      </c>
      <c r="Q95" s="129">
        <v>294</v>
      </c>
      <c r="R95" s="45">
        <f t="shared" ref="R95:R119" si="41">O95*P95</f>
        <v>9000</v>
      </c>
    </row>
    <row r="96" spans="1:18" x14ac:dyDescent="0.25">
      <c r="A96" s="85">
        <v>2</v>
      </c>
      <c r="B96" s="81" t="s">
        <v>85</v>
      </c>
      <c r="C96" s="42">
        <v>0</v>
      </c>
      <c r="D96" s="42">
        <v>0</v>
      </c>
      <c r="E96" s="43">
        <v>0</v>
      </c>
      <c r="F96" s="42">
        <v>0</v>
      </c>
      <c r="G96" s="42">
        <v>0</v>
      </c>
      <c r="H96" s="43">
        <v>0</v>
      </c>
      <c r="I96" s="42">
        <v>0</v>
      </c>
      <c r="J96" s="42">
        <v>0</v>
      </c>
      <c r="K96" s="43">
        <v>0</v>
      </c>
      <c r="L96" s="42">
        <v>0</v>
      </c>
      <c r="M96" s="42">
        <v>0</v>
      </c>
      <c r="N96" s="43">
        <v>0</v>
      </c>
      <c r="O96" s="242">
        <v>0</v>
      </c>
      <c r="P96" s="44">
        <v>0</v>
      </c>
      <c r="Q96" s="242">
        <v>0</v>
      </c>
      <c r="R96" s="45">
        <f t="shared" si="41"/>
        <v>0</v>
      </c>
    </row>
    <row r="97" spans="1:18" x14ac:dyDescent="0.25">
      <c r="A97" s="85">
        <v>3</v>
      </c>
      <c r="B97" s="78" t="s">
        <v>86</v>
      </c>
      <c r="C97" s="42">
        <v>0</v>
      </c>
      <c r="D97" s="42">
        <v>0</v>
      </c>
      <c r="E97" s="43">
        <v>0</v>
      </c>
      <c r="F97" s="42">
        <v>0</v>
      </c>
      <c r="G97" s="42">
        <v>0</v>
      </c>
      <c r="H97" s="43">
        <v>0</v>
      </c>
      <c r="I97" s="42">
        <v>0</v>
      </c>
      <c r="J97" s="42">
        <v>0</v>
      </c>
      <c r="K97" s="43">
        <v>0</v>
      </c>
      <c r="L97" s="42">
        <v>0</v>
      </c>
      <c r="M97" s="42">
        <v>0</v>
      </c>
      <c r="N97" s="43">
        <v>0</v>
      </c>
      <c r="O97" s="242">
        <v>0</v>
      </c>
      <c r="P97" s="44">
        <v>0</v>
      </c>
      <c r="Q97" s="242">
        <v>0</v>
      </c>
      <c r="R97" s="45">
        <f t="shared" si="41"/>
        <v>0</v>
      </c>
    </row>
    <row r="98" spans="1:18" x14ac:dyDescent="0.25">
      <c r="A98" s="85">
        <v>4</v>
      </c>
      <c r="B98" s="81" t="s">
        <v>87</v>
      </c>
      <c r="C98" s="86">
        <v>0</v>
      </c>
      <c r="D98" s="87">
        <v>27688</v>
      </c>
      <c r="E98" s="47">
        <f t="shared" ref="E98:E119" si="42">C98/D98*100</f>
        <v>0</v>
      </c>
      <c r="F98" s="86">
        <v>0</v>
      </c>
      <c r="G98" s="87">
        <v>148</v>
      </c>
      <c r="H98" s="47">
        <v>0</v>
      </c>
      <c r="I98" s="86">
        <v>9664</v>
      </c>
      <c r="J98" s="86">
        <v>17430</v>
      </c>
      <c r="K98" s="47">
        <f t="shared" ref="K98:K119" si="43">I98/J98*100</f>
        <v>55.444635685599543</v>
      </c>
      <c r="L98" s="87">
        <v>0</v>
      </c>
      <c r="M98" s="87">
        <v>0</v>
      </c>
      <c r="N98" s="34">
        <v>0</v>
      </c>
      <c r="O98" s="129">
        <v>6</v>
      </c>
      <c r="P98" s="87">
        <v>68</v>
      </c>
      <c r="Q98" s="129">
        <v>6</v>
      </c>
      <c r="R98" s="45">
        <f t="shared" si="41"/>
        <v>408</v>
      </c>
    </row>
    <row r="99" spans="1:18" x14ac:dyDescent="0.25">
      <c r="A99" s="85">
        <v>5</v>
      </c>
      <c r="B99" s="81" t="s">
        <v>88</v>
      </c>
      <c r="C99" s="87">
        <v>436051</v>
      </c>
      <c r="D99" s="87">
        <v>508467</v>
      </c>
      <c r="E99" s="47">
        <f t="shared" si="42"/>
        <v>85.757974460486125</v>
      </c>
      <c r="F99" s="87">
        <v>86082</v>
      </c>
      <c r="G99" s="87">
        <v>59977</v>
      </c>
      <c r="H99" s="47">
        <f t="shared" ref="H99:H119" si="44">F99/G99*100</f>
        <v>143.52501792353735</v>
      </c>
      <c r="I99" s="87">
        <v>469327</v>
      </c>
      <c r="J99" s="87">
        <v>533971</v>
      </c>
      <c r="K99" s="47">
        <f t="shared" si="43"/>
        <v>87.893724565566302</v>
      </c>
      <c r="L99" s="87">
        <v>469327</v>
      </c>
      <c r="M99" s="87">
        <v>533971</v>
      </c>
      <c r="N99" s="47">
        <f t="shared" ref="N99:N112" si="45">L99/M99*100</f>
        <v>87.893724565566302</v>
      </c>
      <c r="O99" s="129">
        <v>435</v>
      </c>
      <c r="P99" s="87">
        <v>52</v>
      </c>
      <c r="Q99" s="129">
        <v>435</v>
      </c>
      <c r="R99" s="45">
        <f t="shared" si="41"/>
        <v>22620</v>
      </c>
    </row>
    <row r="100" spans="1:18" x14ac:dyDescent="0.25">
      <c r="A100" s="85">
        <v>6</v>
      </c>
      <c r="B100" s="81" t="s">
        <v>89</v>
      </c>
      <c r="C100" s="42">
        <v>0</v>
      </c>
      <c r="D100" s="42">
        <v>0</v>
      </c>
      <c r="E100" s="43">
        <v>0</v>
      </c>
      <c r="F100" s="42">
        <v>0</v>
      </c>
      <c r="G100" s="42">
        <v>0</v>
      </c>
      <c r="H100" s="43">
        <v>0</v>
      </c>
      <c r="I100" s="42">
        <v>0</v>
      </c>
      <c r="J100" s="42">
        <v>0</v>
      </c>
      <c r="K100" s="43">
        <v>0</v>
      </c>
      <c r="L100" s="42">
        <v>0</v>
      </c>
      <c r="M100" s="42">
        <v>0</v>
      </c>
      <c r="N100" s="43">
        <v>0</v>
      </c>
      <c r="O100" s="242">
        <v>0</v>
      </c>
      <c r="P100" s="44">
        <v>0</v>
      </c>
      <c r="Q100" s="242">
        <v>0</v>
      </c>
      <c r="R100" s="45">
        <f t="shared" si="41"/>
        <v>0</v>
      </c>
    </row>
    <row r="101" spans="1:18" x14ac:dyDescent="0.25">
      <c r="A101" s="85">
        <v>7</v>
      </c>
      <c r="B101" s="78" t="s">
        <v>90</v>
      </c>
      <c r="C101" s="42">
        <v>0</v>
      </c>
      <c r="D101" s="42">
        <v>0</v>
      </c>
      <c r="E101" s="43">
        <v>0</v>
      </c>
      <c r="F101" s="42">
        <v>0</v>
      </c>
      <c r="G101" s="42">
        <v>0</v>
      </c>
      <c r="H101" s="43">
        <v>0</v>
      </c>
      <c r="I101" s="42">
        <v>0</v>
      </c>
      <c r="J101" s="42">
        <v>0</v>
      </c>
      <c r="K101" s="43">
        <v>0</v>
      </c>
      <c r="L101" s="42">
        <v>0</v>
      </c>
      <c r="M101" s="42">
        <v>0</v>
      </c>
      <c r="N101" s="43">
        <v>0</v>
      </c>
      <c r="O101" s="242">
        <v>0</v>
      </c>
      <c r="P101" s="44">
        <v>0</v>
      </c>
      <c r="Q101" s="242">
        <v>0</v>
      </c>
      <c r="R101" s="45">
        <f t="shared" si="41"/>
        <v>0</v>
      </c>
    </row>
    <row r="102" spans="1:18" x14ac:dyDescent="0.25">
      <c r="A102" s="85">
        <v>8</v>
      </c>
      <c r="B102" s="81" t="s">
        <v>91</v>
      </c>
      <c r="C102" s="51">
        <v>250431</v>
      </c>
      <c r="D102" s="51">
        <v>258482</v>
      </c>
      <c r="E102" s="190">
        <f t="shared" si="42"/>
        <v>96.885276344194182</v>
      </c>
      <c r="F102" s="51">
        <v>43214</v>
      </c>
      <c r="G102" s="51">
        <v>34312</v>
      </c>
      <c r="H102" s="51">
        <f t="shared" ref="H102:H106" si="46">F102/G102*100</f>
        <v>125.94427605502447</v>
      </c>
      <c r="I102" s="51">
        <v>180073</v>
      </c>
      <c r="J102" s="51">
        <v>165344</v>
      </c>
      <c r="K102" s="51">
        <f t="shared" si="43"/>
        <v>108.90809463905555</v>
      </c>
      <c r="L102" s="51">
        <f>1971+37149</f>
        <v>39120</v>
      </c>
      <c r="M102" s="51">
        <v>33480</v>
      </c>
      <c r="N102" s="51">
        <f t="shared" si="45"/>
        <v>116.84587813620071</v>
      </c>
      <c r="O102" s="51">
        <v>120</v>
      </c>
      <c r="P102" s="51">
        <v>66</v>
      </c>
      <c r="Q102" s="51">
        <v>120</v>
      </c>
      <c r="R102" s="45">
        <f t="shared" si="41"/>
        <v>7920</v>
      </c>
    </row>
    <row r="103" spans="1:18" x14ac:dyDescent="0.25">
      <c r="A103" s="85">
        <v>9</v>
      </c>
      <c r="B103" s="81" t="s">
        <v>92</v>
      </c>
      <c r="C103" s="42">
        <v>0</v>
      </c>
      <c r="D103" s="42">
        <v>0</v>
      </c>
      <c r="E103" s="43">
        <v>0</v>
      </c>
      <c r="F103" s="42">
        <v>0</v>
      </c>
      <c r="G103" s="42">
        <v>0</v>
      </c>
      <c r="H103" s="43">
        <v>0</v>
      </c>
      <c r="I103" s="42">
        <v>0</v>
      </c>
      <c r="J103" s="42">
        <v>0</v>
      </c>
      <c r="K103" s="43">
        <v>0</v>
      </c>
      <c r="L103" s="42">
        <v>0</v>
      </c>
      <c r="M103" s="42">
        <v>0</v>
      </c>
      <c r="N103" s="43">
        <v>0</v>
      </c>
      <c r="O103" s="242">
        <v>0</v>
      </c>
      <c r="P103" s="44">
        <v>0</v>
      </c>
      <c r="Q103" s="242">
        <v>0</v>
      </c>
      <c r="R103" s="45">
        <f t="shared" si="41"/>
        <v>0</v>
      </c>
    </row>
    <row r="104" spans="1:18" x14ac:dyDescent="0.25">
      <c r="A104" s="85">
        <v>10</v>
      </c>
      <c r="B104" s="78" t="s">
        <v>93</v>
      </c>
      <c r="C104" s="236">
        <v>95590</v>
      </c>
      <c r="D104" s="236">
        <v>124668</v>
      </c>
      <c r="E104" s="47">
        <f t="shared" ref="E104" si="47">C104/D104*100</f>
        <v>76.675650527801835</v>
      </c>
      <c r="F104" s="236">
        <v>15773</v>
      </c>
      <c r="G104" s="236">
        <v>15006</v>
      </c>
      <c r="H104" s="51">
        <f t="shared" si="46"/>
        <v>105.1112888178062</v>
      </c>
      <c r="I104" s="242">
        <v>95590</v>
      </c>
      <c r="J104" s="242">
        <v>124668</v>
      </c>
      <c r="K104" s="47">
        <f t="shared" ref="K104" si="48">I104/J104*100</f>
        <v>76.675650527801835</v>
      </c>
      <c r="L104" s="242">
        <v>95590</v>
      </c>
      <c r="M104" s="242">
        <v>124668</v>
      </c>
      <c r="N104" s="34">
        <f t="shared" si="45"/>
        <v>76.675650527801835</v>
      </c>
      <c r="O104" s="129">
        <v>76</v>
      </c>
      <c r="P104" s="87">
        <v>39</v>
      </c>
      <c r="Q104" s="129">
        <v>73</v>
      </c>
      <c r="R104" s="45">
        <f t="shared" si="41"/>
        <v>2964</v>
      </c>
    </row>
    <row r="105" spans="1:18" x14ac:dyDescent="0.25">
      <c r="A105" s="85">
        <v>11</v>
      </c>
      <c r="B105" s="81" t="s">
        <v>94</v>
      </c>
      <c r="C105" s="42">
        <v>0</v>
      </c>
      <c r="D105" s="42">
        <v>0</v>
      </c>
      <c r="E105" s="43">
        <v>0</v>
      </c>
      <c r="F105" s="42">
        <v>0</v>
      </c>
      <c r="G105" s="42">
        <v>0</v>
      </c>
      <c r="H105" s="43">
        <v>0</v>
      </c>
      <c r="I105" s="42">
        <v>0</v>
      </c>
      <c r="J105" s="42">
        <v>0</v>
      </c>
      <c r="K105" s="43">
        <v>0</v>
      </c>
      <c r="L105" s="42">
        <v>0</v>
      </c>
      <c r="M105" s="42">
        <v>0</v>
      </c>
      <c r="N105" s="43">
        <v>0</v>
      </c>
      <c r="O105" s="242">
        <v>0</v>
      </c>
      <c r="P105" s="44">
        <v>0</v>
      </c>
      <c r="Q105" s="242">
        <v>0</v>
      </c>
      <c r="R105" s="45">
        <f t="shared" si="41"/>
        <v>0</v>
      </c>
    </row>
    <row r="106" spans="1:18" x14ac:dyDescent="0.25">
      <c r="A106" s="85">
        <v>12</v>
      </c>
      <c r="B106" s="81" t="s">
        <v>95</v>
      </c>
      <c r="C106" s="86">
        <v>71524</v>
      </c>
      <c r="D106" s="87">
        <v>81931</v>
      </c>
      <c r="E106" s="47">
        <f t="shared" si="42"/>
        <v>87.29784818933004</v>
      </c>
      <c r="F106" s="86">
        <v>9540</v>
      </c>
      <c r="G106" s="87">
        <v>10930</v>
      </c>
      <c r="H106" s="47">
        <f t="shared" si="46"/>
        <v>87.282708142726435</v>
      </c>
      <c r="I106" s="86">
        <v>72100</v>
      </c>
      <c r="J106" s="86">
        <v>76860</v>
      </c>
      <c r="K106" s="47">
        <f t="shared" ref="K106" si="49">I106/J106*100</f>
        <v>93.806921675774134</v>
      </c>
      <c r="L106" s="87">
        <v>0</v>
      </c>
      <c r="M106" s="87">
        <v>0</v>
      </c>
      <c r="N106" s="34">
        <v>0</v>
      </c>
      <c r="O106" s="129">
        <v>12</v>
      </c>
      <c r="P106" s="87">
        <v>52</v>
      </c>
      <c r="Q106" s="129">
        <v>15</v>
      </c>
      <c r="R106" s="45">
        <f t="shared" si="41"/>
        <v>624</v>
      </c>
    </row>
    <row r="107" spans="1:18" x14ac:dyDescent="0.25">
      <c r="A107" s="85">
        <v>13</v>
      </c>
      <c r="B107" s="81" t="s">
        <v>96</v>
      </c>
      <c r="C107" s="86">
        <v>41469</v>
      </c>
      <c r="D107" s="87">
        <v>106822</v>
      </c>
      <c r="E107" s="47">
        <f t="shared" si="42"/>
        <v>38.820654921270901</v>
      </c>
      <c r="F107" s="86">
        <v>1671</v>
      </c>
      <c r="G107" s="86">
        <v>16380</v>
      </c>
      <c r="H107" s="47">
        <f t="shared" si="44"/>
        <v>10.201465201465201</v>
      </c>
      <c r="I107" s="86">
        <v>84516</v>
      </c>
      <c r="J107" s="86">
        <v>111038</v>
      </c>
      <c r="K107" s="47">
        <f t="shared" si="43"/>
        <v>76.114483330031163</v>
      </c>
      <c r="L107" s="87">
        <f>28982+46546</f>
        <v>75528</v>
      </c>
      <c r="M107" s="87">
        <v>108413</v>
      </c>
      <c r="N107" s="47">
        <f t="shared" si="45"/>
        <v>69.666921863614135</v>
      </c>
      <c r="O107" s="129">
        <v>121</v>
      </c>
      <c r="P107" s="87">
        <v>94</v>
      </c>
      <c r="Q107" s="129">
        <v>59</v>
      </c>
      <c r="R107" s="45">
        <f t="shared" si="41"/>
        <v>11374</v>
      </c>
    </row>
    <row r="108" spans="1:18" x14ac:dyDescent="0.25">
      <c r="A108" s="85">
        <v>14</v>
      </c>
      <c r="B108" s="81" t="s">
        <v>97</v>
      </c>
      <c r="C108" s="42">
        <v>0</v>
      </c>
      <c r="D108" s="42">
        <v>0</v>
      </c>
      <c r="E108" s="43">
        <v>0</v>
      </c>
      <c r="F108" s="42">
        <v>0</v>
      </c>
      <c r="G108" s="42">
        <v>0</v>
      </c>
      <c r="H108" s="43">
        <v>0</v>
      </c>
      <c r="I108" s="42">
        <v>0</v>
      </c>
      <c r="J108" s="42">
        <v>0</v>
      </c>
      <c r="K108" s="43">
        <v>0</v>
      </c>
      <c r="L108" s="42">
        <v>0</v>
      </c>
      <c r="M108" s="42">
        <v>0</v>
      </c>
      <c r="N108" s="47">
        <v>0</v>
      </c>
      <c r="O108" s="242">
        <v>0</v>
      </c>
      <c r="P108" s="44">
        <v>0</v>
      </c>
      <c r="Q108" s="242">
        <v>0</v>
      </c>
      <c r="R108" s="45">
        <f t="shared" si="41"/>
        <v>0</v>
      </c>
    </row>
    <row r="109" spans="1:18" x14ac:dyDescent="0.25">
      <c r="A109" s="85">
        <v>15</v>
      </c>
      <c r="B109" s="81" t="s">
        <v>98</v>
      </c>
      <c r="C109" s="42">
        <v>0</v>
      </c>
      <c r="D109" s="42">
        <v>0</v>
      </c>
      <c r="E109" s="43">
        <v>0</v>
      </c>
      <c r="F109" s="42">
        <v>0</v>
      </c>
      <c r="G109" s="42">
        <v>0</v>
      </c>
      <c r="H109" s="43">
        <v>0</v>
      </c>
      <c r="I109" s="42">
        <v>0</v>
      </c>
      <c r="J109" s="42">
        <v>0</v>
      </c>
      <c r="K109" s="43">
        <v>0</v>
      </c>
      <c r="L109" s="42">
        <v>0</v>
      </c>
      <c r="M109" s="42">
        <v>0</v>
      </c>
      <c r="N109" s="47">
        <v>0</v>
      </c>
      <c r="O109" s="242">
        <v>0</v>
      </c>
      <c r="P109" s="44">
        <v>0</v>
      </c>
      <c r="Q109" s="242">
        <v>0</v>
      </c>
      <c r="R109" s="45">
        <f t="shared" si="41"/>
        <v>0</v>
      </c>
    </row>
    <row r="110" spans="1:18" x14ac:dyDescent="0.25">
      <c r="A110" s="85">
        <v>16</v>
      </c>
      <c r="B110" s="81" t="s">
        <v>99</v>
      </c>
      <c r="C110" s="51">
        <v>385458</v>
      </c>
      <c r="D110" s="51">
        <v>572895</v>
      </c>
      <c r="E110" s="47">
        <f t="shared" si="42"/>
        <v>67.282486319482629</v>
      </c>
      <c r="F110" s="51">
        <v>49536</v>
      </c>
      <c r="G110" s="51">
        <v>40946</v>
      </c>
      <c r="H110" s="47">
        <f t="shared" si="44"/>
        <v>120.97885019293703</v>
      </c>
      <c r="I110" s="51">
        <v>376398</v>
      </c>
      <c r="J110" s="51">
        <v>490969</v>
      </c>
      <c r="K110" s="47">
        <f t="shared" ref="K110" si="50">I110/J110*100</f>
        <v>76.664310781332418</v>
      </c>
      <c r="L110" s="51">
        <v>0</v>
      </c>
      <c r="M110" s="51">
        <v>0</v>
      </c>
      <c r="N110" s="47">
        <v>0</v>
      </c>
      <c r="O110" s="129">
        <v>85</v>
      </c>
      <c r="P110" s="44">
        <v>55</v>
      </c>
      <c r="Q110" s="129">
        <v>83</v>
      </c>
      <c r="R110" s="45">
        <f t="shared" si="41"/>
        <v>4675</v>
      </c>
    </row>
    <row r="111" spans="1:18" x14ac:dyDescent="0.25">
      <c r="A111" s="85">
        <v>17</v>
      </c>
      <c r="B111" s="81" t="s">
        <v>100</v>
      </c>
      <c r="C111" s="86">
        <v>670890</v>
      </c>
      <c r="D111" s="87">
        <v>481731</v>
      </c>
      <c r="E111" s="47">
        <f t="shared" si="42"/>
        <v>139.26652011184666</v>
      </c>
      <c r="F111" s="86">
        <v>68852</v>
      </c>
      <c r="G111" s="86">
        <v>64351</v>
      </c>
      <c r="H111" s="47">
        <f t="shared" si="44"/>
        <v>106.99445230066355</v>
      </c>
      <c r="I111" s="86">
        <v>607185</v>
      </c>
      <c r="J111" s="86">
        <v>452126</v>
      </c>
      <c r="K111" s="47">
        <f t="shared" si="43"/>
        <v>134.29552823770365</v>
      </c>
      <c r="L111" s="87">
        <v>0</v>
      </c>
      <c r="M111" s="87">
        <v>0</v>
      </c>
      <c r="N111" s="47">
        <v>0</v>
      </c>
      <c r="O111" s="129">
        <v>187</v>
      </c>
      <c r="P111" s="87">
        <v>73</v>
      </c>
      <c r="Q111" s="129">
        <v>186</v>
      </c>
      <c r="R111" s="45">
        <f t="shared" si="41"/>
        <v>13651</v>
      </c>
    </row>
    <row r="112" spans="1:18" x14ac:dyDescent="0.25">
      <c r="A112" s="85">
        <v>18</v>
      </c>
      <c r="B112" s="78" t="s">
        <v>101</v>
      </c>
      <c r="C112" s="51">
        <v>300716</v>
      </c>
      <c r="D112" s="51">
        <v>144517</v>
      </c>
      <c r="E112" s="47">
        <f t="shared" si="42"/>
        <v>208.08347806832415</v>
      </c>
      <c r="F112" s="51">
        <v>19530</v>
      </c>
      <c r="G112" s="51">
        <v>144517</v>
      </c>
      <c r="H112" s="47">
        <f t="shared" si="44"/>
        <v>13.51398105413204</v>
      </c>
      <c r="I112" s="51">
        <v>300716</v>
      </c>
      <c r="J112" s="51">
        <v>144517</v>
      </c>
      <c r="K112" s="47">
        <f t="shared" si="43"/>
        <v>208.08347806832415</v>
      </c>
      <c r="L112" s="51">
        <v>300716</v>
      </c>
      <c r="M112" s="51">
        <f>15442+129075</f>
        <v>144517</v>
      </c>
      <c r="N112" s="47">
        <f t="shared" si="45"/>
        <v>208.08347806832415</v>
      </c>
      <c r="O112" s="129">
        <v>120</v>
      </c>
      <c r="P112" s="87">
        <v>65</v>
      </c>
      <c r="Q112" s="129">
        <v>352</v>
      </c>
      <c r="R112" s="45">
        <f t="shared" si="41"/>
        <v>7800</v>
      </c>
    </row>
    <row r="113" spans="1:91" x14ac:dyDescent="0.25">
      <c r="A113" s="85">
        <v>19</v>
      </c>
      <c r="B113" s="81" t="s">
        <v>102</v>
      </c>
      <c r="C113" s="42">
        <v>0</v>
      </c>
      <c r="D113" s="42">
        <v>0</v>
      </c>
      <c r="E113" s="43">
        <v>0</v>
      </c>
      <c r="F113" s="42">
        <v>0</v>
      </c>
      <c r="G113" s="42">
        <v>0</v>
      </c>
      <c r="H113" s="43">
        <v>0</v>
      </c>
      <c r="I113" s="42">
        <v>0</v>
      </c>
      <c r="J113" s="42">
        <v>0</v>
      </c>
      <c r="K113" s="43">
        <v>0</v>
      </c>
      <c r="L113" s="42">
        <v>0</v>
      </c>
      <c r="M113" s="42">
        <v>0</v>
      </c>
      <c r="N113" s="43">
        <v>0</v>
      </c>
      <c r="O113" s="242">
        <v>0</v>
      </c>
      <c r="P113" s="44">
        <v>0</v>
      </c>
      <c r="Q113" s="242">
        <v>0</v>
      </c>
      <c r="R113" s="45">
        <f t="shared" si="41"/>
        <v>0</v>
      </c>
    </row>
    <row r="114" spans="1:91" x14ac:dyDescent="0.25">
      <c r="A114" s="85">
        <v>20</v>
      </c>
      <c r="B114" s="81" t="s">
        <v>103</v>
      </c>
      <c r="C114" s="42">
        <v>0</v>
      </c>
      <c r="D114" s="42">
        <v>0</v>
      </c>
      <c r="E114" s="43">
        <v>0</v>
      </c>
      <c r="F114" s="42">
        <v>0</v>
      </c>
      <c r="G114" s="42">
        <v>0</v>
      </c>
      <c r="H114" s="43">
        <v>0</v>
      </c>
      <c r="I114" s="42">
        <v>0</v>
      </c>
      <c r="J114" s="42">
        <v>0</v>
      </c>
      <c r="K114" s="43">
        <v>0</v>
      </c>
      <c r="L114" s="42">
        <v>0</v>
      </c>
      <c r="M114" s="42">
        <v>0</v>
      </c>
      <c r="N114" s="43">
        <v>0</v>
      </c>
      <c r="O114" s="242">
        <v>0</v>
      </c>
      <c r="P114" s="44">
        <v>0</v>
      </c>
      <c r="Q114" s="242">
        <v>0</v>
      </c>
      <c r="R114" s="45">
        <f t="shared" si="41"/>
        <v>0</v>
      </c>
    </row>
    <row r="115" spans="1:91" x14ac:dyDescent="0.25">
      <c r="A115" s="85">
        <v>21</v>
      </c>
      <c r="B115" s="81" t="s">
        <v>104</v>
      </c>
      <c r="C115" s="87">
        <v>29415</v>
      </c>
      <c r="D115" s="87">
        <v>57253</v>
      </c>
      <c r="E115" s="47">
        <f t="shared" si="42"/>
        <v>51.377220407664225</v>
      </c>
      <c r="F115" s="87">
        <v>7046</v>
      </c>
      <c r="G115" s="87">
        <v>3322</v>
      </c>
      <c r="H115" s="47">
        <f t="shared" ref="H115:H116" si="51">F115/G115*100</f>
        <v>212.10114388922335</v>
      </c>
      <c r="I115" s="87">
        <v>29415</v>
      </c>
      <c r="J115" s="87">
        <v>57253</v>
      </c>
      <c r="K115" s="47">
        <f t="shared" ref="K115" si="52">I115/J115*100</f>
        <v>51.377220407664225</v>
      </c>
      <c r="L115" s="87">
        <v>27749</v>
      </c>
      <c r="M115" s="87">
        <v>49812</v>
      </c>
      <c r="N115" s="47">
        <f t="shared" ref="N115" si="53">L115/M115*100</f>
        <v>55.707460049787208</v>
      </c>
      <c r="O115" s="129">
        <v>14</v>
      </c>
      <c r="P115" s="87">
        <v>48</v>
      </c>
      <c r="Q115" s="129">
        <v>12</v>
      </c>
      <c r="R115" s="45">
        <f t="shared" si="41"/>
        <v>672</v>
      </c>
    </row>
    <row r="116" spans="1:91" x14ac:dyDescent="0.25">
      <c r="A116" s="85">
        <v>22</v>
      </c>
      <c r="B116" s="78" t="s">
        <v>105</v>
      </c>
      <c r="C116" s="86">
        <v>16450</v>
      </c>
      <c r="D116" s="86">
        <v>15590</v>
      </c>
      <c r="E116" s="47">
        <f t="shared" si="42"/>
        <v>105.51635663887107</v>
      </c>
      <c r="F116" s="86">
        <v>2240</v>
      </c>
      <c r="G116" s="86">
        <v>2170</v>
      </c>
      <c r="H116" s="47">
        <f t="shared" si="51"/>
        <v>103.2258064516129</v>
      </c>
      <c r="I116" s="86">
        <v>27630</v>
      </c>
      <c r="J116" s="86">
        <v>26058</v>
      </c>
      <c r="K116" s="47">
        <f t="shared" si="43"/>
        <v>106.03269629288509</v>
      </c>
      <c r="L116" s="87">
        <v>0</v>
      </c>
      <c r="M116" s="86">
        <v>0</v>
      </c>
      <c r="N116" s="34">
        <v>0</v>
      </c>
      <c r="O116" s="129">
        <v>12</v>
      </c>
      <c r="P116" s="87">
        <v>63</v>
      </c>
      <c r="Q116" s="129">
        <v>13</v>
      </c>
      <c r="R116" s="45">
        <f t="shared" si="41"/>
        <v>756</v>
      </c>
    </row>
    <row r="117" spans="1:91" x14ac:dyDescent="0.25">
      <c r="A117" s="85">
        <v>23</v>
      </c>
      <c r="B117" s="78" t="s">
        <v>106</v>
      </c>
      <c r="C117" s="86">
        <v>92327</v>
      </c>
      <c r="D117" s="87">
        <v>102249</v>
      </c>
      <c r="E117" s="47">
        <f t="shared" si="42"/>
        <v>90.296237616015802</v>
      </c>
      <c r="F117" s="86">
        <v>14555</v>
      </c>
      <c r="G117" s="86">
        <v>12184</v>
      </c>
      <c r="H117" s="47">
        <f t="shared" si="44"/>
        <v>119.45994747209454</v>
      </c>
      <c r="I117" s="86">
        <v>94419</v>
      </c>
      <c r="J117" s="86">
        <v>105360</v>
      </c>
      <c r="K117" s="47">
        <f t="shared" si="43"/>
        <v>89.615603644646924</v>
      </c>
      <c r="L117" s="87">
        <v>0</v>
      </c>
      <c r="M117" s="87">
        <v>2114</v>
      </c>
      <c r="N117" s="34">
        <v>0</v>
      </c>
      <c r="O117" s="129">
        <v>37</v>
      </c>
      <c r="P117" s="87">
        <v>47</v>
      </c>
      <c r="Q117" s="129">
        <v>45</v>
      </c>
      <c r="R117" s="45">
        <f t="shared" si="41"/>
        <v>1739</v>
      </c>
    </row>
    <row r="118" spans="1:91" x14ac:dyDescent="0.25">
      <c r="A118" s="85">
        <v>24</v>
      </c>
      <c r="B118" s="81" t="s">
        <v>107</v>
      </c>
      <c r="C118" s="87">
        <v>23388</v>
      </c>
      <c r="D118" s="87">
        <v>12304</v>
      </c>
      <c r="E118" s="47">
        <f t="shared" si="42"/>
        <v>190.0845253576073</v>
      </c>
      <c r="F118" s="87">
        <v>3137</v>
      </c>
      <c r="G118" s="86">
        <v>459</v>
      </c>
      <c r="H118" s="47">
        <f t="shared" si="44"/>
        <v>683.44226579520694</v>
      </c>
      <c r="I118" s="87">
        <v>125768</v>
      </c>
      <c r="J118" s="87">
        <v>137005</v>
      </c>
      <c r="K118" s="47">
        <f t="shared" si="43"/>
        <v>91.798109558045326</v>
      </c>
      <c r="L118" s="88">
        <v>0</v>
      </c>
      <c r="M118" s="87">
        <v>1428</v>
      </c>
      <c r="N118" s="34">
        <v>0</v>
      </c>
      <c r="O118" s="129">
        <v>54</v>
      </c>
      <c r="P118" s="87">
        <v>55</v>
      </c>
      <c r="Q118" s="129">
        <v>57</v>
      </c>
      <c r="R118" s="45">
        <f t="shared" si="41"/>
        <v>2970</v>
      </c>
    </row>
    <row r="119" spans="1:91" x14ac:dyDescent="0.25">
      <c r="A119" s="85">
        <v>25</v>
      </c>
      <c r="B119" s="81" t="s">
        <v>108</v>
      </c>
      <c r="C119" s="87">
        <v>25840</v>
      </c>
      <c r="D119" s="87">
        <v>37242</v>
      </c>
      <c r="E119" s="47">
        <f t="shared" si="42"/>
        <v>69.384028784705436</v>
      </c>
      <c r="F119" s="87">
        <v>1460</v>
      </c>
      <c r="G119" s="87">
        <v>4317</v>
      </c>
      <c r="H119" s="47">
        <f t="shared" si="44"/>
        <v>33.819782256196433</v>
      </c>
      <c r="I119" s="87">
        <v>25986</v>
      </c>
      <c r="J119" s="87">
        <v>37237</v>
      </c>
      <c r="K119" s="47">
        <f t="shared" si="43"/>
        <v>69.785428471681385</v>
      </c>
      <c r="L119" s="87">
        <v>0</v>
      </c>
      <c r="M119" s="87">
        <v>0</v>
      </c>
      <c r="N119" s="34">
        <v>0</v>
      </c>
      <c r="O119" s="129">
        <v>20</v>
      </c>
      <c r="P119" s="87">
        <v>37</v>
      </c>
      <c r="Q119" s="129">
        <v>22</v>
      </c>
      <c r="R119" s="45">
        <f t="shared" si="41"/>
        <v>740</v>
      </c>
    </row>
    <row r="120" spans="1:91" s="60" customFormat="1" x14ac:dyDescent="0.25">
      <c r="A120" s="315" t="s">
        <v>109</v>
      </c>
      <c r="B120" s="315" t="s">
        <v>109</v>
      </c>
      <c r="C120" s="56">
        <f>SUM(C95:C119)</f>
        <v>2648552</v>
      </c>
      <c r="D120" s="56">
        <f>SUM(D95:D119)</f>
        <v>2802325</v>
      </c>
      <c r="E120" s="57">
        <f>C120/D120*100</f>
        <v>94.512663591838916</v>
      </c>
      <c r="F120" s="56">
        <f>SUM(F95:F119)</f>
        <v>351996</v>
      </c>
      <c r="G120" s="56">
        <f>SUM(G95:G119)</f>
        <v>442434</v>
      </c>
      <c r="H120" s="57">
        <f>F120/G120*100</f>
        <v>79.558985068959444</v>
      </c>
      <c r="I120" s="56">
        <f>SUM(I95:I119)</f>
        <v>2697020</v>
      </c>
      <c r="J120" s="56">
        <f>SUM(J95:J119)</f>
        <v>2739360</v>
      </c>
      <c r="K120" s="57">
        <f>I120/J120*100</f>
        <v>98.454383505636358</v>
      </c>
      <c r="L120" s="56">
        <f>SUM(L95:L119)</f>
        <v>1206218</v>
      </c>
      <c r="M120" s="56">
        <f>SUM(M95:M119)</f>
        <v>1247555</v>
      </c>
      <c r="N120" s="57">
        <f>L120/M120*100</f>
        <v>96.686558909226449</v>
      </c>
      <c r="O120" s="56">
        <f>SUM(O95:O119)</f>
        <v>1599</v>
      </c>
      <c r="P120" s="57">
        <f>R120/O120</f>
        <v>54.979987492182616</v>
      </c>
      <c r="Q120" s="56">
        <f>SUM(Q95:Q119)</f>
        <v>1772</v>
      </c>
      <c r="R120" s="59">
        <f>SUM(R95:R119)</f>
        <v>87913</v>
      </c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x14ac:dyDescent="0.25">
      <c r="A121" s="85"/>
      <c r="B121" s="81"/>
      <c r="C121" s="236"/>
      <c r="D121" s="236"/>
      <c r="E121" s="236"/>
      <c r="F121" s="236"/>
      <c r="G121" s="236"/>
      <c r="H121" s="236"/>
      <c r="I121" s="236"/>
      <c r="J121" s="236"/>
      <c r="K121" s="236"/>
      <c r="L121" s="236"/>
      <c r="M121" s="236"/>
      <c r="N121" s="86"/>
      <c r="O121" s="236"/>
      <c r="P121" s="44"/>
      <c r="Q121" s="236"/>
      <c r="R121" s="45"/>
    </row>
    <row r="122" spans="1:91" s="145" customFormat="1" x14ac:dyDescent="0.25">
      <c r="A122" s="117"/>
      <c r="B122" s="117"/>
      <c r="C122" s="103"/>
      <c r="D122" s="103"/>
      <c r="E122" s="142"/>
      <c r="F122" s="103"/>
      <c r="G122" s="103"/>
      <c r="H122" s="142"/>
      <c r="I122" s="103"/>
      <c r="J122" s="103"/>
      <c r="K122" s="142"/>
      <c r="L122" s="103"/>
      <c r="M122" s="103"/>
      <c r="N122" s="142"/>
      <c r="O122" s="103"/>
      <c r="P122" s="142"/>
      <c r="Q122" s="103"/>
      <c r="R122" s="45">
        <f t="shared" ref="R122:R130" si="54">O122*P122</f>
        <v>0</v>
      </c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x14ac:dyDescent="0.25">
      <c r="A123" s="37"/>
      <c r="B123" s="37" t="s">
        <v>20</v>
      </c>
      <c r="C123" s="37">
        <v>3</v>
      </c>
      <c r="D123" s="37">
        <v>4</v>
      </c>
      <c r="E123" s="239">
        <v>5</v>
      </c>
      <c r="F123" s="37">
        <v>6</v>
      </c>
      <c r="G123" s="37">
        <v>7</v>
      </c>
      <c r="H123" s="37">
        <v>8</v>
      </c>
      <c r="I123" s="37">
        <v>9</v>
      </c>
      <c r="J123" s="37">
        <v>10</v>
      </c>
      <c r="K123" s="37">
        <v>11</v>
      </c>
      <c r="L123" s="37">
        <v>12</v>
      </c>
      <c r="M123" s="37">
        <v>13</v>
      </c>
      <c r="N123" s="37">
        <v>14</v>
      </c>
      <c r="O123" s="37">
        <v>15</v>
      </c>
      <c r="P123" s="239">
        <v>16</v>
      </c>
      <c r="Q123" s="37">
        <v>15</v>
      </c>
      <c r="R123" s="45">
        <f t="shared" si="54"/>
        <v>240</v>
      </c>
    </row>
    <row r="124" spans="1:91" x14ac:dyDescent="0.25">
      <c r="A124" s="50">
        <v>1</v>
      </c>
      <c r="B124" s="89" t="s">
        <v>110</v>
      </c>
      <c r="C124" s="42">
        <v>0</v>
      </c>
      <c r="D124" s="42">
        <v>0</v>
      </c>
      <c r="E124" s="43">
        <v>0</v>
      </c>
      <c r="F124" s="42">
        <v>0</v>
      </c>
      <c r="G124" s="42">
        <v>0</v>
      </c>
      <c r="H124" s="43">
        <v>0</v>
      </c>
      <c r="I124" s="42">
        <v>0</v>
      </c>
      <c r="J124" s="42">
        <v>0</v>
      </c>
      <c r="K124" s="43">
        <v>0</v>
      </c>
      <c r="L124" s="42">
        <v>0</v>
      </c>
      <c r="M124" s="42">
        <v>0</v>
      </c>
      <c r="N124" s="43">
        <v>0</v>
      </c>
      <c r="O124" s="242">
        <v>0</v>
      </c>
      <c r="P124" s="44">
        <v>0</v>
      </c>
      <c r="Q124" s="242">
        <v>0</v>
      </c>
      <c r="R124" s="45">
        <f t="shared" si="54"/>
        <v>0</v>
      </c>
    </row>
    <row r="125" spans="1:91" x14ac:dyDescent="0.25">
      <c r="A125" s="50">
        <v>2</v>
      </c>
      <c r="B125" s="89" t="s">
        <v>167</v>
      </c>
      <c r="C125" s="236">
        <v>192827</v>
      </c>
      <c r="D125" s="236">
        <v>100096</v>
      </c>
      <c r="E125" s="47">
        <f t="shared" ref="E125" si="55">C125/D125*100</f>
        <v>192.64206361892585</v>
      </c>
      <c r="F125" s="236">
        <v>6724</v>
      </c>
      <c r="G125" s="236">
        <v>19123</v>
      </c>
      <c r="H125" s="34">
        <f t="shared" ref="H125" si="56">F125/G125*100</f>
        <v>35.161846990534954</v>
      </c>
      <c r="I125" s="236">
        <v>225618</v>
      </c>
      <c r="J125" s="236">
        <v>104751</v>
      </c>
      <c r="K125" s="47">
        <f t="shared" ref="K125:K130" si="57">I125/J125*100</f>
        <v>215.38505598991895</v>
      </c>
      <c r="L125" s="236">
        <v>0</v>
      </c>
      <c r="M125" s="236">
        <v>0</v>
      </c>
      <c r="N125" s="34">
        <v>0</v>
      </c>
      <c r="O125" s="62">
        <v>81</v>
      </c>
      <c r="P125" s="44">
        <v>80</v>
      </c>
      <c r="Q125" s="62">
        <v>81</v>
      </c>
      <c r="R125" s="45">
        <f t="shared" si="54"/>
        <v>6480</v>
      </c>
    </row>
    <row r="126" spans="1:91" x14ac:dyDescent="0.25">
      <c r="A126" s="50">
        <v>3</v>
      </c>
      <c r="B126" s="89" t="s">
        <v>166</v>
      </c>
      <c r="C126" s="42">
        <v>0</v>
      </c>
      <c r="D126" s="42">
        <v>0</v>
      </c>
      <c r="E126" s="43">
        <v>0</v>
      </c>
      <c r="F126" s="42">
        <v>0</v>
      </c>
      <c r="G126" s="42">
        <v>0</v>
      </c>
      <c r="H126" s="43">
        <v>0</v>
      </c>
      <c r="I126" s="42">
        <v>0</v>
      </c>
      <c r="J126" s="42">
        <v>0</v>
      </c>
      <c r="K126" s="43">
        <v>0</v>
      </c>
      <c r="L126" s="42">
        <v>0</v>
      </c>
      <c r="M126" s="42">
        <v>0</v>
      </c>
      <c r="N126" s="43">
        <v>0</v>
      </c>
      <c r="O126" s="242">
        <v>0</v>
      </c>
      <c r="P126" s="44">
        <v>0</v>
      </c>
      <c r="Q126" s="242">
        <v>0</v>
      </c>
      <c r="R126" s="45">
        <f t="shared" si="54"/>
        <v>0</v>
      </c>
    </row>
    <row r="127" spans="1:91" x14ac:dyDescent="0.25">
      <c r="A127" s="50">
        <v>4</v>
      </c>
      <c r="B127" s="89" t="s">
        <v>111</v>
      </c>
      <c r="C127" s="42">
        <v>0</v>
      </c>
      <c r="D127" s="42">
        <v>0</v>
      </c>
      <c r="E127" s="43">
        <v>0</v>
      </c>
      <c r="F127" s="42">
        <v>0</v>
      </c>
      <c r="G127" s="42">
        <v>0</v>
      </c>
      <c r="H127" s="43">
        <v>0</v>
      </c>
      <c r="I127" s="42">
        <v>0</v>
      </c>
      <c r="J127" s="42">
        <v>0</v>
      </c>
      <c r="K127" s="43">
        <v>0</v>
      </c>
      <c r="L127" s="42">
        <v>0</v>
      </c>
      <c r="M127" s="42">
        <v>0</v>
      </c>
      <c r="N127" s="43">
        <v>0</v>
      </c>
      <c r="O127" s="242">
        <v>0</v>
      </c>
      <c r="P127" s="44">
        <v>0</v>
      </c>
      <c r="Q127" s="242">
        <v>0</v>
      </c>
      <c r="R127" s="45">
        <f t="shared" si="54"/>
        <v>0</v>
      </c>
    </row>
    <row r="128" spans="1:91" x14ac:dyDescent="0.25">
      <c r="A128" s="50">
        <v>5</v>
      </c>
      <c r="B128" s="93" t="s">
        <v>112</v>
      </c>
      <c r="C128" s="86">
        <v>4620</v>
      </c>
      <c r="D128" s="86">
        <v>2255</v>
      </c>
      <c r="E128" s="47">
        <f t="shared" ref="E128" si="58">C128/D128*100</f>
        <v>204.8780487804878</v>
      </c>
      <c r="F128" s="86">
        <v>840</v>
      </c>
      <c r="G128" s="86">
        <v>1774</v>
      </c>
      <c r="H128" s="34">
        <f t="shared" ref="H128" si="59">F128/G128*100</f>
        <v>47.350620067643746</v>
      </c>
      <c r="I128" s="86">
        <v>7646</v>
      </c>
      <c r="J128" s="86">
        <v>9365</v>
      </c>
      <c r="K128" s="94">
        <f t="shared" ref="K128" si="60">I128/J128*100</f>
        <v>81.644420715429789</v>
      </c>
      <c r="L128" s="86">
        <v>0</v>
      </c>
      <c r="M128" s="86">
        <v>0</v>
      </c>
      <c r="N128" s="86">
        <v>0</v>
      </c>
      <c r="O128" s="62">
        <v>8</v>
      </c>
      <c r="P128" s="92">
        <v>70</v>
      </c>
      <c r="Q128" s="62">
        <v>8</v>
      </c>
      <c r="R128" s="45">
        <f t="shared" si="54"/>
        <v>560</v>
      </c>
    </row>
    <row r="129" spans="1:18" s="66" customFormat="1" x14ac:dyDescent="0.25">
      <c r="A129" s="50">
        <v>6</v>
      </c>
      <c r="B129" s="93" t="s">
        <v>113</v>
      </c>
      <c r="C129" s="42">
        <v>0</v>
      </c>
      <c r="D129" s="42">
        <v>0</v>
      </c>
      <c r="E129" s="43">
        <v>0</v>
      </c>
      <c r="F129" s="42">
        <v>0</v>
      </c>
      <c r="G129" s="42">
        <v>0</v>
      </c>
      <c r="H129" s="43">
        <v>0</v>
      </c>
      <c r="I129" s="42">
        <v>0</v>
      </c>
      <c r="J129" s="42">
        <v>0</v>
      </c>
      <c r="K129" s="43">
        <v>0</v>
      </c>
      <c r="L129" s="42">
        <v>0</v>
      </c>
      <c r="M129" s="42">
        <v>0</v>
      </c>
      <c r="N129" s="43">
        <v>0</v>
      </c>
      <c r="O129" s="242">
        <v>0</v>
      </c>
      <c r="P129" s="44">
        <v>0</v>
      </c>
      <c r="Q129" s="242">
        <v>0</v>
      </c>
      <c r="R129" s="45">
        <f t="shared" si="54"/>
        <v>0</v>
      </c>
    </row>
    <row r="130" spans="1:18" x14ac:dyDescent="0.25">
      <c r="A130" s="50">
        <v>7</v>
      </c>
      <c r="B130" s="89" t="s">
        <v>114</v>
      </c>
      <c r="C130" s="51">
        <v>15637</v>
      </c>
      <c r="D130" s="51">
        <v>21613</v>
      </c>
      <c r="E130" s="47">
        <f t="shared" ref="E130" si="61">C130/D130*100</f>
        <v>72.349974552352748</v>
      </c>
      <c r="F130" s="51">
        <v>1573</v>
      </c>
      <c r="G130" s="51">
        <v>2566</v>
      </c>
      <c r="H130" s="47">
        <f t="shared" ref="H130" si="62">F130/G130*100</f>
        <v>61.301636788776307</v>
      </c>
      <c r="I130" s="51">
        <v>15637</v>
      </c>
      <c r="J130" s="51">
        <v>21613</v>
      </c>
      <c r="K130" s="94">
        <f t="shared" si="57"/>
        <v>72.349974552352748</v>
      </c>
      <c r="L130" s="51">
        <v>0</v>
      </c>
      <c r="M130" s="51">
        <v>0</v>
      </c>
      <c r="N130" s="34">
        <v>0</v>
      </c>
      <c r="O130" s="62">
        <v>13</v>
      </c>
      <c r="P130" s="87">
        <v>50</v>
      </c>
      <c r="Q130" s="62">
        <v>13</v>
      </c>
      <c r="R130" s="45">
        <f t="shared" si="54"/>
        <v>650</v>
      </c>
    </row>
    <row r="131" spans="1:18" s="60" customFormat="1" x14ac:dyDescent="0.25">
      <c r="A131" s="315" t="s">
        <v>115</v>
      </c>
      <c r="B131" s="315" t="s">
        <v>115</v>
      </c>
      <c r="C131" s="56">
        <f>SUM(C124:C130)</f>
        <v>213084</v>
      </c>
      <c r="D131" s="56">
        <f>SUM(D124:D130)</f>
        <v>123964</v>
      </c>
      <c r="E131" s="57">
        <f>C131/D131*100</f>
        <v>171.8918395663257</v>
      </c>
      <c r="F131" s="56">
        <f>SUM(F124:F130)</f>
        <v>9137</v>
      </c>
      <c r="G131" s="56">
        <f>SUM(G124:G130)</f>
        <v>23463</v>
      </c>
      <c r="H131" s="57">
        <f>F131/G131*100</f>
        <v>38.942164258619954</v>
      </c>
      <c r="I131" s="56">
        <f>SUM(I124:I130)</f>
        <v>248901</v>
      </c>
      <c r="J131" s="56">
        <f>SUM(J124:J130)</f>
        <v>135729</v>
      </c>
      <c r="K131" s="57">
        <f>I131/J131*100</f>
        <v>183.38085449682825</v>
      </c>
      <c r="L131" s="56">
        <f>SUM(L124:L130)</f>
        <v>0</v>
      </c>
      <c r="M131" s="56">
        <f>SUM(M124:M130)</f>
        <v>0</v>
      </c>
      <c r="N131" s="58">
        <v>0</v>
      </c>
      <c r="O131" s="56">
        <f>SUM(O124:O130)</f>
        <v>102</v>
      </c>
      <c r="P131" s="58">
        <f>R131/O131</f>
        <v>75.392156862745097</v>
      </c>
      <c r="Q131" s="56">
        <f>SUM(Q124:Q130)</f>
        <v>102</v>
      </c>
      <c r="R131" s="59">
        <f>SUM(R124:R130)</f>
        <v>7690</v>
      </c>
    </row>
    <row r="132" spans="1:18" x14ac:dyDescent="0.25">
      <c r="A132" s="236"/>
      <c r="B132" s="236"/>
      <c r="C132" s="236"/>
      <c r="D132" s="236"/>
      <c r="E132" s="236"/>
      <c r="F132" s="236"/>
      <c r="G132" s="236"/>
      <c r="H132" s="236"/>
      <c r="I132" s="236"/>
      <c r="J132" s="236"/>
      <c r="K132" s="34"/>
      <c r="L132" s="236"/>
      <c r="M132" s="236"/>
      <c r="N132" s="236"/>
      <c r="O132" s="236"/>
      <c r="P132" s="62"/>
      <c r="Q132" s="236"/>
      <c r="R132" s="39"/>
    </row>
    <row r="133" spans="1:18" x14ac:dyDescent="0.25">
      <c r="A133" s="316" t="s">
        <v>208</v>
      </c>
      <c r="B133" s="317"/>
      <c r="C133" s="37">
        <v>3</v>
      </c>
      <c r="D133" s="37">
        <v>4</v>
      </c>
      <c r="E133" s="239">
        <v>5</v>
      </c>
      <c r="F133" s="37">
        <v>6</v>
      </c>
      <c r="G133" s="37">
        <v>7</v>
      </c>
      <c r="H133" s="37">
        <v>8</v>
      </c>
      <c r="I133" s="37">
        <v>9</v>
      </c>
      <c r="J133" s="37">
        <v>10</v>
      </c>
      <c r="K133" s="37">
        <v>11</v>
      </c>
      <c r="L133" s="37">
        <v>12</v>
      </c>
      <c r="M133" s="37">
        <v>13</v>
      </c>
      <c r="N133" s="37">
        <v>14</v>
      </c>
      <c r="O133" s="37">
        <v>15</v>
      </c>
      <c r="P133" s="239">
        <v>16</v>
      </c>
      <c r="Q133" s="37">
        <v>15</v>
      </c>
      <c r="R133" s="31"/>
    </row>
    <row r="134" spans="1:18" x14ac:dyDescent="0.25">
      <c r="A134" s="96">
        <v>1</v>
      </c>
      <c r="B134" s="78" t="s">
        <v>117</v>
      </c>
      <c r="C134" s="62">
        <v>88046721</v>
      </c>
      <c r="D134" s="62">
        <v>76521836</v>
      </c>
      <c r="E134" s="47">
        <f t="shared" ref="E134:E137" si="63">C134/D134*100</f>
        <v>115.06091019562051</v>
      </c>
      <c r="F134" s="62">
        <v>9150104</v>
      </c>
      <c r="G134" s="62">
        <v>8521850</v>
      </c>
      <c r="H134" s="47">
        <f>F134/G134*100</f>
        <v>107.37227245257779</v>
      </c>
      <c r="I134" s="96">
        <v>85800515</v>
      </c>
      <c r="J134" s="96">
        <v>75203145</v>
      </c>
      <c r="K134" s="47">
        <f>I134/J134*100</f>
        <v>114.09165800180298</v>
      </c>
      <c r="L134" s="96">
        <v>40562582</v>
      </c>
      <c r="M134" s="96">
        <v>35485036</v>
      </c>
      <c r="N134" s="47">
        <f>L134/M134*100</f>
        <v>114.3089780154091</v>
      </c>
      <c r="O134" s="252">
        <v>2945</v>
      </c>
      <c r="P134" s="62">
        <v>145</v>
      </c>
      <c r="Q134" s="252">
        <v>2920</v>
      </c>
      <c r="R134" s="45">
        <f t="shared" ref="R134:R138" si="64">O134*P134</f>
        <v>427025</v>
      </c>
    </row>
    <row r="135" spans="1:18" x14ac:dyDescent="0.25">
      <c r="A135" s="96">
        <v>2</v>
      </c>
      <c r="B135" s="78" t="s">
        <v>118</v>
      </c>
      <c r="C135" s="62">
        <v>19754387</v>
      </c>
      <c r="D135" s="62">
        <v>18304605</v>
      </c>
      <c r="E135" s="47">
        <f t="shared" si="63"/>
        <v>107.92031294857223</v>
      </c>
      <c r="F135" s="62">
        <v>2287252</v>
      </c>
      <c r="G135" s="62">
        <v>1933795</v>
      </c>
      <c r="H135" s="47">
        <f t="shared" ref="H135:H137" si="65">F135/G135*100</f>
        <v>118.27789398566033</v>
      </c>
      <c r="I135" s="96">
        <v>16812907</v>
      </c>
      <c r="J135" s="96">
        <v>16619328</v>
      </c>
      <c r="K135" s="47">
        <f t="shared" ref="K135:K137" si="66">I135/J135*100</f>
        <v>101.16478235461747</v>
      </c>
      <c r="L135" s="236">
        <v>16812907</v>
      </c>
      <c r="M135" s="236">
        <v>16619328</v>
      </c>
      <c r="N135" s="47">
        <f t="shared" ref="N135:N137" si="67">L135/M135*100</f>
        <v>101.16478235461747</v>
      </c>
      <c r="O135" s="252">
        <v>940</v>
      </c>
      <c r="P135" s="62">
        <v>120</v>
      </c>
      <c r="Q135" s="252">
        <v>940</v>
      </c>
      <c r="R135" s="45">
        <f t="shared" si="64"/>
        <v>112800</v>
      </c>
    </row>
    <row r="136" spans="1:18" s="66" customFormat="1" x14ac:dyDescent="0.25">
      <c r="A136" s="96">
        <v>3</v>
      </c>
      <c r="B136" s="78" t="s">
        <v>119</v>
      </c>
      <c r="C136" s="62">
        <v>17655065</v>
      </c>
      <c r="D136" s="62">
        <v>20058626</v>
      </c>
      <c r="E136" s="47">
        <f t="shared" si="63"/>
        <v>88.017319830381197</v>
      </c>
      <c r="F136" s="62">
        <v>2001150</v>
      </c>
      <c r="G136" s="62">
        <v>1795633</v>
      </c>
      <c r="H136" s="47">
        <f t="shared" si="65"/>
        <v>111.44537887196326</v>
      </c>
      <c r="I136" s="96">
        <v>14644427</v>
      </c>
      <c r="J136" s="96">
        <v>21245287</v>
      </c>
      <c r="K136" s="47">
        <f t="shared" si="66"/>
        <v>68.93023850419155</v>
      </c>
      <c r="L136" s="96">
        <f>1958616+12685811</f>
        <v>14644427</v>
      </c>
      <c r="M136" s="96">
        <v>21245287</v>
      </c>
      <c r="N136" s="47">
        <f t="shared" si="67"/>
        <v>68.93023850419155</v>
      </c>
      <c r="O136" s="252">
        <v>1205</v>
      </c>
      <c r="P136" s="76">
        <v>306</v>
      </c>
      <c r="Q136" s="252">
        <v>1210</v>
      </c>
      <c r="R136" s="45">
        <f t="shared" si="64"/>
        <v>368730</v>
      </c>
    </row>
    <row r="137" spans="1:18" x14ac:dyDescent="0.25">
      <c r="A137" s="96">
        <v>4</v>
      </c>
      <c r="B137" s="78" t="s">
        <v>120</v>
      </c>
      <c r="C137" s="76">
        <v>3775116</v>
      </c>
      <c r="D137" s="76">
        <v>5642566</v>
      </c>
      <c r="E137" s="47">
        <f t="shared" si="63"/>
        <v>66.904241793538617</v>
      </c>
      <c r="F137" s="236">
        <v>477774</v>
      </c>
      <c r="G137" s="236">
        <v>512598</v>
      </c>
      <c r="H137" s="47">
        <f t="shared" si="65"/>
        <v>93.206372244917063</v>
      </c>
      <c r="I137" s="236">
        <v>3590220</v>
      </c>
      <c r="J137" s="236">
        <v>5434429</v>
      </c>
      <c r="K137" s="47">
        <f t="shared" si="66"/>
        <v>66.064346410634869</v>
      </c>
      <c r="L137" s="236">
        <v>3590220</v>
      </c>
      <c r="M137" s="236">
        <v>5434429</v>
      </c>
      <c r="N137" s="47">
        <f t="shared" si="67"/>
        <v>66.064346410634869</v>
      </c>
      <c r="O137" s="236">
        <v>557</v>
      </c>
      <c r="P137" s="62">
        <v>150</v>
      </c>
      <c r="Q137" s="236">
        <v>561</v>
      </c>
      <c r="R137" s="45">
        <f t="shared" si="64"/>
        <v>83550</v>
      </c>
    </row>
    <row r="138" spans="1:18" x14ac:dyDescent="0.25">
      <c r="A138" s="96">
        <v>5</v>
      </c>
      <c r="B138" s="78" t="s">
        <v>203</v>
      </c>
      <c r="C138" s="236">
        <v>3874711</v>
      </c>
      <c r="D138" s="236">
        <v>0</v>
      </c>
      <c r="E138" s="43">
        <v>0</v>
      </c>
      <c r="F138" s="236">
        <v>504977</v>
      </c>
      <c r="G138" s="236">
        <v>0</v>
      </c>
      <c r="H138" s="43">
        <v>0</v>
      </c>
      <c r="I138" s="236">
        <v>2996072</v>
      </c>
      <c r="J138" s="236">
        <v>0</v>
      </c>
      <c r="K138" s="43">
        <v>0</v>
      </c>
      <c r="L138" s="243">
        <v>2996072</v>
      </c>
      <c r="M138" s="236">
        <v>0</v>
      </c>
      <c r="N138" s="47">
        <v>0</v>
      </c>
      <c r="O138" s="236">
        <v>386</v>
      </c>
      <c r="P138" s="44"/>
      <c r="Q138" s="236">
        <v>0</v>
      </c>
      <c r="R138" s="45">
        <f t="shared" si="64"/>
        <v>0</v>
      </c>
    </row>
    <row r="139" spans="1:18" s="60" customFormat="1" x14ac:dyDescent="0.25">
      <c r="A139" s="315" t="s">
        <v>207</v>
      </c>
      <c r="B139" s="315" t="s">
        <v>133</v>
      </c>
      <c r="C139" s="58">
        <f>SUM(C134:C138)</f>
        <v>133106000</v>
      </c>
      <c r="D139" s="58">
        <f>SUM(D134:D138)</f>
        <v>120527633</v>
      </c>
      <c r="E139" s="57">
        <f>C139/D139*100</f>
        <v>110.43608564021166</v>
      </c>
      <c r="F139" s="58">
        <f t="shared" ref="F139:G139" si="68">SUM(F134:F138)</f>
        <v>14421257</v>
      </c>
      <c r="G139" s="58">
        <f t="shared" si="68"/>
        <v>12763876</v>
      </c>
      <c r="H139" s="57">
        <f>F139/G139*100</f>
        <v>112.9849349836993</v>
      </c>
      <c r="I139" s="58">
        <f t="shared" ref="I139" si="69">SUM(I134:I138)</f>
        <v>123844141</v>
      </c>
      <c r="J139" s="58">
        <f t="shared" ref="J139" si="70">SUM(J134:J138)</f>
        <v>118502189</v>
      </c>
      <c r="K139" s="57">
        <f>I139/J139*100</f>
        <v>104.50789309891988</v>
      </c>
      <c r="L139" s="58">
        <f t="shared" ref="L139:M139" si="71">SUM(L134:L138)</f>
        <v>78606208</v>
      </c>
      <c r="M139" s="58">
        <f t="shared" si="71"/>
        <v>78784080</v>
      </c>
      <c r="N139" s="57">
        <f>L139/M139*100</f>
        <v>99.774228498955637</v>
      </c>
      <c r="O139" s="58">
        <f t="shared" ref="O139" si="72">SUM(O134:O138)</f>
        <v>6033</v>
      </c>
      <c r="P139" s="58">
        <f>R139/O139</f>
        <v>164.44637825294214</v>
      </c>
      <c r="Q139" s="58">
        <f t="shared" ref="Q139:R139" si="73">SUM(Q134:Q138)</f>
        <v>5631</v>
      </c>
      <c r="R139" s="58">
        <f t="shared" si="73"/>
        <v>992105</v>
      </c>
    </row>
    <row r="140" spans="1:18" s="208" customFormat="1" x14ac:dyDescent="0.25">
      <c r="A140" s="203"/>
      <c r="B140" s="203"/>
      <c r="C140" s="204"/>
      <c r="D140" s="204"/>
      <c r="E140" s="205"/>
      <c r="F140" s="206"/>
      <c r="G140" s="206"/>
      <c r="H140" s="205"/>
      <c r="I140" s="206"/>
      <c r="J140" s="206"/>
      <c r="K140" s="205"/>
      <c r="L140" s="206"/>
      <c r="M140" s="206"/>
      <c r="N140" s="205"/>
      <c r="O140" s="206"/>
      <c r="P140" s="204"/>
      <c r="Q140" s="206"/>
      <c r="R140" s="207"/>
    </row>
    <row r="141" spans="1:18" s="208" customFormat="1" x14ac:dyDescent="0.25">
      <c r="A141" s="203"/>
      <c r="B141" s="203" t="s">
        <v>204</v>
      </c>
      <c r="C141" s="37">
        <v>3</v>
      </c>
      <c r="D141" s="37">
        <v>4</v>
      </c>
      <c r="E141" s="239">
        <v>5</v>
      </c>
      <c r="F141" s="37">
        <v>6</v>
      </c>
      <c r="G141" s="37">
        <v>7</v>
      </c>
      <c r="H141" s="37">
        <v>8</v>
      </c>
      <c r="I141" s="37">
        <v>9</v>
      </c>
      <c r="J141" s="37">
        <v>10</v>
      </c>
      <c r="K141" s="37">
        <v>11</v>
      </c>
      <c r="L141" s="37">
        <v>12</v>
      </c>
      <c r="M141" s="37">
        <v>13</v>
      </c>
      <c r="N141" s="37">
        <v>14</v>
      </c>
      <c r="O141" s="37">
        <v>15</v>
      </c>
      <c r="P141" s="239">
        <v>16</v>
      </c>
      <c r="Q141" s="37">
        <v>15</v>
      </c>
      <c r="R141" s="207"/>
    </row>
    <row r="142" spans="1:18" x14ac:dyDescent="0.25">
      <c r="A142" s="96">
        <v>6</v>
      </c>
      <c r="B142" s="78" t="s">
        <v>122</v>
      </c>
      <c r="C142" s="62">
        <v>15547025</v>
      </c>
      <c r="D142" s="62">
        <v>15617934</v>
      </c>
      <c r="E142" s="47">
        <f t="shared" ref="E142:E147" si="74">C142/D142*100</f>
        <v>99.545977079938993</v>
      </c>
      <c r="F142" s="62">
        <v>1887121</v>
      </c>
      <c r="G142" s="62">
        <v>1514483</v>
      </c>
      <c r="H142" s="47">
        <f t="shared" ref="H142:H147" si="75">F142/G142*100</f>
        <v>124.60496420230534</v>
      </c>
      <c r="I142" s="96">
        <v>15152467</v>
      </c>
      <c r="J142" s="96">
        <v>15302518</v>
      </c>
      <c r="K142" s="47">
        <f t="shared" ref="K142:K147" si="76">I142/J142*100</f>
        <v>99.019435886303157</v>
      </c>
      <c r="L142" s="96">
        <v>15152467</v>
      </c>
      <c r="M142" s="96">
        <v>15302518</v>
      </c>
      <c r="N142" s="47">
        <f>L142/M142*100</f>
        <v>99.019435886303157</v>
      </c>
      <c r="O142" s="236">
        <v>472</v>
      </c>
      <c r="P142" s="76">
        <v>150</v>
      </c>
      <c r="Q142" s="252">
        <v>469</v>
      </c>
      <c r="R142" s="45">
        <f t="shared" ref="R142:R148" si="77">O142*P142</f>
        <v>70800</v>
      </c>
    </row>
    <row r="143" spans="1:18" x14ac:dyDescent="0.25">
      <c r="A143" s="96">
        <v>10</v>
      </c>
      <c r="B143" s="78" t="s">
        <v>126</v>
      </c>
      <c r="C143" s="76">
        <v>31725512</v>
      </c>
      <c r="D143" s="76">
        <v>32634991</v>
      </c>
      <c r="E143" s="47">
        <f t="shared" si="74"/>
        <v>97.213178333648074</v>
      </c>
      <c r="F143" s="76">
        <v>3584525</v>
      </c>
      <c r="G143" s="76">
        <v>3752311</v>
      </c>
      <c r="H143" s="47">
        <f t="shared" si="75"/>
        <v>95.52846232628373</v>
      </c>
      <c r="I143" s="236">
        <v>30841989</v>
      </c>
      <c r="J143" s="236">
        <v>33337511</v>
      </c>
      <c r="K143" s="47">
        <f t="shared" si="76"/>
        <v>92.514372173735467</v>
      </c>
      <c r="L143" s="236">
        <v>30738250</v>
      </c>
      <c r="M143" s="236">
        <v>33288364</v>
      </c>
      <c r="N143" s="47">
        <f>L143/M143*100</f>
        <v>92.339323134053686</v>
      </c>
      <c r="O143" s="236">
        <v>669</v>
      </c>
      <c r="P143" s="62">
        <v>134</v>
      </c>
      <c r="Q143" s="252">
        <v>668</v>
      </c>
      <c r="R143" s="45">
        <f t="shared" si="77"/>
        <v>89646</v>
      </c>
    </row>
    <row r="144" spans="1:18" x14ac:dyDescent="0.25">
      <c r="A144" s="96">
        <v>11</v>
      </c>
      <c r="B144" s="78" t="s">
        <v>127</v>
      </c>
      <c r="C144" s="62">
        <v>22674718</v>
      </c>
      <c r="D144" s="62">
        <v>23093904</v>
      </c>
      <c r="E144" s="47">
        <f t="shared" si="74"/>
        <v>98.184862983755366</v>
      </c>
      <c r="F144" s="236">
        <v>2405689</v>
      </c>
      <c r="G144" s="236">
        <v>2312062</v>
      </c>
      <c r="H144" s="47">
        <f t="shared" si="75"/>
        <v>104.04950213272828</v>
      </c>
      <c r="I144" s="236">
        <v>22284430</v>
      </c>
      <c r="J144" s="236">
        <v>22228008</v>
      </c>
      <c r="K144" s="47">
        <f t="shared" si="76"/>
        <v>100.25383291206302</v>
      </c>
      <c r="L144" s="236">
        <v>22284430</v>
      </c>
      <c r="M144" s="236">
        <v>22228008</v>
      </c>
      <c r="N144" s="47">
        <f>L144/M144*100</f>
        <v>100.25383291206302</v>
      </c>
      <c r="O144" s="236">
        <v>564</v>
      </c>
      <c r="P144" s="62">
        <v>180</v>
      </c>
      <c r="Q144" s="252">
        <v>169</v>
      </c>
      <c r="R144" s="45">
        <f t="shared" si="77"/>
        <v>101520</v>
      </c>
    </row>
    <row r="145" spans="1:18" x14ac:dyDescent="0.25">
      <c r="A145" s="96">
        <v>14</v>
      </c>
      <c r="B145" s="78" t="s">
        <v>130</v>
      </c>
      <c r="C145" s="76">
        <v>3025298</v>
      </c>
      <c r="D145" s="76">
        <v>2030520</v>
      </c>
      <c r="E145" s="47">
        <f t="shared" si="74"/>
        <v>148.99129287079171</v>
      </c>
      <c r="F145" s="96">
        <v>316588</v>
      </c>
      <c r="G145" s="96">
        <v>192155</v>
      </c>
      <c r="H145" s="47">
        <f t="shared" si="75"/>
        <v>164.75657672191718</v>
      </c>
      <c r="I145" s="96">
        <v>3021409</v>
      </c>
      <c r="J145" s="96">
        <v>2093132</v>
      </c>
      <c r="K145" s="47">
        <f t="shared" si="76"/>
        <v>144.34870806045677</v>
      </c>
      <c r="L145" s="96">
        <v>0</v>
      </c>
      <c r="M145" s="96">
        <v>0</v>
      </c>
      <c r="N145" s="47">
        <v>0</v>
      </c>
      <c r="O145" s="236">
        <v>311</v>
      </c>
      <c r="P145" s="76">
        <v>58</v>
      </c>
      <c r="Q145" s="252">
        <v>313</v>
      </c>
      <c r="R145" s="45">
        <f t="shared" si="77"/>
        <v>18038</v>
      </c>
    </row>
    <row r="146" spans="1:18" s="66" customFormat="1" x14ac:dyDescent="0.25">
      <c r="A146" s="96">
        <v>9</v>
      </c>
      <c r="B146" s="78" t="s">
        <v>125</v>
      </c>
      <c r="C146" s="76">
        <v>22650104</v>
      </c>
      <c r="D146" s="76">
        <v>16461910</v>
      </c>
      <c r="E146" s="47">
        <f t="shared" si="74"/>
        <v>137.59098427825202</v>
      </c>
      <c r="F146" s="236">
        <v>2047925</v>
      </c>
      <c r="G146" s="236">
        <v>3392450</v>
      </c>
      <c r="H146" s="47">
        <f t="shared" si="75"/>
        <v>60.367138793497318</v>
      </c>
      <c r="I146" s="236">
        <v>22768902</v>
      </c>
      <c r="J146" s="236">
        <v>15666133</v>
      </c>
      <c r="K146" s="47">
        <f t="shared" si="76"/>
        <v>145.33836780269897</v>
      </c>
      <c r="L146" s="236">
        <v>22768902</v>
      </c>
      <c r="M146" s="236">
        <v>15666133</v>
      </c>
      <c r="N146" s="47">
        <f>L146/M146*100</f>
        <v>145.33836780269897</v>
      </c>
      <c r="O146" s="236">
        <v>912</v>
      </c>
      <c r="P146" s="62">
        <v>100</v>
      </c>
      <c r="Q146" s="252">
        <v>905</v>
      </c>
      <c r="R146" s="45">
        <f>O146*P146</f>
        <v>91200</v>
      </c>
    </row>
    <row r="147" spans="1:18" x14ac:dyDescent="0.25">
      <c r="A147" s="96">
        <v>15</v>
      </c>
      <c r="B147" s="78" t="s">
        <v>131</v>
      </c>
      <c r="C147" s="62">
        <v>24214202</v>
      </c>
      <c r="D147" s="62">
        <v>24283034</v>
      </c>
      <c r="E147" s="47">
        <f t="shared" si="74"/>
        <v>99.716542833980299</v>
      </c>
      <c r="F147" s="236">
        <v>2760513</v>
      </c>
      <c r="G147" s="236">
        <v>2368578</v>
      </c>
      <c r="H147" s="47">
        <f t="shared" si="75"/>
        <v>116.54727013423243</v>
      </c>
      <c r="I147" s="236">
        <v>23785886</v>
      </c>
      <c r="J147" s="236">
        <v>23595360</v>
      </c>
      <c r="K147" s="47">
        <f t="shared" si="76"/>
        <v>100.80747231659106</v>
      </c>
      <c r="L147" s="236">
        <v>23705777</v>
      </c>
      <c r="M147" s="236">
        <v>23511448</v>
      </c>
      <c r="N147" s="47">
        <f>L147/M147*100</f>
        <v>100.82652927203803</v>
      </c>
      <c r="O147" s="236">
        <v>646</v>
      </c>
      <c r="P147" s="62">
        <v>130</v>
      </c>
      <c r="Q147" s="236">
        <v>647</v>
      </c>
      <c r="R147" s="45">
        <f t="shared" si="77"/>
        <v>83980</v>
      </c>
    </row>
    <row r="148" spans="1:18" x14ac:dyDescent="0.25">
      <c r="A148" s="96">
        <v>13</v>
      </c>
      <c r="B148" s="78" t="s">
        <v>129</v>
      </c>
      <c r="C148" s="42">
        <v>0</v>
      </c>
      <c r="D148" s="42">
        <v>0</v>
      </c>
      <c r="E148" s="43">
        <v>0</v>
      </c>
      <c r="F148" s="42">
        <v>0</v>
      </c>
      <c r="G148" s="42">
        <v>0</v>
      </c>
      <c r="H148" s="43">
        <v>0</v>
      </c>
      <c r="I148" s="42">
        <v>0</v>
      </c>
      <c r="J148" s="42">
        <v>0</v>
      </c>
      <c r="K148" s="43">
        <v>0</v>
      </c>
      <c r="L148" s="42">
        <v>0</v>
      </c>
      <c r="M148" s="42">
        <v>0</v>
      </c>
      <c r="N148" s="43">
        <v>0</v>
      </c>
      <c r="O148" s="242">
        <v>0</v>
      </c>
      <c r="P148" s="44">
        <v>0</v>
      </c>
      <c r="Q148" s="242">
        <v>0</v>
      </c>
      <c r="R148" s="45">
        <f t="shared" si="77"/>
        <v>0</v>
      </c>
    </row>
    <row r="149" spans="1:18" s="60" customFormat="1" x14ac:dyDescent="0.25">
      <c r="A149" s="315" t="s">
        <v>205</v>
      </c>
      <c r="B149" s="315" t="s">
        <v>133</v>
      </c>
      <c r="C149" s="58">
        <f>SUM(C142:C148)</f>
        <v>119836859</v>
      </c>
      <c r="D149" s="58">
        <f>SUM(D142:D148)</f>
        <v>114122293</v>
      </c>
      <c r="E149" s="57">
        <f>C149/D149*100</f>
        <v>105.00740552067246</v>
      </c>
      <c r="F149" s="58">
        <f>SUM(F142:F148)</f>
        <v>13002361</v>
      </c>
      <c r="G149" s="58">
        <f>SUM(G142:G148)</f>
        <v>13532039</v>
      </c>
      <c r="H149" s="57">
        <f>F149/G149*100</f>
        <v>96.085748792181278</v>
      </c>
      <c r="I149" s="58">
        <f>SUM(I142:I148)</f>
        <v>117855083</v>
      </c>
      <c r="J149" s="58">
        <f>SUM(J142:J148)</f>
        <v>112222662</v>
      </c>
      <c r="K149" s="57">
        <f>I149/J149*100</f>
        <v>105.0189693415043</v>
      </c>
      <c r="L149" s="58">
        <f>SUM(L142:L148)</f>
        <v>114649826</v>
      </c>
      <c r="M149" s="58">
        <f>SUM(M142:M148)</f>
        <v>109996471</v>
      </c>
      <c r="N149" s="57">
        <f>L149/M149*100</f>
        <v>104.23045844807149</v>
      </c>
      <c r="O149" s="56">
        <f>SUM(O142:O148)</f>
        <v>3574</v>
      </c>
      <c r="P149" s="58">
        <f>R149/O149</f>
        <v>127.35982092893117</v>
      </c>
      <c r="Q149" s="56">
        <f>SUM(Q142:Q148)</f>
        <v>3171</v>
      </c>
      <c r="R149" s="59">
        <f>SUM(R142:R148)</f>
        <v>455184</v>
      </c>
    </row>
    <row r="150" spans="1:18" s="211" customFormat="1" x14ac:dyDescent="0.25">
      <c r="A150" s="353" t="s">
        <v>206</v>
      </c>
      <c r="B150" s="353" t="s">
        <v>70</v>
      </c>
      <c r="C150" s="209">
        <f>C139+C149</f>
        <v>252942859</v>
      </c>
      <c r="D150" s="209">
        <f>D139+D149</f>
        <v>234649926</v>
      </c>
      <c r="E150" s="210">
        <f>C150/D150*100</f>
        <v>107.79584008903544</v>
      </c>
      <c r="F150" s="209">
        <f>F139+F149</f>
        <v>27423618</v>
      </c>
      <c r="G150" s="209">
        <f>G139+G149</f>
        <v>26295915</v>
      </c>
      <c r="H150" s="210">
        <f>F150/G150*100</f>
        <v>104.28851021156709</v>
      </c>
      <c r="I150" s="209">
        <f>I139+I149</f>
        <v>241699224</v>
      </c>
      <c r="J150" s="209">
        <f>J139+J149</f>
        <v>230724851</v>
      </c>
      <c r="K150" s="210">
        <f>I150/J150*100</f>
        <v>104.75647636240105</v>
      </c>
      <c r="L150" s="209">
        <f>L139+L149</f>
        <v>193256034</v>
      </c>
      <c r="M150" s="209">
        <f>M139+M149</f>
        <v>188780551</v>
      </c>
      <c r="N150" s="210">
        <f>L150/M150*100</f>
        <v>102.37073309527527</v>
      </c>
      <c r="O150" s="209">
        <f>O139+O149</f>
        <v>9607</v>
      </c>
      <c r="P150" s="210">
        <f>R150/O150</f>
        <v>150.64942229624234</v>
      </c>
      <c r="Q150" s="209">
        <f>Q139+Q149</f>
        <v>8802</v>
      </c>
      <c r="R150" s="209">
        <f>R139+R149</f>
        <v>1447289</v>
      </c>
    </row>
    <row r="151" spans="1:18" s="208" customFormat="1" x14ac:dyDescent="0.25">
      <c r="A151" s="203"/>
      <c r="B151" s="203"/>
      <c r="C151" s="204"/>
      <c r="D151" s="204"/>
      <c r="E151" s="205"/>
      <c r="F151" s="206"/>
      <c r="G151" s="206"/>
      <c r="H151" s="205"/>
      <c r="I151" s="206"/>
      <c r="J151" s="206"/>
      <c r="K151" s="205"/>
      <c r="L151" s="206"/>
      <c r="M151" s="206"/>
      <c r="N151" s="205"/>
      <c r="O151" s="206"/>
      <c r="P151" s="204"/>
      <c r="Q151" s="206"/>
      <c r="R151" s="207"/>
    </row>
    <row r="152" spans="1:18" x14ac:dyDescent="0.25">
      <c r="A152" s="23"/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31"/>
    </row>
    <row r="153" spans="1:18" x14ac:dyDescent="0.25">
      <c r="A153" s="99"/>
      <c r="B153" s="99" t="s">
        <v>13</v>
      </c>
      <c r="C153" s="37">
        <v>3</v>
      </c>
      <c r="D153" s="37">
        <v>4</v>
      </c>
      <c r="E153" s="239">
        <v>5</v>
      </c>
      <c r="F153" s="37">
        <v>6</v>
      </c>
      <c r="G153" s="37">
        <v>7</v>
      </c>
      <c r="H153" s="37">
        <v>8</v>
      </c>
      <c r="I153" s="37">
        <v>9</v>
      </c>
      <c r="J153" s="37">
        <v>10</v>
      </c>
      <c r="K153" s="37">
        <v>11</v>
      </c>
      <c r="L153" s="37">
        <v>12</v>
      </c>
      <c r="M153" s="37">
        <v>13</v>
      </c>
      <c r="N153" s="37">
        <v>14</v>
      </c>
      <c r="O153" s="37">
        <v>15</v>
      </c>
      <c r="P153" s="239">
        <v>16</v>
      </c>
      <c r="Q153" s="37">
        <v>15</v>
      </c>
      <c r="R153" s="100"/>
    </row>
    <row r="154" spans="1:18" x14ac:dyDescent="0.25">
      <c r="A154" s="96">
        <v>1</v>
      </c>
      <c r="B154" s="84" t="s">
        <v>134</v>
      </c>
      <c r="C154" s="96">
        <v>52394</v>
      </c>
      <c r="D154" s="96">
        <v>86488</v>
      </c>
      <c r="E154" s="47">
        <f>C154/D154*100</f>
        <v>60.579502358708723</v>
      </c>
      <c r="F154" s="34">
        <v>4047</v>
      </c>
      <c r="G154" s="96">
        <v>17044</v>
      </c>
      <c r="H154" s="47">
        <f>F154/G154*100</f>
        <v>23.744426191034968</v>
      </c>
      <c r="I154" s="96">
        <v>52394</v>
      </c>
      <c r="J154" s="96">
        <v>86488</v>
      </c>
      <c r="K154" s="47">
        <f t="shared" ref="K154:K158" si="78">I154/J154*100</f>
        <v>60.579502358708723</v>
      </c>
      <c r="L154" s="96">
        <v>0</v>
      </c>
      <c r="M154" s="96">
        <v>0</v>
      </c>
      <c r="N154" s="47">
        <v>0</v>
      </c>
      <c r="O154" s="96">
        <v>60</v>
      </c>
      <c r="P154" s="76">
        <v>72</v>
      </c>
      <c r="Q154" s="96">
        <v>54</v>
      </c>
      <c r="R154" s="45">
        <f t="shared" ref="R154:R158" si="79">O154*P154</f>
        <v>4320</v>
      </c>
    </row>
    <row r="155" spans="1:18" s="66" customFormat="1" x14ac:dyDescent="0.25">
      <c r="A155" s="96">
        <v>2</v>
      </c>
      <c r="B155" s="84" t="s">
        <v>135</v>
      </c>
      <c r="C155" s="51">
        <v>4018244</v>
      </c>
      <c r="D155" s="51">
        <v>4624839</v>
      </c>
      <c r="E155" s="47">
        <f t="shared" ref="E155:E158" si="80">C155/D155*100</f>
        <v>86.883975852997267</v>
      </c>
      <c r="F155" s="51">
        <v>671753</v>
      </c>
      <c r="G155" s="51">
        <v>577543</v>
      </c>
      <c r="H155" s="47">
        <f t="shared" ref="H155:H158" si="81">F155/G155*100</f>
        <v>116.31220532497149</v>
      </c>
      <c r="I155" s="51">
        <v>4106310</v>
      </c>
      <c r="J155" s="51">
        <v>4621661</v>
      </c>
      <c r="K155" s="47">
        <f t="shared" si="78"/>
        <v>88.849225419172896</v>
      </c>
      <c r="L155" s="51">
        <v>1216419</v>
      </c>
      <c r="M155" s="51">
        <v>1880517</v>
      </c>
      <c r="N155" s="47">
        <f t="shared" ref="N155:N157" si="82">L155/M155*100</f>
        <v>64.685349826670006</v>
      </c>
      <c r="O155" s="96">
        <v>518</v>
      </c>
      <c r="P155" s="76">
        <v>110</v>
      </c>
      <c r="Q155" s="96">
        <v>512</v>
      </c>
      <c r="R155" s="45">
        <f t="shared" si="79"/>
        <v>56980</v>
      </c>
    </row>
    <row r="156" spans="1:18" x14ac:dyDescent="0.25">
      <c r="A156" s="96">
        <v>3</v>
      </c>
      <c r="B156" s="84" t="s">
        <v>136</v>
      </c>
      <c r="C156" s="42">
        <v>0</v>
      </c>
      <c r="D156" s="42">
        <v>0</v>
      </c>
      <c r="E156" s="43">
        <v>0</v>
      </c>
      <c r="F156" s="42">
        <v>0</v>
      </c>
      <c r="G156" s="42">
        <v>0</v>
      </c>
      <c r="H156" s="43">
        <v>0</v>
      </c>
      <c r="I156" s="42">
        <v>0</v>
      </c>
      <c r="J156" s="42">
        <v>0</v>
      </c>
      <c r="K156" s="43">
        <v>0</v>
      </c>
      <c r="L156" s="42">
        <v>0</v>
      </c>
      <c r="M156" s="42">
        <v>0</v>
      </c>
      <c r="N156" s="43">
        <v>0</v>
      </c>
      <c r="O156" s="242">
        <v>0</v>
      </c>
      <c r="P156" s="44">
        <v>0</v>
      </c>
      <c r="Q156" s="242">
        <v>0</v>
      </c>
      <c r="R156" s="45">
        <f t="shared" si="79"/>
        <v>0</v>
      </c>
    </row>
    <row r="157" spans="1:18" x14ac:dyDescent="0.25">
      <c r="A157" s="96">
        <v>4</v>
      </c>
      <c r="B157" s="84" t="s">
        <v>137</v>
      </c>
      <c r="C157" s="96">
        <v>2379063</v>
      </c>
      <c r="D157" s="96">
        <v>1604146</v>
      </c>
      <c r="E157" s="47">
        <f t="shared" si="80"/>
        <v>148.3071366322018</v>
      </c>
      <c r="F157" s="96">
        <v>165902</v>
      </c>
      <c r="G157" s="101">
        <v>339778</v>
      </c>
      <c r="H157" s="47">
        <f t="shared" si="81"/>
        <v>48.826586771362479</v>
      </c>
      <c r="I157" s="101">
        <v>2720407</v>
      </c>
      <c r="J157" s="101">
        <v>2151255</v>
      </c>
      <c r="K157" s="47">
        <f t="shared" ref="K157" si="83">I157/J157*100</f>
        <v>126.45674269205649</v>
      </c>
      <c r="L157" s="101">
        <v>1622987</v>
      </c>
      <c r="M157" s="101">
        <v>450359</v>
      </c>
      <c r="N157" s="47">
        <f t="shared" si="82"/>
        <v>360.37627759187671</v>
      </c>
      <c r="O157" s="96">
        <v>295</v>
      </c>
      <c r="P157" s="76">
        <v>80</v>
      </c>
      <c r="Q157" s="96">
        <v>310</v>
      </c>
      <c r="R157" s="45">
        <f t="shared" si="79"/>
        <v>23600</v>
      </c>
    </row>
    <row r="158" spans="1:18" x14ac:dyDescent="0.25">
      <c r="A158" s="96">
        <v>5</v>
      </c>
      <c r="B158" s="84" t="s">
        <v>138</v>
      </c>
      <c r="C158" s="96">
        <v>2308944</v>
      </c>
      <c r="D158" s="96">
        <v>2068998</v>
      </c>
      <c r="E158" s="47">
        <f t="shared" si="80"/>
        <v>111.59720792383561</v>
      </c>
      <c r="F158" s="96">
        <v>397220</v>
      </c>
      <c r="G158" s="96">
        <v>500657</v>
      </c>
      <c r="H158" s="47">
        <f t="shared" si="81"/>
        <v>79.339747571690793</v>
      </c>
      <c r="I158" s="96">
        <v>2185808</v>
      </c>
      <c r="J158" s="96">
        <v>3366644</v>
      </c>
      <c r="K158" s="47">
        <f t="shared" si="78"/>
        <v>64.925427220698111</v>
      </c>
      <c r="L158" s="96">
        <v>0</v>
      </c>
      <c r="M158" s="96">
        <v>0</v>
      </c>
      <c r="N158" s="47">
        <v>0</v>
      </c>
      <c r="O158" s="96">
        <v>424</v>
      </c>
      <c r="P158" s="76">
        <v>51</v>
      </c>
      <c r="Q158" s="96">
        <v>419</v>
      </c>
      <c r="R158" s="45">
        <f t="shared" si="79"/>
        <v>21624</v>
      </c>
    </row>
    <row r="159" spans="1:18" s="60" customFormat="1" x14ac:dyDescent="0.25">
      <c r="A159" s="315" t="s">
        <v>174</v>
      </c>
      <c r="B159" s="315" t="s">
        <v>139</v>
      </c>
      <c r="C159" s="56">
        <f>SUM(C154:C158)</f>
        <v>8758645</v>
      </c>
      <c r="D159" s="56">
        <f>SUM(D154:D158)</f>
        <v>8384471</v>
      </c>
      <c r="E159" s="57">
        <f>C159/D159*100</f>
        <v>104.46270253662992</v>
      </c>
      <c r="F159" s="56">
        <f>SUM(F154:F158)</f>
        <v>1238922</v>
      </c>
      <c r="G159" s="56">
        <f>SUM(G154:G158)</f>
        <v>1435022</v>
      </c>
      <c r="H159" s="57">
        <f>F159/G159*100</f>
        <v>86.334704276310745</v>
      </c>
      <c r="I159" s="56">
        <f>SUM(I154:I158)</f>
        <v>9064919</v>
      </c>
      <c r="J159" s="56">
        <f>SUM(J154:J158)</f>
        <v>10226048</v>
      </c>
      <c r="K159" s="57">
        <f>I159/J159*100</f>
        <v>88.645378938178268</v>
      </c>
      <c r="L159" s="56">
        <f>SUM(L154:L158)</f>
        <v>2839406</v>
      </c>
      <c r="M159" s="56">
        <f>SUM(M154:M158)</f>
        <v>2330876</v>
      </c>
      <c r="N159" s="57">
        <f>L159/M159*100</f>
        <v>121.81711940060302</v>
      </c>
      <c r="O159" s="56">
        <f>SUM(O154:O158)</f>
        <v>1297</v>
      </c>
      <c r="P159" s="57">
        <f>R159/O159</f>
        <v>82.13107170393215</v>
      </c>
      <c r="Q159" s="56">
        <f>SUM(Q154:Q158)</f>
        <v>1295</v>
      </c>
      <c r="R159" s="59">
        <f>SUM(R154:R158)</f>
        <v>106524</v>
      </c>
    </row>
    <row r="160" spans="1:18" x14ac:dyDescent="0.25">
      <c r="A160" s="102"/>
      <c r="B160" s="103"/>
      <c r="C160" s="104"/>
      <c r="D160" s="104"/>
      <c r="E160" s="105"/>
      <c r="F160" s="104"/>
      <c r="G160" s="104"/>
      <c r="H160" s="105"/>
      <c r="I160" s="104"/>
      <c r="J160" s="104"/>
      <c r="K160" s="105"/>
      <c r="L160" s="104"/>
      <c r="M160" s="176"/>
      <c r="N160" s="177"/>
      <c r="O160" s="176"/>
      <c r="P160" s="104"/>
      <c r="Q160" s="176"/>
      <c r="R160" s="106"/>
    </row>
    <row r="161" spans="1:18" x14ac:dyDescent="0.25">
      <c r="A161" s="350" t="s">
        <v>177</v>
      </c>
      <c r="B161" s="350"/>
      <c r="C161" s="37">
        <v>3</v>
      </c>
      <c r="D161" s="37">
        <v>4</v>
      </c>
      <c r="E161" s="239">
        <v>5</v>
      </c>
      <c r="F161" s="37">
        <v>6</v>
      </c>
      <c r="G161" s="37">
        <v>7</v>
      </c>
      <c r="H161" s="37">
        <v>8</v>
      </c>
      <c r="I161" s="37">
        <v>9</v>
      </c>
      <c r="J161" s="37">
        <v>10</v>
      </c>
      <c r="K161" s="37">
        <v>11</v>
      </c>
      <c r="L161" s="37">
        <v>12</v>
      </c>
      <c r="M161" s="37">
        <v>13</v>
      </c>
      <c r="N161" s="37">
        <v>14</v>
      </c>
      <c r="O161" s="37">
        <v>15</v>
      </c>
      <c r="P161" s="239">
        <v>16</v>
      </c>
      <c r="Q161" s="37">
        <v>15</v>
      </c>
      <c r="R161" s="45"/>
    </row>
    <row r="162" spans="1:18" x14ac:dyDescent="0.25">
      <c r="A162" s="236">
        <v>1</v>
      </c>
      <c r="B162" s="78" t="s">
        <v>191</v>
      </c>
      <c r="C162" s="244">
        <v>899766</v>
      </c>
      <c r="D162" s="244">
        <v>522575</v>
      </c>
      <c r="E162" s="47">
        <f>C162/D162*100</f>
        <v>172.17930440606614</v>
      </c>
      <c r="F162" s="244">
        <v>156622</v>
      </c>
      <c r="G162" s="244">
        <v>48477</v>
      </c>
      <c r="H162" s="47">
        <f>F162/G162*100</f>
        <v>323.08517441260801</v>
      </c>
      <c r="I162" s="244">
        <v>829434</v>
      </c>
      <c r="J162" s="244">
        <v>438122</v>
      </c>
      <c r="K162" s="47">
        <f>I162/J162*100</f>
        <v>189.31576136327323</v>
      </c>
      <c r="L162" s="244">
        <f>142746+104139</f>
        <v>246885</v>
      </c>
      <c r="M162" s="244">
        <f>81383+9209</f>
        <v>90592</v>
      </c>
      <c r="N162" s="34">
        <v>0</v>
      </c>
      <c r="O162" s="244">
        <v>60</v>
      </c>
      <c r="P162" s="236">
        <v>71</v>
      </c>
      <c r="Q162" s="236">
        <v>75</v>
      </c>
      <c r="R162" s="45">
        <f>O162*P162</f>
        <v>4260</v>
      </c>
    </row>
    <row r="163" spans="1:18" x14ac:dyDescent="0.25">
      <c r="A163" s="236">
        <v>2</v>
      </c>
      <c r="B163" s="146" t="s">
        <v>192</v>
      </c>
      <c r="C163" s="236">
        <v>986544</v>
      </c>
      <c r="D163" s="236">
        <v>0</v>
      </c>
      <c r="E163" s="47">
        <v>0</v>
      </c>
      <c r="F163" s="236">
        <v>129071</v>
      </c>
      <c r="G163" s="236">
        <v>0</v>
      </c>
      <c r="H163" s="47">
        <v>0</v>
      </c>
      <c r="I163" s="236">
        <v>1039675</v>
      </c>
      <c r="J163" s="236">
        <v>0</v>
      </c>
      <c r="K163" s="47">
        <v>0</v>
      </c>
      <c r="L163" s="236">
        <v>17776</v>
      </c>
      <c r="M163" s="236">
        <v>0</v>
      </c>
      <c r="N163" s="34">
        <v>0</v>
      </c>
      <c r="O163" s="236">
        <v>30</v>
      </c>
      <c r="P163" s="236">
        <v>85</v>
      </c>
      <c r="Q163" s="236">
        <v>31</v>
      </c>
      <c r="R163" s="45">
        <f>O163*P163</f>
        <v>2550</v>
      </c>
    </row>
    <row r="164" spans="1:18" x14ac:dyDescent="0.25">
      <c r="A164" s="236">
        <v>3</v>
      </c>
      <c r="B164" s="146" t="s">
        <v>193</v>
      </c>
      <c r="C164" s="236">
        <v>1675529</v>
      </c>
      <c r="D164" s="236">
        <v>1572112</v>
      </c>
      <c r="E164" s="47">
        <f>C164/D164*100</f>
        <v>106.57822089011471</v>
      </c>
      <c r="F164" s="236">
        <v>295528</v>
      </c>
      <c r="G164" s="236">
        <v>97623</v>
      </c>
      <c r="H164" s="47">
        <f>F164/G164*100</f>
        <v>302.72374338014612</v>
      </c>
      <c r="I164" s="236">
        <v>1382200</v>
      </c>
      <c r="J164" s="236">
        <v>1319800</v>
      </c>
      <c r="K164" s="47">
        <f>I164/J164*100</f>
        <v>104.72798908925596</v>
      </c>
      <c r="L164" s="236">
        <v>0</v>
      </c>
      <c r="M164" s="244">
        <v>0</v>
      </c>
      <c r="N164" s="34">
        <v>0</v>
      </c>
      <c r="O164" s="236">
        <v>481</v>
      </c>
      <c r="P164" s="236">
        <v>100</v>
      </c>
      <c r="Q164" s="236">
        <v>475</v>
      </c>
      <c r="R164" s="45">
        <f>O164*P164</f>
        <v>48100</v>
      </c>
    </row>
    <row r="165" spans="1:18" x14ac:dyDescent="0.25">
      <c r="A165" s="315" t="s">
        <v>190</v>
      </c>
      <c r="B165" s="315" t="s">
        <v>109</v>
      </c>
      <c r="C165" s="56">
        <f>SUM(C162:C164)</f>
        <v>3561839</v>
      </c>
      <c r="D165" s="56">
        <f>SUM(D162:D164)</f>
        <v>2094687</v>
      </c>
      <c r="E165" s="57">
        <f>C165/D165*100</f>
        <v>170.04158616537936</v>
      </c>
      <c r="F165" s="56">
        <f>SUM(F162:F164)</f>
        <v>581221</v>
      </c>
      <c r="G165" s="56">
        <f>SUM(G162:G164)</f>
        <v>146100</v>
      </c>
      <c r="H165" s="57">
        <f>F165/G165*100</f>
        <v>397.82409308692672</v>
      </c>
      <c r="I165" s="56">
        <f>SUM(I162:I164)</f>
        <v>3251309</v>
      </c>
      <c r="J165" s="56">
        <f>SUM(J162:J164)</f>
        <v>1757922</v>
      </c>
      <c r="K165" s="57">
        <f>I165/J165*100</f>
        <v>184.95183517812507</v>
      </c>
      <c r="L165" s="56">
        <f>SUM(L162:L164)</f>
        <v>264661</v>
      </c>
      <c r="M165" s="56">
        <f>SUM(M162:M164)</f>
        <v>90592</v>
      </c>
      <c r="N165" s="57">
        <v>0</v>
      </c>
      <c r="O165" s="56">
        <f>SUM(O162:O164)</f>
        <v>571</v>
      </c>
      <c r="P165" s="58">
        <f>R165/O165</f>
        <v>96.164623467600705</v>
      </c>
      <c r="Q165" s="56">
        <f>SUM(Q162:Q164)</f>
        <v>581</v>
      </c>
      <c r="R165" s="59">
        <f>SUM(R162:R164)</f>
        <v>54910</v>
      </c>
    </row>
    <row r="166" spans="1:18" x14ac:dyDescent="0.25">
      <c r="A166" s="102"/>
      <c r="B166" s="103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6"/>
    </row>
    <row r="167" spans="1:18" x14ac:dyDescent="0.25">
      <c r="A167" s="319" t="s">
        <v>140</v>
      </c>
      <c r="B167" s="320"/>
      <c r="C167" s="37">
        <v>3</v>
      </c>
      <c r="D167" s="37">
        <v>4</v>
      </c>
      <c r="E167" s="239">
        <v>5</v>
      </c>
      <c r="F167" s="37">
        <v>6</v>
      </c>
      <c r="G167" s="37">
        <v>7</v>
      </c>
      <c r="H167" s="37">
        <v>8</v>
      </c>
      <c r="I167" s="37">
        <v>9</v>
      </c>
      <c r="J167" s="37">
        <v>10</v>
      </c>
      <c r="K167" s="37">
        <v>11</v>
      </c>
      <c r="L167" s="37">
        <v>12</v>
      </c>
      <c r="M167" s="27">
        <v>13</v>
      </c>
      <c r="N167" s="27">
        <v>14</v>
      </c>
      <c r="O167" s="27">
        <v>15</v>
      </c>
      <c r="P167" s="239">
        <v>16</v>
      </c>
      <c r="Q167" s="27">
        <v>15</v>
      </c>
      <c r="R167" s="23"/>
    </row>
    <row r="168" spans="1:18" x14ac:dyDescent="0.25">
      <c r="A168" s="102">
        <v>1</v>
      </c>
      <c r="B168" s="113" t="s">
        <v>141</v>
      </c>
      <c r="C168" s="96">
        <v>278</v>
      </c>
      <c r="D168" s="96">
        <v>8300</v>
      </c>
      <c r="E168" s="97">
        <f t="shared" ref="E168:E177" si="84">C168/D168*100</f>
        <v>3.3493975903614457</v>
      </c>
      <c r="F168" s="96">
        <v>0</v>
      </c>
      <c r="G168" s="96">
        <v>4109</v>
      </c>
      <c r="H168" s="96">
        <v>0</v>
      </c>
      <c r="I168" s="96">
        <v>27362</v>
      </c>
      <c r="J168" s="96">
        <v>25726</v>
      </c>
      <c r="K168" s="97">
        <f t="shared" ref="K168:K177" si="85">I168/J168*100</f>
        <v>106.35932519629947</v>
      </c>
      <c r="L168" s="96">
        <v>0</v>
      </c>
      <c r="M168" s="96">
        <v>0</v>
      </c>
      <c r="N168" s="96">
        <v>0</v>
      </c>
      <c r="O168" s="96">
        <v>75</v>
      </c>
      <c r="P168" s="96">
        <v>100</v>
      </c>
      <c r="Q168" s="96">
        <v>75</v>
      </c>
      <c r="R168" s="45">
        <f t="shared" ref="R168:R177" si="86">O168*P168</f>
        <v>7500</v>
      </c>
    </row>
    <row r="169" spans="1:18" x14ac:dyDescent="0.25">
      <c r="A169" s="112">
        <v>2</v>
      </c>
      <c r="B169" s="113" t="s">
        <v>142</v>
      </c>
      <c r="C169" s="96">
        <v>783978</v>
      </c>
      <c r="D169" s="96">
        <v>697959</v>
      </c>
      <c r="E169" s="97">
        <f t="shared" si="84"/>
        <v>112.3243628923762</v>
      </c>
      <c r="F169" s="96">
        <v>26497</v>
      </c>
      <c r="G169" s="96">
        <v>150540</v>
      </c>
      <c r="H169" s="97">
        <f t="shared" ref="H169" si="87">F169/G169*100</f>
        <v>17.60130197954032</v>
      </c>
      <c r="I169" s="96">
        <v>783978</v>
      </c>
      <c r="J169" s="96">
        <v>697959</v>
      </c>
      <c r="K169" s="96">
        <f t="shared" si="85"/>
        <v>112.3243628923762</v>
      </c>
      <c r="L169" s="96">
        <v>783978</v>
      </c>
      <c r="M169" s="96">
        <v>697959</v>
      </c>
      <c r="N169" s="96">
        <f t="shared" ref="N169:N177" si="88">L169/M169*100</f>
        <v>112.3243628923762</v>
      </c>
      <c r="O169" s="96">
        <v>130</v>
      </c>
      <c r="P169" s="96">
        <v>110</v>
      </c>
      <c r="Q169" s="96">
        <v>125</v>
      </c>
      <c r="R169" s="45">
        <f t="shared" si="86"/>
        <v>14300</v>
      </c>
    </row>
    <row r="170" spans="1:18" s="80" customFormat="1" x14ac:dyDescent="0.25">
      <c r="A170" s="102">
        <v>3</v>
      </c>
      <c r="B170" s="113" t="s">
        <v>143</v>
      </c>
      <c r="C170" s="96">
        <v>0</v>
      </c>
      <c r="D170" s="96">
        <v>97150</v>
      </c>
      <c r="E170" s="97">
        <f t="shared" si="84"/>
        <v>0</v>
      </c>
      <c r="F170" s="96">
        <v>0</v>
      </c>
      <c r="G170" s="96">
        <v>0</v>
      </c>
      <c r="H170" s="96">
        <v>0</v>
      </c>
      <c r="I170" s="96">
        <v>0</v>
      </c>
      <c r="J170" s="96">
        <v>95041</v>
      </c>
      <c r="K170" s="97">
        <f t="shared" si="85"/>
        <v>0</v>
      </c>
      <c r="L170" s="96">
        <v>0</v>
      </c>
      <c r="M170" s="96">
        <v>78033</v>
      </c>
      <c r="N170" s="97">
        <f t="shared" si="88"/>
        <v>0</v>
      </c>
      <c r="O170" s="96">
        <v>10</v>
      </c>
      <c r="P170" s="96">
        <v>46</v>
      </c>
      <c r="Q170" s="96">
        <v>10</v>
      </c>
      <c r="R170" s="45">
        <f t="shared" si="86"/>
        <v>460</v>
      </c>
    </row>
    <row r="171" spans="1:18" x14ac:dyDescent="0.25">
      <c r="A171" s="112">
        <v>4</v>
      </c>
      <c r="B171" s="113" t="s">
        <v>144</v>
      </c>
      <c r="C171" s="96">
        <v>4082491</v>
      </c>
      <c r="D171" s="96">
        <v>3663288</v>
      </c>
      <c r="E171" s="114">
        <f t="shared" si="84"/>
        <v>111.44335362111852</v>
      </c>
      <c r="F171" s="96">
        <v>519965</v>
      </c>
      <c r="G171" s="96">
        <v>683083</v>
      </c>
      <c r="H171" s="114">
        <f t="shared" ref="H171:H177" si="89">F171/G171*100</f>
        <v>76.12032505566674</v>
      </c>
      <c r="I171" s="96">
        <v>4082491</v>
      </c>
      <c r="J171" s="96">
        <v>3663288</v>
      </c>
      <c r="K171" s="114">
        <f t="shared" si="85"/>
        <v>111.44335362111852</v>
      </c>
      <c r="L171" s="96">
        <v>4082491</v>
      </c>
      <c r="M171" s="96">
        <v>3663288</v>
      </c>
      <c r="N171" s="47">
        <f t="shared" si="88"/>
        <v>111.44335362111852</v>
      </c>
      <c r="O171" s="96">
        <v>139</v>
      </c>
      <c r="P171" s="115">
        <v>126</v>
      </c>
      <c r="Q171" s="96">
        <v>139</v>
      </c>
      <c r="R171" s="45">
        <f t="shared" si="86"/>
        <v>17514</v>
      </c>
    </row>
    <row r="172" spans="1:18" x14ac:dyDescent="0.25">
      <c r="A172" s="102">
        <v>5</v>
      </c>
      <c r="B172" s="113" t="s">
        <v>145</v>
      </c>
      <c r="C172" s="96">
        <v>565773</v>
      </c>
      <c r="D172" s="96">
        <v>1711684</v>
      </c>
      <c r="E172" s="114">
        <f t="shared" si="84"/>
        <v>33.053589330740955</v>
      </c>
      <c r="F172" s="96">
        <v>34343</v>
      </c>
      <c r="G172" s="96">
        <v>151847</v>
      </c>
      <c r="H172" s="114">
        <f t="shared" si="89"/>
        <v>22.616844586985586</v>
      </c>
      <c r="I172" s="96">
        <v>804041</v>
      </c>
      <c r="J172" s="96">
        <v>1714041</v>
      </c>
      <c r="K172" s="114">
        <f t="shared" si="85"/>
        <v>46.909087938969954</v>
      </c>
      <c r="L172" s="96">
        <v>811125</v>
      </c>
      <c r="M172" s="96">
        <v>1711684</v>
      </c>
      <c r="N172" s="47">
        <f t="shared" si="88"/>
        <v>47.387543495177844</v>
      </c>
      <c r="O172" s="96">
        <v>39</v>
      </c>
      <c r="P172" s="96">
        <v>55</v>
      </c>
      <c r="Q172" s="96">
        <v>40</v>
      </c>
      <c r="R172" s="45">
        <f t="shared" si="86"/>
        <v>2145</v>
      </c>
    </row>
    <row r="173" spans="1:18" x14ac:dyDescent="0.25">
      <c r="A173" s="112">
        <v>6</v>
      </c>
      <c r="B173" s="113" t="s">
        <v>146</v>
      </c>
      <c r="C173" s="42">
        <v>0</v>
      </c>
      <c r="D173" s="42">
        <v>0</v>
      </c>
      <c r="E173" s="43">
        <v>0</v>
      </c>
      <c r="F173" s="42">
        <v>0</v>
      </c>
      <c r="G173" s="42">
        <v>0</v>
      </c>
      <c r="H173" s="43">
        <v>0</v>
      </c>
      <c r="I173" s="42">
        <v>0</v>
      </c>
      <c r="J173" s="42">
        <v>0</v>
      </c>
      <c r="K173" s="43">
        <v>0</v>
      </c>
      <c r="L173" s="42">
        <v>0</v>
      </c>
      <c r="M173" s="42">
        <v>0</v>
      </c>
      <c r="N173" s="43">
        <v>0</v>
      </c>
      <c r="O173" s="242">
        <v>0</v>
      </c>
      <c r="P173" s="44">
        <v>0</v>
      </c>
      <c r="Q173" s="242">
        <v>0</v>
      </c>
      <c r="R173" s="45">
        <f t="shared" si="86"/>
        <v>0</v>
      </c>
    </row>
    <row r="174" spans="1:18" x14ac:dyDescent="0.25">
      <c r="A174" s="102">
        <v>7</v>
      </c>
      <c r="B174" s="113" t="s">
        <v>147</v>
      </c>
      <c r="C174" s="96">
        <v>1822515</v>
      </c>
      <c r="D174" s="96">
        <v>3218329</v>
      </c>
      <c r="E174" s="114">
        <f t="shared" si="84"/>
        <v>56.629232126361231</v>
      </c>
      <c r="F174" s="96">
        <v>29334</v>
      </c>
      <c r="G174" s="96">
        <v>603404</v>
      </c>
      <c r="H174" s="47">
        <f t="shared" si="89"/>
        <v>4.8614195464398646</v>
      </c>
      <c r="I174" s="96">
        <v>1820542</v>
      </c>
      <c r="J174" s="96">
        <v>3067631</v>
      </c>
      <c r="K174" s="47">
        <f t="shared" si="85"/>
        <v>59.346837999746384</v>
      </c>
      <c r="L174" s="96">
        <v>1804370</v>
      </c>
      <c r="M174" s="96">
        <v>3067004</v>
      </c>
      <c r="N174" s="47">
        <f t="shared" si="88"/>
        <v>58.831680689037249</v>
      </c>
      <c r="O174" s="96">
        <v>53</v>
      </c>
      <c r="P174" s="96">
        <v>82</v>
      </c>
      <c r="Q174" s="96">
        <v>52</v>
      </c>
      <c r="R174" s="45">
        <f t="shared" si="86"/>
        <v>4346</v>
      </c>
    </row>
    <row r="175" spans="1:18" x14ac:dyDescent="0.25">
      <c r="A175" s="112">
        <v>8</v>
      </c>
      <c r="B175" s="113" t="s">
        <v>148</v>
      </c>
      <c r="C175" s="96">
        <v>690826</v>
      </c>
      <c r="D175" s="96">
        <v>802953</v>
      </c>
      <c r="E175" s="76">
        <f t="shared" si="84"/>
        <v>86.035670830048588</v>
      </c>
      <c r="F175" s="96">
        <v>115956</v>
      </c>
      <c r="G175" s="96">
        <v>94867</v>
      </c>
      <c r="H175" s="76">
        <f t="shared" si="89"/>
        <v>122.23006946567298</v>
      </c>
      <c r="I175" s="96">
        <v>690826</v>
      </c>
      <c r="J175" s="96">
        <v>802953</v>
      </c>
      <c r="K175" s="76">
        <f t="shared" si="85"/>
        <v>86.035670830048588</v>
      </c>
      <c r="L175" s="96">
        <v>690826</v>
      </c>
      <c r="M175" s="96">
        <v>802953</v>
      </c>
      <c r="N175" s="76">
        <f t="shared" si="88"/>
        <v>86.035670830048588</v>
      </c>
      <c r="O175" s="76">
        <v>37</v>
      </c>
      <c r="P175" s="76">
        <v>102</v>
      </c>
      <c r="Q175" s="76">
        <v>37</v>
      </c>
      <c r="R175" s="45">
        <f t="shared" si="86"/>
        <v>3774</v>
      </c>
    </row>
    <row r="176" spans="1:18" x14ac:dyDescent="0.25">
      <c r="A176" s="102">
        <v>9</v>
      </c>
      <c r="B176" s="113" t="s">
        <v>149</v>
      </c>
      <c r="C176" s="96">
        <v>223410</v>
      </c>
      <c r="D176" s="96">
        <v>118255</v>
      </c>
      <c r="E176" s="47">
        <f t="shared" si="84"/>
        <v>188.92224430256647</v>
      </c>
      <c r="F176" s="96">
        <v>0</v>
      </c>
      <c r="G176" s="96">
        <v>5086</v>
      </c>
      <c r="H176" s="47">
        <f t="shared" si="89"/>
        <v>0</v>
      </c>
      <c r="I176" s="96">
        <v>223410</v>
      </c>
      <c r="J176" s="96">
        <v>118255</v>
      </c>
      <c r="K176" s="47">
        <f t="shared" si="85"/>
        <v>188.92224430256647</v>
      </c>
      <c r="L176" s="96">
        <v>223410</v>
      </c>
      <c r="M176" s="96">
        <v>118255</v>
      </c>
      <c r="N176" s="47">
        <f t="shared" si="88"/>
        <v>188.92224430256647</v>
      </c>
      <c r="O176" s="96">
        <v>4</v>
      </c>
      <c r="P176" s="96">
        <v>50</v>
      </c>
      <c r="Q176" s="96">
        <v>8</v>
      </c>
      <c r="R176" s="45">
        <f t="shared" si="86"/>
        <v>200</v>
      </c>
    </row>
    <row r="177" spans="1:18" x14ac:dyDescent="0.25">
      <c r="A177" s="112">
        <v>10</v>
      </c>
      <c r="B177" s="113" t="s">
        <v>150</v>
      </c>
      <c r="C177" s="96">
        <v>245802</v>
      </c>
      <c r="D177" s="96">
        <v>272828</v>
      </c>
      <c r="E177" s="47">
        <f t="shared" si="84"/>
        <v>90.09412523641268</v>
      </c>
      <c r="F177" s="96">
        <v>96540</v>
      </c>
      <c r="G177" s="96">
        <v>66644</v>
      </c>
      <c r="H177" s="47">
        <f t="shared" si="89"/>
        <v>144.85925214572956</v>
      </c>
      <c r="I177" s="96">
        <v>245802</v>
      </c>
      <c r="J177" s="96">
        <v>272828</v>
      </c>
      <c r="K177" s="47">
        <f t="shared" si="85"/>
        <v>90.09412523641268</v>
      </c>
      <c r="L177" s="96">
        <f>147574+98228</f>
        <v>245802</v>
      </c>
      <c r="M177" s="96">
        <f>97302+175526</f>
        <v>272828</v>
      </c>
      <c r="N177" s="47">
        <f t="shared" si="88"/>
        <v>90.09412523641268</v>
      </c>
      <c r="O177" s="96">
        <v>24</v>
      </c>
      <c r="P177" s="96">
        <v>50</v>
      </c>
      <c r="Q177" s="96"/>
      <c r="R177" s="45">
        <f t="shared" si="86"/>
        <v>1200</v>
      </c>
    </row>
    <row r="178" spans="1:18" s="60" customFormat="1" x14ac:dyDescent="0.25">
      <c r="A178" s="315" t="s">
        <v>173</v>
      </c>
      <c r="B178" s="315" t="s">
        <v>139</v>
      </c>
      <c r="C178" s="58">
        <f>SUM(C168:C177)</f>
        <v>8415073</v>
      </c>
      <c r="D178" s="58">
        <f>SUM(D168:D177)</f>
        <v>10590746</v>
      </c>
      <c r="E178" s="57">
        <f>C178/D178*100</f>
        <v>79.456848459966849</v>
      </c>
      <c r="F178" s="58">
        <f>SUM(F168:F177)</f>
        <v>822635</v>
      </c>
      <c r="G178" s="58">
        <f>SUM(G168:G177)</f>
        <v>1759580</v>
      </c>
      <c r="H178" s="57">
        <f>F178/G178*100</f>
        <v>46.751781675172481</v>
      </c>
      <c r="I178" s="58">
        <f>SUM(I168:I177)</f>
        <v>8678452</v>
      </c>
      <c r="J178" s="58">
        <f>SUM(J168:J177)</f>
        <v>10457722</v>
      </c>
      <c r="K178" s="57">
        <f>I178/J178*100</f>
        <v>82.986065225294752</v>
      </c>
      <c r="L178" s="58">
        <f>SUM(L168:L177)</f>
        <v>8642002</v>
      </c>
      <c r="M178" s="56">
        <f>SUM(M168:M177)</f>
        <v>10412004</v>
      </c>
      <c r="N178" s="57">
        <f>L178/M178*100</f>
        <v>83.000371494286782</v>
      </c>
      <c r="O178" s="58">
        <f>SUM(O168:O177)</f>
        <v>511</v>
      </c>
      <c r="P178" s="57">
        <f>R178/O178</f>
        <v>100.66340508806262</v>
      </c>
      <c r="Q178" s="58">
        <f>SUM(Q168:Q177)</f>
        <v>486</v>
      </c>
      <c r="R178" s="59">
        <f>SUM(R168:R177)</f>
        <v>51439</v>
      </c>
    </row>
    <row r="179" spans="1:18" x14ac:dyDescent="0.25">
      <c r="A179" s="117"/>
      <c r="B179" s="117"/>
      <c r="C179" s="98"/>
      <c r="D179" s="98"/>
      <c r="E179" s="97"/>
      <c r="F179" s="118"/>
      <c r="G179" s="118"/>
      <c r="H179" s="97"/>
      <c r="I179" s="236"/>
      <c r="J179" s="236"/>
      <c r="K179" s="119"/>
      <c r="L179" s="236"/>
      <c r="M179" s="236"/>
      <c r="N179" s="236"/>
      <c r="O179" s="236"/>
      <c r="P179" s="62"/>
      <c r="Q179" s="236"/>
      <c r="R179" s="31"/>
    </row>
    <row r="180" spans="1:18" x14ac:dyDescent="0.25">
      <c r="A180" s="321" t="s">
        <v>151</v>
      </c>
      <c r="B180" s="322"/>
      <c r="C180" s="37">
        <v>3</v>
      </c>
      <c r="D180" s="37">
        <v>4</v>
      </c>
      <c r="E180" s="239">
        <v>5</v>
      </c>
      <c r="F180" s="37">
        <v>6</v>
      </c>
      <c r="G180" s="37">
        <v>7</v>
      </c>
      <c r="H180" s="37">
        <v>8</v>
      </c>
      <c r="I180" s="37">
        <v>9</v>
      </c>
      <c r="J180" s="37">
        <v>10</v>
      </c>
      <c r="K180" s="37">
        <v>11</v>
      </c>
      <c r="L180" s="37">
        <v>12</v>
      </c>
      <c r="M180" s="37">
        <v>13</v>
      </c>
      <c r="N180" s="37">
        <v>14</v>
      </c>
      <c r="O180" s="37">
        <v>15</v>
      </c>
      <c r="P180" s="239">
        <v>16</v>
      </c>
      <c r="Q180" s="37">
        <v>15</v>
      </c>
      <c r="R180" s="31"/>
    </row>
    <row r="181" spans="1:18" x14ac:dyDescent="0.25">
      <c r="A181" s="118">
        <v>1</v>
      </c>
      <c r="B181" s="120" t="s">
        <v>152</v>
      </c>
      <c r="C181" s="96">
        <v>630771.69999999995</v>
      </c>
      <c r="D181" s="96">
        <v>575411.69999999995</v>
      </c>
      <c r="E181" s="156">
        <f t="shared" ref="E181:E191" si="90">IF(OR(C181=0,D181=0),0,C181/D181*100)</f>
        <v>109.6209374957096</v>
      </c>
      <c r="F181" s="96">
        <v>60677</v>
      </c>
      <c r="G181" s="96">
        <v>49904.4</v>
      </c>
      <c r="H181" s="156">
        <f t="shared" ref="H181:H191" si="91">IF(OR(F181=0,G181=0),0,F181/G181*100)</f>
        <v>121.58647333702038</v>
      </c>
      <c r="I181" s="96">
        <v>459415.1</v>
      </c>
      <c r="J181" s="96">
        <v>562729.69999999995</v>
      </c>
      <c r="K181" s="156">
        <f t="shared" ref="K181:K191" si="92">IF(OR(I181=0,J181=0),0,I181/J181*100)</f>
        <v>81.640457221291157</v>
      </c>
      <c r="L181" s="96">
        <v>0</v>
      </c>
      <c r="M181" s="96">
        <v>0</v>
      </c>
      <c r="N181" s="49">
        <f t="shared" ref="N181:N191" si="93">IF(OR(L181=0,M181=0),0,L181/M181*100)</f>
        <v>0</v>
      </c>
      <c r="O181" s="65">
        <v>332</v>
      </c>
      <c r="P181" s="76">
        <v>241.2</v>
      </c>
      <c r="Q181" s="96">
        <v>338</v>
      </c>
      <c r="R181" s="74">
        <f t="shared" ref="R181:R191" si="94">O181*P181</f>
        <v>80078.399999999994</v>
      </c>
    </row>
    <row r="182" spans="1:18" x14ac:dyDescent="0.25">
      <c r="A182" s="118">
        <v>2</v>
      </c>
      <c r="B182" s="120" t="s">
        <v>154</v>
      </c>
      <c r="C182" s="96">
        <v>101151</v>
      </c>
      <c r="D182" s="96">
        <v>394759</v>
      </c>
      <c r="E182" s="156">
        <f t="shared" si="90"/>
        <v>25.623481668562338</v>
      </c>
      <c r="F182" s="96">
        <v>15571</v>
      </c>
      <c r="G182" s="96">
        <v>3886</v>
      </c>
      <c r="H182" s="156">
        <f t="shared" si="91"/>
        <v>400.69480185280497</v>
      </c>
      <c r="I182" s="96">
        <v>105629</v>
      </c>
      <c r="J182" s="96">
        <v>366460</v>
      </c>
      <c r="K182" s="156">
        <f t="shared" si="92"/>
        <v>28.82415543306227</v>
      </c>
      <c r="L182" s="96">
        <v>105629</v>
      </c>
      <c r="M182" s="96">
        <v>366460</v>
      </c>
      <c r="N182" s="156">
        <f t="shared" si="93"/>
        <v>28.82415543306227</v>
      </c>
      <c r="O182" s="65">
        <v>38</v>
      </c>
      <c r="P182" s="96">
        <v>130</v>
      </c>
      <c r="Q182" s="96">
        <v>47</v>
      </c>
      <c r="R182" s="74">
        <f t="shared" si="94"/>
        <v>4940</v>
      </c>
    </row>
    <row r="183" spans="1:18" s="80" customFormat="1" x14ac:dyDescent="0.25">
      <c r="A183" s="245">
        <v>3</v>
      </c>
      <c r="B183" s="246" t="s">
        <v>155</v>
      </c>
      <c r="C183" s="247">
        <v>5689</v>
      </c>
      <c r="D183" s="247">
        <v>43886</v>
      </c>
      <c r="E183" s="248">
        <f t="shared" si="90"/>
        <v>12.963131750444335</v>
      </c>
      <c r="F183" s="247">
        <v>950</v>
      </c>
      <c r="G183" s="247">
        <v>794</v>
      </c>
      <c r="H183" s="248">
        <f t="shared" si="91"/>
        <v>119.64735516372795</v>
      </c>
      <c r="I183" s="247">
        <v>2758</v>
      </c>
      <c r="J183" s="247">
        <v>4386</v>
      </c>
      <c r="K183" s="248">
        <f t="shared" si="92"/>
        <v>62.881896944824447</v>
      </c>
      <c r="L183" s="247">
        <v>0</v>
      </c>
      <c r="M183" s="247">
        <v>0</v>
      </c>
      <c r="N183" s="249">
        <f t="shared" si="93"/>
        <v>0</v>
      </c>
      <c r="O183" s="65">
        <v>29</v>
      </c>
      <c r="P183" s="247">
        <v>40</v>
      </c>
      <c r="Q183" s="247">
        <v>29</v>
      </c>
      <c r="R183" s="250">
        <f t="shared" si="94"/>
        <v>1160</v>
      </c>
    </row>
    <row r="184" spans="1:18" ht="24" x14ac:dyDescent="0.25">
      <c r="A184" s="118">
        <v>4</v>
      </c>
      <c r="B184" s="121" t="s">
        <v>218</v>
      </c>
      <c r="C184" s="49">
        <v>100084</v>
      </c>
      <c r="D184" s="49">
        <v>94343</v>
      </c>
      <c r="E184" s="156">
        <f t="shared" si="90"/>
        <v>106.08524214833108</v>
      </c>
      <c r="F184" s="49">
        <v>11653</v>
      </c>
      <c r="G184" s="49">
        <v>11212</v>
      </c>
      <c r="H184" s="156">
        <f t="shared" si="91"/>
        <v>103.93328576525151</v>
      </c>
      <c r="I184" s="49">
        <v>0</v>
      </c>
      <c r="J184" s="49">
        <v>0</v>
      </c>
      <c r="K184" s="49">
        <f t="shared" si="92"/>
        <v>0</v>
      </c>
      <c r="L184" s="49">
        <v>0</v>
      </c>
      <c r="M184" s="49">
        <v>0</v>
      </c>
      <c r="N184" s="49">
        <f t="shared" si="93"/>
        <v>0</v>
      </c>
      <c r="O184" s="65">
        <v>85</v>
      </c>
      <c r="P184" s="49">
        <v>87</v>
      </c>
      <c r="Q184" s="49">
        <v>86</v>
      </c>
      <c r="R184" s="45">
        <f t="shared" si="94"/>
        <v>7395</v>
      </c>
    </row>
    <row r="185" spans="1:18" x14ac:dyDescent="0.25">
      <c r="A185" s="118">
        <v>5</v>
      </c>
      <c r="B185" s="122" t="s">
        <v>157</v>
      </c>
      <c r="C185" s="96">
        <v>1039</v>
      </c>
      <c r="D185" s="96">
        <v>416</v>
      </c>
      <c r="E185" s="156">
        <f>IF(OR(C185=0,D185=0),0,C185/D185*100)</f>
        <v>249.75961538461539</v>
      </c>
      <c r="F185" s="96">
        <v>150</v>
      </c>
      <c r="G185" s="96">
        <v>125</v>
      </c>
      <c r="H185" s="49">
        <f t="shared" si="91"/>
        <v>120</v>
      </c>
      <c r="I185" s="96">
        <v>1039</v>
      </c>
      <c r="J185" s="96">
        <v>416</v>
      </c>
      <c r="K185" s="49">
        <f t="shared" si="92"/>
        <v>249.75961538461539</v>
      </c>
      <c r="L185" s="96">
        <v>0</v>
      </c>
      <c r="M185" s="96">
        <v>0</v>
      </c>
      <c r="N185" s="49">
        <f t="shared" si="93"/>
        <v>0</v>
      </c>
      <c r="O185" s="65">
        <v>30</v>
      </c>
      <c r="P185" s="76">
        <v>15.8</v>
      </c>
      <c r="Q185" s="96">
        <v>30</v>
      </c>
      <c r="R185" s="45">
        <f t="shared" si="94"/>
        <v>474</v>
      </c>
    </row>
    <row r="186" spans="1:18" x14ac:dyDescent="0.25">
      <c r="A186" s="118">
        <v>6</v>
      </c>
      <c r="B186" s="120" t="s">
        <v>158</v>
      </c>
      <c r="C186" s="96">
        <v>13026</v>
      </c>
      <c r="D186" s="96">
        <v>20295</v>
      </c>
      <c r="E186" s="156">
        <f t="shared" si="90"/>
        <v>64.183296378418333</v>
      </c>
      <c r="F186" s="96">
        <v>1065</v>
      </c>
      <c r="G186" s="96">
        <v>2135</v>
      </c>
      <c r="H186" s="156">
        <f t="shared" si="91"/>
        <v>49.88290398126464</v>
      </c>
      <c r="I186" s="96">
        <v>13026</v>
      </c>
      <c r="J186" s="96">
        <v>20295</v>
      </c>
      <c r="K186" s="156">
        <f t="shared" si="92"/>
        <v>64.183296378418333</v>
      </c>
      <c r="L186" s="96">
        <v>0</v>
      </c>
      <c r="M186" s="96">
        <v>0</v>
      </c>
      <c r="N186" s="49">
        <f t="shared" si="93"/>
        <v>0</v>
      </c>
      <c r="O186" s="65">
        <v>17</v>
      </c>
      <c r="P186" s="76">
        <v>34.1</v>
      </c>
      <c r="Q186" s="96">
        <v>17</v>
      </c>
      <c r="R186" s="45">
        <f t="shared" si="94"/>
        <v>579.70000000000005</v>
      </c>
    </row>
    <row r="187" spans="1:18" s="80" customFormat="1" x14ac:dyDescent="0.25">
      <c r="A187" s="245">
        <v>7</v>
      </c>
      <c r="B187" s="246" t="s">
        <v>159</v>
      </c>
      <c r="C187" s="247">
        <v>35067</v>
      </c>
      <c r="D187" s="247">
        <v>46344</v>
      </c>
      <c r="E187" s="248">
        <f t="shared" si="90"/>
        <v>75.666752977731747</v>
      </c>
      <c r="F187" s="247">
        <v>5582</v>
      </c>
      <c r="G187" s="247">
        <v>9633</v>
      </c>
      <c r="H187" s="248">
        <f t="shared" si="91"/>
        <v>57.946641752309766</v>
      </c>
      <c r="I187" s="247">
        <v>35067</v>
      </c>
      <c r="J187" s="247">
        <v>46344</v>
      </c>
      <c r="K187" s="248">
        <f t="shared" si="92"/>
        <v>75.666752977731747</v>
      </c>
      <c r="L187" s="247">
        <v>0</v>
      </c>
      <c r="M187" s="247">
        <v>0</v>
      </c>
      <c r="N187" s="249">
        <f t="shared" si="93"/>
        <v>0</v>
      </c>
      <c r="O187" s="65">
        <v>85</v>
      </c>
      <c r="P187" s="251">
        <v>55.8</v>
      </c>
      <c r="Q187" s="247">
        <v>85</v>
      </c>
      <c r="R187" s="250">
        <f t="shared" si="94"/>
        <v>4743</v>
      </c>
    </row>
    <row r="188" spans="1:18" x14ac:dyDescent="0.25">
      <c r="A188" s="118">
        <v>8</v>
      </c>
      <c r="B188" s="120" t="s">
        <v>160</v>
      </c>
      <c r="C188" s="96">
        <v>9265</v>
      </c>
      <c r="D188" s="96">
        <v>7130</v>
      </c>
      <c r="E188" s="156">
        <f t="shared" si="90"/>
        <v>129.94389901823283</v>
      </c>
      <c r="F188" s="96">
        <v>1170</v>
      </c>
      <c r="G188" s="96">
        <v>1150</v>
      </c>
      <c r="H188" s="156">
        <f t="shared" si="91"/>
        <v>101.7391304347826</v>
      </c>
      <c r="I188" s="96">
        <v>0</v>
      </c>
      <c r="J188" s="96">
        <v>0</v>
      </c>
      <c r="K188" s="49">
        <f t="shared" si="92"/>
        <v>0</v>
      </c>
      <c r="L188" s="96">
        <v>0</v>
      </c>
      <c r="M188" s="96">
        <v>0</v>
      </c>
      <c r="N188" s="49">
        <f t="shared" si="93"/>
        <v>0</v>
      </c>
      <c r="O188" s="65">
        <v>12</v>
      </c>
      <c r="P188" s="76">
        <v>69.5</v>
      </c>
      <c r="Q188" s="96">
        <v>12</v>
      </c>
      <c r="R188" s="45">
        <f t="shared" si="94"/>
        <v>834</v>
      </c>
    </row>
    <row r="189" spans="1:18" x14ac:dyDescent="0.25">
      <c r="A189" s="118">
        <v>9</v>
      </c>
      <c r="B189" s="120" t="s">
        <v>161</v>
      </c>
      <c r="C189" s="96">
        <v>43698</v>
      </c>
      <c r="D189" s="96">
        <v>62900</v>
      </c>
      <c r="E189" s="156">
        <f t="shared" si="90"/>
        <v>69.472178060413356</v>
      </c>
      <c r="F189" s="96">
        <v>4000</v>
      </c>
      <c r="G189" s="96">
        <v>18000</v>
      </c>
      <c r="H189" s="156">
        <f t="shared" si="91"/>
        <v>22.222222222222221</v>
      </c>
      <c r="I189" s="96">
        <v>28129</v>
      </c>
      <c r="J189" s="96">
        <v>70798</v>
      </c>
      <c r="K189" s="156">
        <f t="shared" si="92"/>
        <v>39.731348343173536</v>
      </c>
      <c r="L189" s="96">
        <v>0</v>
      </c>
      <c r="M189" s="96">
        <v>0</v>
      </c>
      <c r="N189" s="49">
        <f t="shared" si="93"/>
        <v>0</v>
      </c>
      <c r="O189" s="65">
        <v>23</v>
      </c>
      <c r="P189" s="76">
        <v>79.8</v>
      </c>
      <c r="Q189" s="96">
        <v>23</v>
      </c>
      <c r="R189" s="45">
        <f t="shared" si="94"/>
        <v>1835.3999999999999</v>
      </c>
    </row>
    <row r="190" spans="1:18" x14ac:dyDescent="0.25">
      <c r="A190" s="118">
        <v>10</v>
      </c>
      <c r="B190" s="120" t="s">
        <v>162</v>
      </c>
      <c r="C190" s="96">
        <v>16863</v>
      </c>
      <c r="D190" s="96">
        <v>17277</v>
      </c>
      <c r="E190" s="156">
        <f t="shared" si="90"/>
        <v>97.603750651154712</v>
      </c>
      <c r="F190" s="96">
        <v>1763</v>
      </c>
      <c r="G190" s="96">
        <v>2146</v>
      </c>
      <c r="H190" s="156">
        <f t="shared" si="91"/>
        <v>82.152842497670093</v>
      </c>
      <c r="I190" s="96">
        <v>16863</v>
      </c>
      <c r="J190" s="96">
        <v>17277</v>
      </c>
      <c r="K190" s="49">
        <f t="shared" si="92"/>
        <v>97.603750651154712</v>
      </c>
      <c r="L190" s="96">
        <v>0</v>
      </c>
      <c r="M190" s="96">
        <v>0</v>
      </c>
      <c r="N190" s="49">
        <f t="shared" si="93"/>
        <v>0</v>
      </c>
      <c r="O190" s="65">
        <v>23</v>
      </c>
      <c r="P190" s="76">
        <v>52.4</v>
      </c>
      <c r="Q190" s="96">
        <v>23</v>
      </c>
      <c r="R190" s="74">
        <f t="shared" si="94"/>
        <v>1205.2</v>
      </c>
    </row>
    <row r="191" spans="1:18" x14ac:dyDescent="0.25">
      <c r="A191" s="118">
        <v>11</v>
      </c>
      <c r="B191" s="123" t="s">
        <v>163</v>
      </c>
      <c r="C191" s="96">
        <v>5864</v>
      </c>
      <c r="D191" s="96">
        <v>5395</v>
      </c>
      <c r="E191" s="156">
        <f t="shared" si="90"/>
        <v>108.69323447636701</v>
      </c>
      <c r="F191" s="96">
        <v>340</v>
      </c>
      <c r="G191" s="96">
        <v>1430</v>
      </c>
      <c r="H191" s="156">
        <f t="shared" si="91"/>
        <v>23.776223776223777</v>
      </c>
      <c r="I191" s="96">
        <v>5682</v>
      </c>
      <c r="J191" s="96">
        <v>5266</v>
      </c>
      <c r="K191" s="156">
        <f t="shared" si="92"/>
        <v>107.89973414356248</v>
      </c>
      <c r="L191" s="96">
        <v>0</v>
      </c>
      <c r="M191" s="96">
        <v>0</v>
      </c>
      <c r="N191" s="49">
        <f t="shared" si="93"/>
        <v>0</v>
      </c>
      <c r="O191" s="65">
        <v>26</v>
      </c>
      <c r="P191" s="96">
        <v>54</v>
      </c>
      <c r="Q191" s="96">
        <v>26</v>
      </c>
      <c r="R191" s="45">
        <f t="shared" si="94"/>
        <v>1404</v>
      </c>
    </row>
    <row r="192" spans="1:18" s="60" customFormat="1" x14ac:dyDescent="0.25">
      <c r="A192" s="315" t="s">
        <v>173</v>
      </c>
      <c r="B192" s="315" t="s">
        <v>139</v>
      </c>
      <c r="C192" s="124">
        <f>SUM(C181:C191)</f>
        <v>962517.7</v>
      </c>
      <c r="D192" s="124">
        <f>SUM(D181:D191)</f>
        <v>1268156.7</v>
      </c>
      <c r="E192" s="57">
        <f t="shared" ref="E192" si="95">C192/D192*100</f>
        <v>75.898956335601113</v>
      </c>
      <c r="F192" s="124">
        <f>SUM(F181:F191)</f>
        <v>102921</v>
      </c>
      <c r="G192" s="124">
        <f>SUM(G181:G191)</f>
        <v>100415.4</v>
      </c>
      <c r="H192" s="57">
        <f t="shared" ref="H192" si="96">F192/G192*100</f>
        <v>102.49523479466298</v>
      </c>
      <c r="I192" s="124">
        <f>SUM(I181:I191)</f>
        <v>667608.1</v>
      </c>
      <c r="J192" s="124">
        <f>SUM(J181:J191)</f>
        <v>1093971.7</v>
      </c>
      <c r="K192" s="57">
        <f>I192/J192*100</f>
        <v>61.026085044064672</v>
      </c>
      <c r="L192" s="124">
        <f>SUM(L181:L191)</f>
        <v>105629</v>
      </c>
      <c r="M192" s="124">
        <f>SUM(M181:M191)</f>
        <v>366460</v>
      </c>
      <c r="N192" s="57">
        <f>L192/M192*100</f>
        <v>28.82415543306227</v>
      </c>
      <c r="O192" s="124">
        <f>SUM(O181:O191)</f>
        <v>700</v>
      </c>
      <c r="P192" s="57">
        <f>R192/O192</f>
        <v>149.49814285714282</v>
      </c>
      <c r="Q192" s="124">
        <f>SUM(Q181:Q191)</f>
        <v>716</v>
      </c>
      <c r="R192" s="59">
        <f>SUM(R181:R191)</f>
        <v>104648.69999999998</v>
      </c>
    </row>
    <row r="193" spans="1:22" x14ac:dyDescent="0.25">
      <c r="A193" s="125"/>
      <c r="B193" s="37"/>
      <c r="C193" s="125"/>
      <c r="D193" s="125"/>
      <c r="E193" s="125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26"/>
    </row>
    <row r="194" spans="1:22" x14ac:dyDescent="0.25">
      <c r="A194" s="323" t="s">
        <v>22</v>
      </c>
      <c r="B194" s="324"/>
      <c r="C194" s="37">
        <v>3</v>
      </c>
      <c r="D194" s="37">
        <v>4</v>
      </c>
      <c r="E194" s="239">
        <v>5</v>
      </c>
      <c r="F194" s="37">
        <v>6</v>
      </c>
      <c r="G194" s="37">
        <v>7</v>
      </c>
      <c r="H194" s="37">
        <v>8</v>
      </c>
      <c r="I194" s="37">
        <v>9</v>
      </c>
      <c r="J194" s="37">
        <v>10</v>
      </c>
      <c r="K194" s="37">
        <v>11</v>
      </c>
      <c r="L194" s="37">
        <v>12</v>
      </c>
      <c r="M194" s="37">
        <v>13</v>
      </c>
      <c r="N194" s="37">
        <v>14</v>
      </c>
      <c r="O194" s="37">
        <v>15</v>
      </c>
      <c r="P194" s="239">
        <v>16</v>
      </c>
      <c r="Q194" s="37">
        <v>15</v>
      </c>
      <c r="R194" s="23"/>
    </row>
    <row r="195" spans="1:22" x14ac:dyDescent="0.25">
      <c r="A195" s="96">
        <v>1</v>
      </c>
      <c r="B195" s="127" t="s">
        <v>164</v>
      </c>
      <c r="C195" s="49">
        <v>83244</v>
      </c>
      <c r="D195" s="49">
        <v>96470</v>
      </c>
      <c r="E195" s="119">
        <f t="shared" ref="E195:E196" si="97">C195/D195*100</f>
        <v>86.290038353892413</v>
      </c>
      <c r="F195" s="49">
        <v>7465</v>
      </c>
      <c r="G195" s="49">
        <v>6488</v>
      </c>
      <c r="H195" s="119">
        <f t="shared" ref="H195:H196" si="98">F195/G195*100</f>
        <v>115.05856966707768</v>
      </c>
      <c r="I195" s="49">
        <v>83244</v>
      </c>
      <c r="J195" s="49">
        <v>96470</v>
      </c>
      <c r="K195" s="97">
        <f t="shared" ref="K195:K196" si="99">IF(OR(I195=0,J195=0),0,I195/J195*100)</f>
        <v>86.290038353892413</v>
      </c>
      <c r="L195" s="49">
        <v>83244</v>
      </c>
      <c r="M195" s="49">
        <f>76011+20459</f>
        <v>96470</v>
      </c>
      <c r="N195" s="47">
        <f t="shared" ref="N195:N196" si="100">L195/M195*100</f>
        <v>86.290038353892413</v>
      </c>
      <c r="O195" s="34">
        <v>46</v>
      </c>
      <c r="P195" s="96">
        <v>46</v>
      </c>
      <c r="Q195" s="34">
        <v>51</v>
      </c>
      <c r="R195" s="74">
        <f t="shared" ref="R195:R196" si="101">O195*P195</f>
        <v>2116</v>
      </c>
    </row>
    <row r="196" spans="1:22" x14ac:dyDescent="0.25">
      <c r="A196" s="96">
        <v>2</v>
      </c>
      <c r="B196" s="127" t="s">
        <v>165</v>
      </c>
      <c r="C196" s="49">
        <v>187981</v>
      </c>
      <c r="D196" s="49">
        <v>276685</v>
      </c>
      <c r="E196" s="119">
        <f t="shared" si="97"/>
        <v>67.940437681840365</v>
      </c>
      <c r="F196" s="49">
        <v>66966</v>
      </c>
      <c r="G196" s="49">
        <v>54128</v>
      </c>
      <c r="H196" s="119">
        <f t="shared" si="98"/>
        <v>123.71785397576116</v>
      </c>
      <c r="I196" s="49">
        <v>165551</v>
      </c>
      <c r="J196" s="49">
        <v>291513</v>
      </c>
      <c r="K196" s="97">
        <f t="shared" si="99"/>
        <v>56.790263212961342</v>
      </c>
      <c r="L196" s="49">
        <v>0</v>
      </c>
      <c r="M196" s="49">
        <f>674+7137</f>
        <v>7811</v>
      </c>
      <c r="N196" s="47">
        <f t="shared" si="100"/>
        <v>0</v>
      </c>
      <c r="O196" s="34">
        <v>187</v>
      </c>
      <c r="P196" s="96">
        <v>58</v>
      </c>
      <c r="Q196" s="34">
        <v>188</v>
      </c>
      <c r="R196" s="74">
        <f t="shared" si="101"/>
        <v>10846</v>
      </c>
    </row>
    <row r="197" spans="1:22" s="60" customFormat="1" x14ac:dyDescent="0.25">
      <c r="A197" s="315" t="s">
        <v>173</v>
      </c>
      <c r="B197" s="315" t="s">
        <v>139</v>
      </c>
      <c r="C197" s="56">
        <f>SUM(C195:C196)</f>
        <v>271225</v>
      </c>
      <c r="D197" s="56">
        <f>SUM(D195:D196)</f>
        <v>373155</v>
      </c>
      <c r="E197" s="57">
        <f>C197/D197*100</f>
        <v>72.684273291259657</v>
      </c>
      <c r="F197" s="56">
        <f>SUM(F195:F196)</f>
        <v>74431</v>
      </c>
      <c r="G197" s="56">
        <f>SUM(G195:G196)</f>
        <v>60616</v>
      </c>
      <c r="H197" s="57">
        <f>F197/G197*100</f>
        <v>122.79101227398708</v>
      </c>
      <c r="I197" s="57">
        <f>SUM(I195:I196)</f>
        <v>248795</v>
      </c>
      <c r="J197" s="56">
        <f>SUM(J195:J196)</f>
        <v>387983</v>
      </c>
      <c r="K197" s="57">
        <f>I197/J197*100</f>
        <v>64.125232291105533</v>
      </c>
      <c r="L197" s="58">
        <f>SUM(L195:L196)</f>
        <v>83244</v>
      </c>
      <c r="M197" s="56">
        <f>SUM(M195:M196)</f>
        <v>104281</v>
      </c>
      <c r="N197" s="57">
        <f>L197/M197*100</f>
        <v>79.826622299364217</v>
      </c>
      <c r="O197" s="58">
        <f>SUM(O195:O196)</f>
        <v>233</v>
      </c>
      <c r="P197" s="58">
        <f>R197/O197</f>
        <v>55.630901287553648</v>
      </c>
      <c r="Q197" s="58">
        <f>SUM(Q195:Q196)</f>
        <v>239</v>
      </c>
      <c r="R197" s="59">
        <f>SUM(R195:R196)</f>
        <v>12962</v>
      </c>
    </row>
    <row r="198" spans="1:22" x14ac:dyDescent="0.25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6"/>
    </row>
    <row r="199" spans="1:22" x14ac:dyDescent="0.25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6"/>
    </row>
    <row r="200" spans="1:22" x14ac:dyDescent="0.25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6"/>
    </row>
    <row r="201" spans="1:22" x14ac:dyDescent="0.25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6"/>
    </row>
    <row r="202" spans="1:22" x14ac:dyDescent="0.25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6"/>
    </row>
    <row r="203" spans="1:22" x14ac:dyDescent="0.25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6"/>
    </row>
    <row r="204" spans="1:22" x14ac:dyDescent="0.25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6"/>
    </row>
    <row r="205" spans="1:22" x14ac:dyDescent="0.25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</row>
    <row r="206" spans="1:22" x14ac:dyDescent="0.25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</row>
    <row r="207" spans="1:22" x14ac:dyDescent="0.25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</row>
    <row r="208" spans="1:22" x14ac:dyDescent="0.25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</row>
    <row r="209" spans="1:22" x14ac:dyDescent="0.25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</row>
    <row r="210" spans="1:22" x14ac:dyDescent="0.25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</row>
    <row r="211" spans="1:22" x14ac:dyDescent="0.25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</row>
    <row r="212" spans="1:22" x14ac:dyDescent="0.25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</row>
    <row r="213" spans="1:22" x14ac:dyDescent="0.25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</row>
    <row r="214" spans="1:22" x14ac:dyDescent="0.25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</row>
    <row r="215" spans="1:22" x14ac:dyDescent="0.25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</row>
    <row r="216" spans="1:22" x14ac:dyDescent="0.25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</row>
    <row r="217" spans="1:22" x14ac:dyDescent="0.25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</row>
    <row r="218" spans="1:22" x14ac:dyDescent="0.25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</row>
    <row r="219" spans="1:22" x14ac:dyDescent="0.25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</row>
    <row r="220" spans="1:22" x14ac:dyDescent="0.25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</row>
    <row r="221" spans="1:22" x14ac:dyDescent="0.25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</row>
    <row r="222" spans="1:22" x14ac:dyDescent="0.25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</row>
    <row r="223" spans="1:22" x14ac:dyDescent="0.25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</row>
    <row r="224" spans="1:22" x14ac:dyDescent="0.25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</row>
    <row r="225" spans="1:22" x14ac:dyDescent="0.25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</row>
    <row r="226" spans="1:22" x14ac:dyDescent="0.25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</row>
    <row r="227" spans="1:22" x14ac:dyDescent="0.25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</row>
    <row r="228" spans="1:22" x14ac:dyDescent="0.25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</row>
    <row r="229" spans="1:22" x14ac:dyDescent="0.25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</row>
    <row r="230" spans="1:22" x14ac:dyDescent="0.25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</row>
    <row r="231" spans="1:22" x14ac:dyDescent="0.25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</row>
    <row r="232" spans="1:22" x14ac:dyDescent="0.25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</row>
    <row r="233" spans="1:22" x14ac:dyDescent="0.25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</row>
    <row r="234" spans="1:22" x14ac:dyDescent="0.25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</row>
    <row r="235" spans="1:22" x14ac:dyDescent="0.25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</row>
    <row r="236" spans="1:22" x14ac:dyDescent="0.25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</row>
    <row r="237" spans="1:22" x14ac:dyDescent="0.25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</row>
    <row r="238" spans="1:22" x14ac:dyDescent="0.25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</row>
    <row r="239" spans="1:22" x14ac:dyDescent="0.25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</row>
    <row r="240" spans="1:22" x14ac:dyDescent="0.25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</row>
    <row r="241" spans="1:22" x14ac:dyDescent="0.25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</row>
    <row r="242" spans="1:22" x14ac:dyDescent="0.25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</row>
    <row r="243" spans="1:22" x14ac:dyDescent="0.25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</row>
    <row r="244" spans="1:22" x14ac:dyDescent="0.25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</row>
    <row r="245" spans="1:22" x14ac:dyDescent="0.25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</row>
    <row r="246" spans="1:22" x14ac:dyDescent="0.25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</row>
    <row r="247" spans="1:22" x14ac:dyDescent="0.25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</row>
    <row r="248" spans="1:22" x14ac:dyDescent="0.25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</row>
    <row r="249" spans="1:22" x14ac:dyDescent="0.25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</row>
    <row r="250" spans="1:22" x14ac:dyDescent="0.25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</row>
    <row r="251" spans="1:22" x14ac:dyDescent="0.25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</row>
    <row r="252" spans="1:22" s="18" customFormat="1" x14ac:dyDescent="0.25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</row>
    <row r="253" spans="1:22" s="18" customFormat="1" x14ac:dyDescent="0.25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</row>
    <row r="254" spans="1:22" s="18" customFormat="1" x14ac:dyDescent="0.25"/>
    <row r="255" spans="1:22" s="18" customFormat="1" x14ac:dyDescent="0.25"/>
    <row r="256" spans="1:22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  <row r="262" s="18" customFormat="1" x14ac:dyDescent="0.25"/>
    <row r="263" s="18" customFormat="1" x14ac:dyDescent="0.25"/>
    <row r="264" s="18" customFormat="1" x14ac:dyDescent="0.25"/>
    <row r="265" s="18" customFormat="1" x14ac:dyDescent="0.25"/>
    <row r="266" s="18" customFormat="1" x14ac:dyDescent="0.25"/>
    <row r="267" s="18" customFormat="1" x14ac:dyDescent="0.25"/>
    <row r="268" s="18" customFormat="1" x14ac:dyDescent="0.25"/>
    <row r="269" s="18" customFormat="1" x14ac:dyDescent="0.25"/>
    <row r="270" s="18" customFormat="1" x14ac:dyDescent="0.25"/>
    <row r="271" s="18" customFormat="1" x14ac:dyDescent="0.25"/>
    <row r="272" s="18" customFormat="1" x14ac:dyDescent="0.25"/>
    <row r="273" s="18" customFormat="1" x14ac:dyDescent="0.25"/>
  </sheetData>
  <mergeCells count="54">
    <mergeCell ref="A1:Q2"/>
    <mergeCell ref="A3:A8"/>
    <mergeCell ref="B3:B8"/>
    <mergeCell ref="C3:H3"/>
    <mergeCell ref="I3:K3"/>
    <mergeCell ref="L3:N3"/>
    <mergeCell ref="O3:O8"/>
    <mergeCell ref="P3:P8"/>
    <mergeCell ref="Q3:Q8"/>
    <mergeCell ref="C4:C8"/>
    <mergeCell ref="A30:Q32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A68:B68"/>
    <mergeCell ref="A33:A34"/>
    <mergeCell ref="B33:B34"/>
    <mergeCell ref="C33:G33"/>
    <mergeCell ref="H33:K33"/>
    <mergeCell ref="Q33:Q34"/>
    <mergeCell ref="A36:B36"/>
    <mergeCell ref="A54:B54"/>
    <mergeCell ref="A56:B56"/>
    <mergeCell ref="A66:B66"/>
    <mergeCell ref="O33:O34"/>
    <mergeCell ref="P33:P34"/>
    <mergeCell ref="A159:B159"/>
    <mergeCell ref="A77:B77"/>
    <mergeCell ref="A78:B78"/>
    <mergeCell ref="A80:B80"/>
    <mergeCell ref="A92:B92"/>
    <mergeCell ref="A94:B94"/>
    <mergeCell ref="A120:B120"/>
    <mergeCell ref="A131:B131"/>
    <mergeCell ref="A133:B133"/>
    <mergeCell ref="A139:B139"/>
    <mergeCell ref="A149:B149"/>
    <mergeCell ref="A150:B150"/>
    <mergeCell ref="A194:B194"/>
    <mergeCell ref="A197:B197"/>
    <mergeCell ref="A161:B161"/>
    <mergeCell ref="A165:B165"/>
    <mergeCell ref="A167:B167"/>
    <mergeCell ref="A178:B178"/>
    <mergeCell ref="A180:B180"/>
    <mergeCell ref="A192:B192"/>
  </mergeCells>
  <pageMargins left="0.16" right="0.16" top="0.75" bottom="0.75" header="0.3" footer="0.3"/>
  <pageSetup scale="8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Հունվար</vt:lpstr>
      <vt:lpstr>Փետրվար</vt:lpstr>
      <vt:lpstr>Մարտ</vt:lpstr>
      <vt:lpstr>Ապրիլ</vt:lpstr>
      <vt:lpstr>Մայիս</vt:lpstr>
      <vt:lpstr>Հունիս</vt:lpstr>
      <vt:lpstr>հուլիս</vt:lpstr>
      <vt:lpstr>Օգոստոս</vt:lpstr>
      <vt:lpstr>Սեպտեմբեր</vt:lpstr>
      <vt:lpstr>Հոկտեմբեր</vt:lpstr>
      <vt:lpstr>Նոյեմբեր</vt:lpstr>
      <vt:lpstr>դեկ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lilharutyunyan</dc:creator>
  <cp:lastModifiedBy>sparanyan</cp:lastModifiedBy>
  <cp:lastPrinted>2013-05-08T06:47:28Z</cp:lastPrinted>
  <dcterms:created xsi:type="dcterms:W3CDTF">2012-02-07T05:45:48Z</dcterms:created>
  <dcterms:modified xsi:type="dcterms:W3CDTF">2013-10-11T08:01:49Z</dcterms:modified>
</cp:coreProperties>
</file>